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24795" windowHeight="11250" tabRatio="966"/>
  </bookViews>
  <sheets>
    <sheet name="list" sheetId="1" r:id="rId1"/>
    <sheet name="1a" sheetId="12" r:id="rId2"/>
    <sheet name="1b" sheetId="33" r:id="rId3"/>
    <sheet name="1c" sheetId="18" r:id="rId4"/>
    <sheet name="1d" sheetId="34" r:id="rId5"/>
    <sheet name="1e" sheetId="27" r:id="rId6"/>
    <sheet name="1f" sheetId="35" r:id="rId7"/>
    <sheet name="1g" sheetId="36" r:id="rId8"/>
    <sheet name="1h" sheetId="64" r:id="rId9"/>
    <sheet name="1i" sheetId="67" r:id="rId10"/>
    <sheet name="1j" sheetId="73" r:id="rId11"/>
    <sheet name="1k" sheetId="91" r:id="rId12"/>
    <sheet name="1l" sheetId="93" r:id="rId13"/>
    <sheet name="1m" sheetId="94" r:id="rId14"/>
    <sheet name="1n" sheetId="111" r:id="rId15"/>
    <sheet name="1o" sheetId="123" r:id="rId16"/>
    <sheet name="1p" sheetId="124" r:id="rId17"/>
    <sheet name="2a" sheetId="11" r:id="rId18"/>
    <sheet name="2b" sheetId="82" r:id="rId19"/>
    <sheet name="2c" sheetId="74" r:id="rId20"/>
    <sheet name="2d" sheetId="75" r:id="rId21"/>
    <sheet name="2e" sheetId="117" r:id="rId22"/>
    <sheet name="2f" sheetId="118" r:id="rId23"/>
    <sheet name="2g" sheetId="97" r:id="rId24"/>
    <sheet name="2h" sheetId="83" r:id="rId25"/>
    <sheet name="2i" sheetId="98" r:id="rId26"/>
    <sheet name="2j" sheetId="126" r:id="rId27"/>
    <sheet name="2k" sheetId="125" r:id="rId28"/>
    <sheet name="3a" sheetId="4" r:id="rId29"/>
    <sheet name="3b" sheetId="17" r:id="rId30"/>
    <sheet name="3c" sheetId="40" r:id="rId31"/>
    <sheet name="3d" sheetId="39" r:id="rId32"/>
    <sheet name="3e" sheetId="37" r:id="rId33"/>
    <sheet name="3f" sheetId="42" r:id="rId34"/>
    <sheet name="3g" sheetId="58" r:id="rId35"/>
    <sheet name="3h" sheetId="69" r:id="rId36"/>
    <sheet name="3i" sheetId="76" r:id="rId37"/>
    <sheet name="3j" sheetId="96" r:id="rId38"/>
    <sheet name="3k" sheetId="95" r:id="rId39"/>
    <sheet name="3l" sheetId="128" r:id="rId40"/>
    <sheet name="3m" sheetId="127" r:id="rId41"/>
    <sheet name="4a" sheetId="5" r:id="rId42"/>
    <sheet name="4b" sheetId="19" r:id="rId43"/>
    <sheet name="4c" sheetId="77" r:id="rId44"/>
    <sheet name="4d" sheetId="78" r:id="rId45"/>
    <sheet name="4e" sheetId="84" r:id="rId46"/>
    <sheet name="4f" sheetId="102" r:id="rId47"/>
    <sheet name="4g" sheetId="101" r:id="rId48"/>
    <sheet name="4h" sheetId="130" r:id="rId49"/>
    <sheet name="4i" sheetId="129" r:id="rId50"/>
    <sheet name="4j" sheetId="139" r:id="rId51"/>
    <sheet name="5a" sheetId="6" r:id="rId52"/>
    <sheet name="5b" sheetId="47" r:id="rId53"/>
    <sheet name="5c" sheetId="32" r:id="rId54"/>
    <sheet name="5d" sheetId="48" r:id="rId55"/>
    <sheet name="5e" sheetId="43" r:id="rId56"/>
    <sheet name="5f" sheetId="44" r:id="rId57"/>
    <sheet name="5g" sheetId="45" r:id="rId58"/>
    <sheet name="5h" sheetId="65" r:id="rId59"/>
    <sheet name="5i" sheetId="68" r:id="rId60"/>
    <sheet name="5j" sheetId="79" r:id="rId61"/>
    <sheet name="5k" sheetId="92" r:id="rId62"/>
    <sheet name="5l" sheetId="104" r:id="rId63"/>
    <sheet name="5m" sheetId="103" r:id="rId64"/>
    <sheet name="6a" sheetId="7" r:id="rId65"/>
    <sheet name="6b" sheetId="81" r:id="rId66"/>
    <sheet name="6c" sheetId="86" r:id="rId67"/>
    <sheet name="6d" sheetId="85" r:id="rId68"/>
    <sheet name="6e" sheetId="87" r:id="rId69"/>
    <sheet name="6f" sheetId="106" r:id="rId70"/>
    <sheet name="6g" sheetId="105" r:id="rId71"/>
    <sheet name="6h" sheetId="120" r:id="rId72"/>
    <sheet name="6i" sheetId="119" r:id="rId73"/>
    <sheet name="6j" sheetId="140" r:id="rId74"/>
    <sheet name="7a" sheetId="8" r:id="rId75"/>
    <sheet name="7b" sheetId="49" r:id="rId76"/>
    <sheet name="7c" sheetId="50" r:id="rId77"/>
    <sheet name="7d" sheetId="51" r:id="rId78"/>
    <sheet name="7e" sheetId="53" r:id="rId79"/>
    <sheet name="7f" sheetId="70" r:id="rId80"/>
    <sheet name="7g" sheetId="80" r:id="rId81"/>
    <sheet name="7h" sheetId="71" r:id="rId82"/>
    <sheet name="7i" sheetId="72" r:id="rId83"/>
    <sheet name="7j" sheetId="107" r:id="rId84"/>
    <sheet name="7k" sheetId="108" r:id="rId85"/>
    <sheet name="8a" sheetId="9" r:id="rId86"/>
    <sheet name="8b" sheetId="21" r:id="rId87"/>
    <sheet name="8c" sheetId="90" r:id="rId88"/>
    <sheet name="8d" sheetId="89" r:id="rId89"/>
    <sheet name="8e" sheetId="88" r:id="rId90"/>
    <sheet name="8f" sheetId="110" r:id="rId91"/>
    <sheet name="8g" sheetId="109" r:id="rId92"/>
    <sheet name="8h" sheetId="122" r:id="rId93"/>
    <sheet name="8i" sheetId="121" r:id="rId94"/>
    <sheet name="8j" sheetId="141" r:id="rId95"/>
    <sheet name="9a" sheetId="131" r:id="rId96"/>
    <sheet name="9b" sheetId="132" r:id="rId97"/>
    <sheet name="9c" sheetId="134" r:id="rId98"/>
    <sheet name="9d" sheetId="133" r:id="rId99"/>
    <sheet name="9e" sheetId="135" r:id="rId100"/>
    <sheet name="9f" sheetId="136" r:id="rId101"/>
    <sheet name="9g" sheetId="137" r:id="rId102"/>
    <sheet name="9h" sheetId="138" r:id="rId103"/>
  </sheets>
  <definedNames>
    <definedName name="_xlnm.Print_Area" localSheetId="1">'1a'!$A$1:$M$51</definedName>
    <definedName name="_xlnm.Print_Area" localSheetId="2">'1b'!$A$1:$G$41</definedName>
    <definedName name="_xlnm.Print_Area" localSheetId="4">'1d'!$A$1:$M$49</definedName>
    <definedName name="_xlnm.Print_Area" localSheetId="5">'1e'!$A$1:$M$52</definedName>
    <definedName name="_xlnm.Print_Area" localSheetId="6">'1f'!$A$1:$I$52</definedName>
    <definedName name="_xlnm.Print_Area" localSheetId="7">'1g'!$A$1:$M$52</definedName>
    <definedName name="_xlnm.Print_Area" localSheetId="9">'1i'!$A$1:$M$43</definedName>
    <definedName name="_xlnm.Print_Area" localSheetId="11">'1k'!$A$1:$G$42</definedName>
    <definedName name="_xlnm.Print_Area" localSheetId="15">'1o'!$A$1:$N$30</definedName>
    <definedName name="_xlnm.Print_Area" localSheetId="16">'1p'!$A$1:$S$30</definedName>
    <definedName name="_xlnm.Print_Area" localSheetId="17">'2a'!$A$1:$M$46</definedName>
    <definedName name="_xlnm.Print_Area" localSheetId="21">'2e'!$A$1:$M$45</definedName>
    <definedName name="_xlnm.Print_Area" localSheetId="22">'2f'!$A$1:$O$45</definedName>
    <definedName name="_xlnm.Print_Area" localSheetId="26">'2j'!$A$1:$M$30</definedName>
    <definedName name="_xlnm.Print_Area" localSheetId="27">'2k'!$A$1:$M$30</definedName>
    <definedName name="_xlnm.Print_Area" localSheetId="28">'3a'!$A$1:$M$46</definedName>
    <definedName name="_xlnm.Print_Area" localSheetId="29">'3b'!$A$1:$G$45</definedName>
    <definedName name="_xlnm.Print_Area" localSheetId="31">'3d'!$A$1:$S$50</definedName>
    <definedName name="_xlnm.Print_Area" localSheetId="32">'3e'!$A$1:$N$51</definedName>
    <definedName name="_xlnm.Print_Area" localSheetId="33">'3f'!$A$1:$M$51</definedName>
    <definedName name="_xlnm.Print_Area" localSheetId="39">'3l'!$A$1:$P$30</definedName>
    <definedName name="_xlnm.Print_Area" localSheetId="40">'3m'!$A$1:$O$30</definedName>
    <definedName name="_xlnm.Print_Area" localSheetId="42">'4b'!$A$1:$H$47</definedName>
    <definedName name="_xlnm.Print_Area" localSheetId="47">'4g'!$A$1:$M$37</definedName>
    <definedName name="_xlnm.Print_Area" localSheetId="48">'4h'!$A$1:$P$31</definedName>
    <definedName name="_xlnm.Print_Area" localSheetId="49">'4i'!$A$1:$N$30</definedName>
    <definedName name="_xlnm.Print_Area" localSheetId="50">'4j'!$A$1:$N$44</definedName>
    <definedName name="_xlnm.Print_Area" localSheetId="51">'5a'!$A$1:$N$45</definedName>
    <definedName name="_xlnm.Print_Area" localSheetId="53">'5c'!$A$1:$G$44</definedName>
    <definedName name="_xlnm.Print_Area" localSheetId="54">'5d'!$A$1:$M$51</definedName>
    <definedName name="_xlnm.Print_Area" localSheetId="64">'6a'!$A$1:$M$46</definedName>
    <definedName name="_xlnm.Print_Area" localSheetId="71">'6h'!$A$1:$M$43</definedName>
    <definedName name="_xlnm.Print_Area" localSheetId="72">'6i'!$A$1:$N$43</definedName>
    <definedName name="_xlnm.Print_Area" localSheetId="73">'6j'!$A$1:$M$43</definedName>
    <definedName name="_xlnm.Print_Area" localSheetId="74">'7a'!$A$1:$M$45</definedName>
    <definedName name="_xlnm.Print_Area" localSheetId="85">'8a'!$A$1:$M$46</definedName>
    <definedName name="_xlnm.Print_Area" localSheetId="86">'8b'!$A$1:$J$44</definedName>
    <definedName name="_xlnm.Print_Area" localSheetId="92">'8h'!$A$1:$M$43</definedName>
    <definedName name="_xlnm.Print_Area" localSheetId="93">'8i'!$A$1:$M$43</definedName>
    <definedName name="_xlnm.Print_Area" localSheetId="94">'8j'!$A$1:$O$43</definedName>
    <definedName name="_xlnm.Print_Area" localSheetId="96">'9b'!$A$1:$O$25</definedName>
    <definedName name="_xlnm.Print_Area" localSheetId="97">'9c'!$A$1:$N$26</definedName>
    <definedName name="_xlnm.Print_Area" localSheetId="98">'9d'!$A$1:$P$25</definedName>
    <definedName name="_xlnm.Print_Area" localSheetId="99">'9e'!$A$1:$P$25</definedName>
    <definedName name="_xlnm.Print_Area" localSheetId="100">'9f'!$A$1:$P$25</definedName>
    <definedName name="_xlnm.Print_Area" localSheetId="101">'9g'!$A$1:$N$25</definedName>
    <definedName name="_xlnm.Print_Area" localSheetId="102">'9h'!$A$1:$O$25</definedName>
    <definedName name="_xlnm.Print_Area" localSheetId="0">list!$A$1:$A$106</definedName>
  </definedNames>
  <calcPr calcId="125725"/>
</workbook>
</file>

<file path=xl/calcChain.xml><?xml version="1.0" encoding="utf-8"?>
<calcChain xmlns="http://schemas.openxmlformats.org/spreadsheetml/2006/main">
  <c r="M35" i="141"/>
  <c r="M41" s="1"/>
  <c r="L35"/>
  <c r="L41" s="1"/>
  <c r="K35"/>
  <c r="K41" s="1"/>
  <c r="J35"/>
  <c r="J41" s="1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M39" s="1"/>
  <c r="L25"/>
  <c r="L39" s="1"/>
  <c r="K25"/>
  <c r="K39" s="1"/>
  <c r="J25"/>
  <c r="J39" s="1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M38" s="1"/>
  <c r="L15"/>
  <c r="L38" s="1"/>
  <c r="K15"/>
  <c r="K38" s="1"/>
  <c r="J15"/>
  <c r="J38" s="1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I41"/>
  <c r="H41"/>
  <c r="G41"/>
  <c r="F41"/>
  <c r="E41"/>
  <c r="D41"/>
  <c r="C41"/>
  <c r="B41"/>
  <c r="I39"/>
  <c r="H39"/>
  <c r="G39"/>
  <c r="F39"/>
  <c r="E39"/>
  <c r="D39"/>
  <c r="C39"/>
  <c r="B39"/>
  <c r="I38"/>
  <c r="H38"/>
  <c r="G38"/>
  <c r="F38"/>
  <c r="E38"/>
  <c r="D38"/>
  <c r="C38"/>
  <c r="B38"/>
  <c r="M35" i="140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B38" s="1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I41"/>
  <c r="H41"/>
  <c r="G41"/>
  <c r="F41"/>
  <c r="E41"/>
  <c r="D41"/>
  <c r="C41"/>
  <c r="B41"/>
  <c r="M39"/>
  <c r="L39"/>
  <c r="K39"/>
  <c r="J39"/>
  <c r="I39"/>
  <c r="H39"/>
  <c r="G39"/>
  <c r="F39"/>
  <c r="E39"/>
  <c r="D39"/>
  <c r="C39"/>
  <c r="B39"/>
  <c r="I38"/>
  <c r="H38"/>
  <c r="G38"/>
  <c r="F38"/>
  <c r="E38"/>
  <c r="D38"/>
  <c r="C38"/>
  <c r="M36" i="139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M42"/>
  <c r="L42"/>
  <c r="K42"/>
  <c r="J42"/>
  <c r="I42"/>
  <c r="H42"/>
  <c r="G42"/>
  <c r="F42"/>
  <c r="E42"/>
  <c r="D42"/>
  <c r="C42"/>
  <c r="M40"/>
  <c r="K40"/>
  <c r="I40"/>
  <c r="G40"/>
  <c r="E40"/>
  <c r="C40"/>
  <c r="M39"/>
  <c r="K39"/>
  <c r="I39"/>
  <c r="G39"/>
  <c r="E39"/>
  <c r="C39"/>
  <c r="M35" i="44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A22" i="138"/>
  <c r="A23" s="1"/>
  <c r="A22" i="137"/>
  <c r="A23" s="1"/>
  <c r="A22" i="136"/>
  <c r="A23" s="1"/>
  <c r="A22" i="135"/>
  <c r="A23" s="1"/>
  <c r="A22" i="133"/>
  <c r="A23" s="1"/>
  <c r="A23" i="134"/>
  <c r="A24" s="1"/>
  <c r="A22" i="132"/>
  <c r="A23" s="1"/>
  <c r="A22" i="131"/>
  <c r="A23" s="1"/>
  <c r="A22" i="129"/>
  <c r="A23" s="1"/>
  <c r="A22" i="130"/>
  <c r="A23" s="1"/>
  <c r="A22" i="127"/>
  <c r="A23" s="1"/>
  <c r="A22" i="128"/>
  <c r="A23" s="1"/>
  <c r="A22" i="125"/>
  <c r="A23" s="1"/>
  <c r="A22" i="126"/>
  <c r="A23" s="1"/>
  <c r="A22" i="124"/>
  <c r="A23" s="1"/>
  <c r="A22" i="123"/>
  <c r="A23"/>
  <c r="M34" i="88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35" i="122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M35" i="121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B41" s="1"/>
  <c r="L41"/>
  <c r="K41"/>
  <c r="J41"/>
  <c r="H41"/>
  <c r="G41"/>
  <c r="F41"/>
  <c r="D41"/>
  <c r="C41"/>
  <c r="L40"/>
  <c r="J40"/>
  <c r="H40"/>
  <c r="G40"/>
  <c r="F40"/>
  <c r="D40"/>
  <c r="C40"/>
  <c r="B40"/>
  <c r="L39"/>
  <c r="K39"/>
  <c r="J39"/>
  <c r="H39"/>
  <c r="G39"/>
  <c r="F39"/>
  <c r="D39"/>
  <c r="C39"/>
  <c r="B39"/>
  <c r="L38"/>
  <c r="K38"/>
  <c r="J38"/>
  <c r="H38"/>
  <c r="G38"/>
  <c r="F38"/>
  <c r="D38"/>
  <c r="C38"/>
  <c r="M41"/>
  <c r="M39"/>
  <c r="M38"/>
  <c r="L41" i="122"/>
  <c r="K41"/>
  <c r="J41"/>
  <c r="H41"/>
  <c r="G41"/>
  <c r="F41"/>
  <c r="D41"/>
  <c r="C41"/>
  <c r="B41"/>
  <c r="L40"/>
  <c r="K40"/>
  <c r="J40"/>
  <c r="H40"/>
  <c r="G40"/>
  <c r="F40"/>
  <c r="D40"/>
  <c r="C40"/>
  <c r="B40"/>
  <c r="L39"/>
  <c r="K39"/>
  <c r="J39"/>
  <c r="H39"/>
  <c r="G39"/>
  <c r="F39"/>
  <c r="D39"/>
  <c r="C39"/>
  <c r="B39"/>
  <c r="L38"/>
  <c r="K38"/>
  <c r="J38"/>
  <c r="H38"/>
  <c r="G38"/>
  <c r="F38"/>
  <c r="D38"/>
  <c r="C38"/>
  <c r="B38"/>
  <c r="M41"/>
  <c r="I41"/>
  <c r="E41"/>
  <c r="M39"/>
  <c r="I39"/>
  <c r="E39"/>
  <c r="M38"/>
  <c r="I38"/>
  <c r="E38"/>
  <c r="C7" i="51"/>
  <c r="D21" i="119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C39" s="1"/>
  <c r="B25"/>
  <c r="E24"/>
  <c r="D24"/>
  <c r="C24"/>
  <c r="B24"/>
  <c r="E23"/>
  <c r="D23"/>
  <c r="C23"/>
  <c r="B23"/>
  <c r="E22"/>
  <c r="D22"/>
  <c r="C22"/>
  <c r="B22"/>
  <c r="E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M35" i="120"/>
  <c r="L35"/>
  <c r="L40" s="1"/>
  <c r="K35"/>
  <c r="J35"/>
  <c r="J40" s="1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I35"/>
  <c r="H35"/>
  <c r="H41" s="1"/>
  <c r="G35"/>
  <c r="F35"/>
  <c r="F41" s="1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F38" s="1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B40" s="1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D39" s="1"/>
  <c r="C25"/>
  <c r="B25"/>
  <c r="B39" s="1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B38" s="1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G41"/>
  <c r="D41"/>
  <c r="C41"/>
  <c r="B41"/>
  <c r="K40"/>
  <c r="H40"/>
  <c r="C40"/>
  <c r="L39"/>
  <c r="K39"/>
  <c r="H39"/>
  <c r="G39"/>
  <c r="F39"/>
  <c r="C39"/>
  <c r="G38"/>
  <c r="D38"/>
  <c r="M40"/>
  <c r="M39"/>
  <c r="I39"/>
  <c r="E39"/>
  <c r="I38"/>
  <c r="E38"/>
  <c r="M36" i="37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B6" i="98"/>
  <c r="M35" i="118"/>
  <c r="L35"/>
  <c r="K35"/>
  <c r="J35"/>
  <c r="M34"/>
  <c r="L34"/>
  <c r="L41" s="1"/>
  <c r="K34"/>
  <c r="J34"/>
  <c r="J41" s="1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L38" s="1"/>
  <c r="K14"/>
  <c r="J14"/>
  <c r="J38" s="1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H39" s="1"/>
  <c r="G24"/>
  <c r="F24"/>
  <c r="F39" s="1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E35"/>
  <c r="D35"/>
  <c r="C35"/>
  <c r="B35"/>
  <c r="E34"/>
  <c r="D34"/>
  <c r="D41" s="1"/>
  <c r="C34"/>
  <c r="B34"/>
  <c r="B41" s="1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D38" s="1"/>
  <c r="C14"/>
  <c r="B14"/>
  <c r="B38" s="1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K41"/>
  <c r="H41"/>
  <c r="G41"/>
  <c r="F41"/>
  <c r="C41"/>
  <c r="L39"/>
  <c r="K39"/>
  <c r="J39"/>
  <c r="G39"/>
  <c r="D39"/>
  <c r="C39"/>
  <c r="B39"/>
  <c r="K38"/>
  <c r="H38"/>
  <c r="G38"/>
  <c r="F38"/>
  <c r="C38"/>
  <c r="M35" i="117"/>
  <c r="L35"/>
  <c r="K35"/>
  <c r="J35"/>
  <c r="M34"/>
  <c r="L34"/>
  <c r="K34"/>
  <c r="K41" s="1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M39" s="1"/>
  <c r="L24"/>
  <c r="K24"/>
  <c r="K39" s="1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I35"/>
  <c r="H35"/>
  <c r="G35"/>
  <c r="F35"/>
  <c r="I34"/>
  <c r="I41" s="1"/>
  <c r="H34"/>
  <c r="G34"/>
  <c r="G41" s="1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I38" s="1"/>
  <c r="H14"/>
  <c r="G14"/>
  <c r="G38" s="1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H41" s="1"/>
  <c r="G5"/>
  <c r="F5"/>
  <c r="E35"/>
  <c r="D35"/>
  <c r="C35"/>
  <c r="B35"/>
  <c r="E34"/>
  <c r="D34"/>
  <c r="C34"/>
  <c r="C41" s="1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E39" s="1"/>
  <c r="D24"/>
  <c r="C24"/>
  <c r="C39" s="1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D41" s="1"/>
  <c r="C5"/>
  <c r="B5"/>
  <c r="B41" s="1"/>
  <c r="L41"/>
  <c r="J41"/>
  <c r="F41"/>
  <c r="L40"/>
  <c r="J40"/>
  <c r="F40"/>
  <c r="D40"/>
  <c r="C40"/>
  <c r="B40"/>
  <c r="L39"/>
  <c r="J39"/>
  <c r="H39"/>
  <c r="G39"/>
  <c r="F39"/>
  <c r="D39"/>
  <c r="B39"/>
  <c r="L38"/>
  <c r="K38"/>
  <c r="J38"/>
  <c r="H38"/>
  <c r="C38"/>
  <c r="B38"/>
  <c r="M41"/>
  <c r="E41"/>
  <c r="I39"/>
  <c r="M38"/>
  <c r="E38"/>
  <c r="M35" i="90"/>
  <c r="M35" i="89" s="1"/>
  <c r="L35" i="90"/>
  <c r="L35" i="89" s="1"/>
  <c r="K35" i="90"/>
  <c r="K35" i="89" s="1"/>
  <c r="J35" i="90"/>
  <c r="J35" i="89" s="1"/>
  <c r="M34" i="90"/>
  <c r="M34" i="89" s="1"/>
  <c r="L34" i="90"/>
  <c r="L34" i="89" s="1"/>
  <c r="K34" i="90"/>
  <c r="K34" i="89" s="1"/>
  <c r="J34" i="90"/>
  <c r="J34" i="89" s="1"/>
  <c r="M33" i="90"/>
  <c r="M33" i="89" s="1"/>
  <c r="L33" i="90"/>
  <c r="L33" i="89" s="1"/>
  <c r="K33" i="90"/>
  <c r="K33" i="89" s="1"/>
  <c r="J33" i="90"/>
  <c r="J33" i="89" s="1"/>
  <c r="M32" i="90"/>
  <c r="M32" i="89" s="1"/>
  <c r="L32" i="90"/>
  <c r="L32" i="89" s="1"/>
  <c r="K32" i="90"/>
  <c r="K32" i="89" s="1"/>
  <c r="J32" i="90"/>
  <c r="J32" i="89" s="1"/>
  <c r="M31" i="90"/>
  <c r="M31" i="89" s="1"/>
  <c r="L31" i="90"/>
  <c r="L31" i="89" s="1"/>
  <c r="K31" i="90"/>
  <c r="K31" i="89" s="1"/>
  <c r="J31" i="90"/>
  <c r="J31" i="89" s="1"/>
  <c r="M30" i="90"/>
  <c r="M30" i="89" s="1"/>
  <c r="L30" i="90"/>
  <c r="L30" i="89" s="1"/>
  <c r="K30" i="90"/>
  <c r="K30" i="89" s="1"/>
  <c r="J30" i="90"/>
  <c r="J30" i="89" s="1"/>
  <c r="M29" i="90"/>
  <c r="M29" i="89" s="1"/>
  <c r="L29" i="90"/>
  <c r="L29" i="89" s="1"/>
  <c r="K29" i="90"/>
  <c r="K29" i="89" s="1"/>
  <c r="J29" i="90"/>
  <c r="J29" i="89" s="1"/>
  <c r="M28" i="90"/>
  <c r="M28" i="89" s="1"/>
  <c r="L28" i="90"/>
  <c r="L28" i="89" s="1"/>
  <c r="K28" i="90"/>
  <c r="K28" i="89" s="1"/>
  <c r="J28" i="90"/>
  <c r="J28" i="89" s="1"/>
  <c r="M27" i="90"/>
  <c r="M27" i="89" s="1"/>
  <c r="L27" i="90"/>
  <c r="L27" i="89" s="1"/>
  <c r="K27" i="90"/>
  <c r="K27" i="89" s="1"/>
  <c r="J27" i="90"/>
  <c r="J27" i="89" s="1"/>
  <c r="M26" i="90"/>
  <c r="M26" i="89" s="1"/>
  <c r="L26" i="90"/>
  <c r="L26" i="89" s="1"/>
  <c r="K26" i="90"/>
  <c r="K26" i="89" s="1"/>
  <c r="J26" i="90"/>
  <c r="J26" i="89" s="1"/>
  <c r="M25" i="90"/>
  <c r="M25" i="89" s="1"/>
  <c r="L25" i="90"/>
  <c r="L25" i="89" s="1"/>
  <c r="K25" i="90"/>
  <c r="K25" i="89" s="1"/>
  <c r="J25" i="90"/>
  <c r="J25" i="89" s="1"/>
  <c r="M24" i="90"/>
  <c r="M24" i="89" s="1"/>
  <c r="L24" i="90"/>
  <c r="L24" i="89" s="1"/>
  <c r="K24" i="90"/>
  <c r="K24" i="89" s="1"/>
  <c r="J24" i="90"/>
  <c r="J24" i="89" s="1"/>
  <c r="M23" i="90"/>
  <c r="M23" i="89" s="1"/>
  <c r="L23" i="90"/>
  <c r="L23" i="89" s="1"/>
  <c r="K23" i="90"/>
  <c r="K23" i="89" s="1"/>
  <c r="J23" i="90"/>
  <c r="J23" i="89" s="1"/>
  <c r="M22" i="90"/>
  <c r="M22" i="89" s="1"/>
  <c r="L22" i="90"/>
  <c r="L22" i="89" s="1"/>
  <c r="K22" i="90"/>
  <c r="K22" i="89" s="1"/>
  <c r="J22" i="90"/>
  <c r="J22" i="89" s="1"/>
  <c r="M21" i="90"/>
  <c r="M21" i="89" s="1"/>
  <c r="L21" i="90"/>
  <c r="L21" i="89" s="1"/>
  <c r="K21" i="90"/>
  <c r="K21" i="89" s="1"/>
  <c r="J21" i="90"/>
  <c r="J21" i="89" s="1"/>
  <c r="M20" i="90"/>
  <c r="M20" i="89" s="1"/>
  <c r="L20" i="90"/>
  <c r="L20" i="89" s="1"/>
  <c r="K20" i="90"/>
  <c r="K20" i="89" s="1"/>
  <c r="J20" i="90"/>
  <c r="J20" i="89" s="1"/>
  <c r="M19" i="90"/>
  <c r="M19" i="89" s="1"/>
  <c r="L19" i="90"/>
  <c r="L19" i="89" s="1"/>
  <c r="K19" i="90"/>
  <c r="K19" i="89" s="1"/>
  <c r="J19" i="90"/>
  <c r="J19" i="89" s="1"/>
  <c r="M18" i="90"/>
  <c r="M18" i="89" s="1"/>
  <c r="L18" i="90"/>
  <c r="L18" i="89" s="1"/>
  <c r="K18" i="90"/>
  <c r="K18" i="89" s="1"/>
  <c r="J18" i="90"/>
  <c r="J18" i="89" s="1"/>
  <c r="M17" i="90"/>
  <c r="M17" i="89" s="1"/>
  <c r="L17" i="90"/>
  <c r="L17" i="89" s="1"/>
  <c r="K17" i="90"/>
  <c r="K17" i="89" s="1"/>
  <c r="J17" i="90"/>
  <c r="J17" i="89" s="1"/>
  <c r="M16" i="90"/>
  <c r="M16" i="89" s="1"/>
  <c r="L16" i="90"/>
  <c r="L16" i="89" s="1"/>
  <c r="K16" i="90"/>
  <c r="K16" i="89" s="1"/>
  <c r="J16" i="90"/>
  <c r="J16" i="89" s="1"/>
  <c r="M15" i="90"/>
  <c r="M15" i="89" s="1"/>
  <c r="L15" i="90"/>
  <c r="L15" i="89" s="1"/>
  <c r="K15" i="90"/>
  <c r="K15" i="89" s="1"/>
  <c r="J15" i="90"/>
  <c r="J15" i="89" s="1"/>
  <c r="M14" i="90"/>
  <c r="M14" i="89" s="1"/>
  <c r="L14" i="90"/>
  <c r="L14" i="89" s="1"/>
  <c r="K14" i="90"/>
  <c r="K14" i="89" s="1"/>
  <c r="J14" i="90"/>
  <c r="J14" i="89" s="1"/>
  <c r="M13" i="90"/>
  <c r="M13" i="89" s="1"/>
  <c r="L13" i="90"/>
  <c r="L13" i="89" s="1"/>
  <c r="K13" i="90"/>
  <c r="K13" i="89" s="1"/>
  <c r="J13" i="90"/>
  <c r="J13" i="89" s="1"/>
  <c r="M12" i="90"/>
  <c r="M12" i="89" s="1"/>
  <c r="L12" i="90"/>
  <c r="L12" i="89" s="1"/>
  <c r="K12" i="90"/>
  <c r="K12" i="89" s="1"/>
  <c r="J12" i="90"/>
  <c r="J12" i="89" s="1"/>
  <c r="M11" i="90"/>
  <c r="M11" i="89" s="1"/>
  <c r="L11" i="90"/>
  <c r="L11" i="89" s="1"/>
  <c r="K11" i="90"/>
  <c r="K11" i="89" s="1"/>
  <c r="J11" i="90"/>
  <c r="J11" i="89" s="1"/>
  <c r="M10" i="90"/>
  <c r="M10" i="89" s="1"/>
  <c r="L10" i="90"/>
  <c r="L10" i="89" s="1"/>
  <c r="K10" i="90"/>
  <c r="K10" i="89" s="1"/>
  <c r="J10" i="90"/>
  <c r="J10" i="89" s="1"/>
  <c r="M9" i="90"/>
  <c r="M9" i="89" s="1"/>
  <c r="L9" i="90"/>
  <c r="L9" i="89" s="1"/>
  <c r="K9" i="90"/>
  <c r="K9" i="89" s="1"/>
  <c r="J9" i="90"/>
  <c r="J9" i="89" s="1"/>
  <c r="M8" i="90"/>
  <c r="M8" i="89" s="1"/>
  <c r="L8" i="90"/>
  <c r="L8" i="89" s="1"/>
  <c r="K8" i="90"/>
  <c r="K8" i="89" s="1"/>
  <c r="J8" i="90"/>
  <c r="J8" i="89" s="1"/>
  <c r="M7" i="90"/>
  <c r="M7" i="89" s="1"/>
  <c r="L7" i="90"/>
  <c r="L7" i="89" s="1"/>
  <c r="K7" i="90"/>
  <c r="K7" i="89" s="1"/>
  <c r="J7" i="90"/>
  <c r="J7" i="89" s="1"/>
  <c r="M6" i="90"/>
  <c r="M6" i="89" s="1"/>
  <c r="L6" i="90"/>
  <c r="L6" i="89" s="1"/>
  <c r="K6" i="90"/>
  <c r="K6" i="89" s="1"/>
  <c r="J6" i="90"/>
  <c r="J6" i="89" s="1"/>
  <c r="I35" i="90"/>
  <c r="I35" i="89" s="1"/>
  <c r="H35" i="90"/>
  <c r="H35" i="89" s="1"/>
  <c r="G35" i="90"/>
  <c r="G35" i="89" s="1"/>
  <c r="F35" i="90"/>
  <c r="F35" i="89" s="1"/>
  <c r="I34" i="90"/>
  <c r="I34" i="89" s="1"/>
  <c r="H34" i="90"/>
  <c r="H34" i="89" s="1"/>
  <c r="G34" i="90"/>
  <c r="G34" i="89" s="1"/>
  <c r="F34" i="90"/>
  <c r="F34" i="89" s="1"/>
  <c r="I33" i="90"/>
  <c r="I33" i="89" s="1"/>
  <c r="H33" i="90"/>
  <c r="H33" i="89" s="1"/>
  <c r="G33" i="90"/>
  <c r="G33" i="89" s="1"/>
  <c r="F33" i="90"/>
  <c r="F33" i="89" s="1"/>
  <c r="I32" i="90"/>
  <c r="I32" i="89" s="1"/>
  <c r="H32" i="90"/>
  <c r="H32" i="89" s="1"/>
  <c r="G32" i="90"/>
  <c r="G32" i="89" s="1"/>
  <c r="F32" i="90"/>
  <c r="F32" i="89" s="1"/>
  <c r="I31" i="90"/>
  <c r="I31" i="89" s="1"/>
  <c r="H31" i="90"/>
  <c r="H31" i="89" s="1"/>
  <c r="G31" i="90"/>
  <c r="G31" i="89" s="1"/>
  <c r="F31" i="90"/>
  <c r="F31" i="89" s="1"/>
  <c r="I30" i="90"/>
  <c r="I30" i="89" s="1"/>
  <c r="H30" i="90"/>
  <c r="H30" i="89" s="1"/>
  <c r="G30" i="90"/>
  <c r="G30" i="89" s="1"/>
  <c r="F30" i="90"/>
  <c r="F30" i="89" s="1"/>
  <c r="I29" i="90"/>
  <c r="I29" i="89" s="1"/>
  <c r="H29" i="90"/>
  <c r="H29" i="89" s="1"/>
  <c r="G29" i="90"/>
  <c r="G29" i="89" s="1"/>
  <c r="F29" i="90"/>
  <c r="F29" i="89" s="1"/>
  <c r="I28" i="90"/>
  <c r="I28" i="89" s="1"/>
  <c r="H28" i="90"/>
  <c r="H28" i="89" s="1"/>
  <c r="G28" i="90"/>
  <c r="G28" i="89" s="1"/>
  <c r="F28" i="90"/>
  <c r="F28" i="89" s="1"/>
  <c r="I27" i="90"/>
  <c r="I27" i="89" s="1"/>
  <c r="H27" i="90"/>
  <c r="H27" i="89" s="1"/>
  <c r="G27" i="90"/>
  <c r="G27" i="89" s="1"/>
  <c r="F27" i="90"/>
  <c r="F27" i="89" s="1"/>
  <c r="I26" i="90"/>
  <c r="I26" i="89" s="1"/>
  <c r="H26" i="90"/>
  <c r="H26" i="89" s="1"/>
  <c r="G26" i="90"/>
  <c r="G26" i="89" s="1"/>
  <c r="F26" i="90"/>
  <c r="F26" i="89" s="1"/>
  <c r="I25" i="90"/>
  <c r="I25" i="89" s="1"/>
  <c r="H25" i="90"/>
  <c r="H25" i="89" s="1"/>
  <c r="G25" i="90"/>
  <c r="G25" i="89" s="1"/>
  <c r="F25" i="90"/>
  <c r="F25" i="89" s="1"/>
  <c r="I24" i="90"/>
  <c r="I24" i="89" s="1"/>
  <c r="H24" i="90"/>
  <c r="H24" i="89" s="1"/>
  <c r="G24" i="90"/>
  <c r="G24" i="89" s="1"/>
  <c r="F24" i="90"/>
  <c r="F24" i="89" s="1"/>
  <c r="I23" i="90"/>
  <c r="I23" i="89" s="1"/>
  <c r="H23" i="90"/>
  <c r="H23" i="89" s="1"/>
  <c r="G23" i="90"/>
  <c r="G23" i="89" s="1"/>
  <c r="F23" i="90"/>
  <c r="F23" i="89" s="1"/>
  <c r="I22" i="90"/>
  <c r="I22" i="89" s="1"/>
  <c r="H22" i="90"/>
  <c r="H22" i="89" s="1"/>
  <c r="G22" i="90"/>
  <c r="G22" i="89" s="1"/>
  <c r="F22" i="90"/>
  <c r="F22" i="89" s="1"/>
  <c r="I21" i="90"/>
  <c r="I21" i="89" s="1"/>
  <c r="H21" i="90"/>
  <c r="H21" i="89" s="1"/>
  <c r="G21" i="90"/>
  <c r="G21" i="89" s="1"/>
  <c r="F21" i="90"/>
  <c r="F21" i="89" s="1"/>
  <c r="I20" i="90"/>
  <c r="I20" i="89" s="1"/>
  <c r="H20" i="90"/>
  <c r="H20" i="89" s="1"/>
  <c r="G20" i="90"/>
  <c r="G20" i="89" s="1"/>
  <c r="F20" i="90"/>
  <c r="F20" i="89" s="1"/>
  <c r="I19" i="90"/>
  <c r="I19" i="89" s="1"/>
  <c r="H19" i="90"/>
  <c r="H19" i="89" s="1"/>
  <c r="G19" i="90"/>
  <c r="G19" i="89" s="1"/>
  <c r="F19" i="90"/>
  <c r="F19" i="89" s="1"/>
  <c r="I18" i="90"/>
  <c r="I18" i="89" s="1"/>
  <c r="H18" i="90"/>
  <c r="H18" i="89" s="1"/>
  <c r="G18" i="90"/>
  <c r="G18" i="89" s="1"/>
  <c r="F18" i="90"/>
  <c r="F18" i="89" s="1"/>
  <c r="I17" i="90"/>
  <c r="I17" i="89" s="1"/>
  <c r="H17" i="90"/>
  <c r="H17" i="89" s="1"/>
  <c r="G17" i="90"/>
  <c r="G17" i="89" s="1"/>
  <c r="F17" i="90"/>
  <c r="F17" i="89" s="1"/>
  <c r="I16" i="90"/>
  <c r="I16" i="89" s="1"/>
  <c r="H16" i="90"/>
  <c r="H16" i="89" s="1"/>
  <c r="G16" i="90"/>
  <c r="G16" i="89" s="1"/>
  <c r="F16" i="90"/>
  <c r="F16" i="89" s="1"/>
  <c r="I15" i="90"/>
  <c r="I15" i="89" s="1"/>
  <c r="H15" i="90"/>
  <c r="H15" i="89" s="1"/>
  <c r="G15" i="90"/>
  <c r="G15" i="89" s="1"/>
  <c r="F15" i="90"/>
  <c r="F15" i="89" s="1"/>
  <c r="I14" i="90"/>
  <c r="I14" i="89" s="1"/>
  <c r="H14" i="90"/>
  <c r="H14" i="89" s="1"/>
  <c r="G14" i="90"/>
  <c r="G14" i="89" s="1"/>
  <c r="F14" i="90"/>
  <c r="F14" i="89" s="1"/>
  <c r="I13" i="90"/>
  <c r="I13" i="89" s="1"/>
  <c r="H13" i="90"/>
  <c r="H13" i="89" s="1"/>
  <c r="G13" i="90"/>
  <c r="G13" i="89" s="1"/>
  <c r="F13" i="90"/>
  <c r="F13" i="89" s="1"/>
  <c r="I12" i="90"/>
  <c r="I12" i="89" s="1"/>
  <c r="H12" i="90"/>
  <c r="H12" i="89" s="1"/>
  <c r="G12" i="90"/>
  <c r="G12" i="89" s="1"/>
  <c r="F12" i="90"/>
  <c r="F12" i="89" s="1"/>
  <c r="I11" i="90"/>
  <c r="I11" i="89" s="1"/>
  <c r="H11" i="90"/>
  <c r="H11" i="89" s="1"/>
  <c r="G11" i="90"/>
  <c r="G11" i="89" s="1"/>
  <c r="F11" i="90"/>
  <c r="F11" i="89" s="1"/>
  <c r="I10" i="90"/>
  <c r="I10" i="89" s="1"/>
  <c r="H10" i="90"/>
  <c r="H10" i="89" s="1"/>
  <c r="G10" i="90"/>
  <c r="G10" i="89" s="1"/>
  <c r="F10" i="90"/>
  <c r="F10" i="89" s="1"/>
  <c r="I9" i="90"/>
  <c r="I9" i="89" s="1"/>
  <c r="H9" i="90"/>
  <c r="H9" i="89" s="1"/>
  <c r="G9" i="90"/>
  <c r="G9" i="89" s="1"/>
  <c r="F9" i="90"/>
  <c r="F9" i="89" s="1"/>
  <c r="I8" i="90"/>
  <c r="I8" i="89" s="1"/>
  <c r="H8" i="90"/>
  <c r="H8" i="89" s="1"/>
  <c r="G8" i="90"/>
  <c r="G8" i="89" s="1"/>
  <c r="F8" i="90"/>
  <c r="F8" i="89" s="1"/>
  <c r="I7" i="90"/>
  <c r="I7" i="89" s="1"/>
  <c r="H7" i="90"/>
  <c r="H7" i="89" s="1"/>
  <c r="G7" i="90"/>
  <c r="G7" i="89" s="1"/>
  <c r="F7" i="90"/>
  <c r="F7" i="89" s="1"/>
  <c r="I6" i="90"/>
  <c r="I6" i="89" s="1"/>
  <c r="H6" i="90"/>
  <c r="H6" i="89" s="1"/>
  <c r="G6" i="90"/>
  <c r="G6" i="89" s="1"/>
  <c r="F6" i="90"/>
  <c r="F6" i="89" s="1"/>
  <c r="E35" i="90"/>
  <c r="E35" i="89" s="1"/>
  <c r="D35" i="90"/>
  <c r="D35" i="89" s="1"/>
  <c r="C35" i="90"/>
  <c r="C35" i="89" s="1"/>
  <c r="B35" i="90"/>
  <c r="B35" i="89" s="1"/>
  <c r="E34" i="90"/>
  <c r="E34" i="89" s="1"/>
  <c r="D34" i="90"/>
  <c r="D34" i="89" s="1"/>
  <c r="C34" i="90"/>
  <c r="C34" i="89" s="1"/>
  <c r="B34" i="90"/>
  <c r="B34" i="89" s="1"/>
  <c r="E33" i="90"/>
  <c r="E33" i="89" s="1"/>
  <c r="D33" i="90"/>
  <c r="D33" i="89" s="1"/>
  <c r="C33" i="90"/>
  <c r="C33" i="89" s="1"/>
  <c r="B33" i="90"/>
  <c r="B33" i="89" s="1"/>
  <c r="E32" i="90"/>
  <c r="E32" i="89" s="1"/>
  <c r="D32" i="90"/>
  <c r="D32" i="89" s="1"/>
  <c r="C32" i="90"/>
  <c r="C32" i="89" s="1"/>
  <c r="B32" i="90"/>
  <c r="B32" i="89" s="1"/>
  <c r="E31" i="90"/>
  <c r="E31" i="89" s="1"/>
  <c r="D31" i="90"/>
  <c r="D31" i="89" s="1"/>
  <c r="C31" i="90"/>
  <c r="C31" i="89" s="1"/>
  <c r="B31" i="90"/>
  <c r="B31" i="89" s="1"/>
  <c r="E30" i="90"/>
  <c r="E30" i="89" s="1"/>
  <c r="D30" i="90"/>
  <c r="D30" i="89" s="1"/>
  <c r="C30" i="90"/>
  <c r="C30" i="89" s="1"/>
  <c r="B30" i="90"/>
  <c r="B30" i="89" s="1"/>
  <c r="E29" i="90"/>
  <c r="E29" i="89" s="1"/>
  <c r="D29" i="90"/>
  <c r="D29" i="89" s="1"/>
  <c r="C29" i="90"/>
  <c r="C29" i="89" s="1"/>
  <c r="B29" i="90"/>
  <c r="B29" i="89" s="1"/>
  <c r="E28" i="90"/>
  <c r="E28" i="89" s="1"/>
  <c r="D28" i="90"/>
  <c r="D28" i="89" s="1"/>
  <c r="C28" i="90"/>
  <c r="C28" i="89" s="1"/>
  <c r="B28" i="90"/>
  <c r="B28" i="89" s="1"/>
  <c r="E27" i="90"/>
  <c r="E27" i="89" s="1"/>
  <c r="D27" i="90"/>
  <c r="D27" i="89" s="1"/>
  <c r="C27" i="90"/>
  <c r="C27" i="89" s="1"/>
  <c r="B27" i="90"/>
  <c r="B27" i="89" s="1"/>
  <c r="E26" i="90"/>
  <c r="E26" i="89" s="1"/>
  <c r="D26" i="90"/>
  <c r="D26" i="89" s="1"/>
  <c r="C26" i="90"/>
  <c r="C26" i="89" s="1"/>
  <c r="B26" i="90"/>
  <c r="B26" i="89" s="1"/>
  <c r="E25" i="90"/>
  <c r="E25" i="89" s="1"/>
  <c r="D25" i="90"/>
  <c r="D25" i="89" s="1"/>
  <c r="C25" i="90"/>
  <c r="C25" i="89" s="1"/>
  <c r="B25" i="90"/>
  <c r="B25" i="89" s="1"/>
  <c r="E24" i="90"/>
  <c r="E24" i="89" s="1"/>
  <c r="D24" i="90"/>
  <c r="D24" i="89" s="1"/>
  <c r="C24" i="90"/>
  <c r="C24" i="89" s="1"/>
  <c r="B24" i="90"/>
  <c r="B24" i="89" s="1"/>
  <c r="E23" i="90"/>
  <c r="E23" i="89" s="1"/>
  <c r="D23" i="90"/>
  <c r="D23" i="89" s="1"/>
  <c r="C23" i="90"/>
  <c r="C23" i="89" s="1"/>
  <c r="B23" i="90"/>
  <c r="B23" i="89" s="1"/>
  <c r="E22" i="90"/>
  <c r="E22" i="89" s="1"/>
  <c r="D22" i="90"/>
  <c r="D22" i="89" s="1"/>
  <c r="C22" i="90"/>
  <c r="C22" i="89" s="1"/>
  <c r="B22" i="90"/>
  <c r="B22" i="89" s="1"/>
  <c r="E21" i="90"/>
  <c r="E21" i="89" s="1"/>
  <c r="D21" i="90"/>
  <c r="D21" i="89" s="1"/>
  <c r="C21" i="90"/>
  <c r="C21" i="89" s="1"/>
  <c r="B21" i="90"/>
  <c r="B21" i="89" s="1"/>
  <c r="E20" i="90"/>
  <c r="E20" i="89" s="1"/>
  <c r="D20" i="90"/>
  <c r="D20" i="89" s="1"/>
  <c r="C20" i="90"/>
  <c r="C20" i="89" s="1"/>
  <c r="B20" i="90"/>
  <c r="B20" i="89" s="1"/>
  <c r="E19" i="90"/>
  <c r="E19" i="89" s="1"/>
  <c r="D19" i="90"/>
  <c r="D19" i="89" s="1"/>
  <c r="C19" i="90"/>
  <c r="C19" i="89" s="1"/>
  <c r="B19" i="90"/>
  <c r="B19" i="89" s="1"/>
  <c r="E18" i="90"/>
  <c r="E18" i="89" s="1"/>
  <c r="D18" i="90"/>
  <c r="D18" i="89" s="1"/>
  <c r="C18" i="90"/>
  <c r="C18" i="89" s="1"/>
  <c r="B18" i="90"/>
  <c r="B18" i="89" s="1"/>
  <c r="E17" i="90"/>
  <c r="E17" i="89" s="1"/>
  <c r="D17" i="90"/>
  <c r="D17" i="89" s="1"/>
  <c r="C17" i="90"/>
  <c r="C17" i="89" s="1"/>
  <c r="B17" i="90"/>
  <c r="B17" i="89" s="1"/>
  <c r="E16" i="90"/>
  <c r="E16" i="89" s="1"/>
  <c r="D16" i="90"/>
  <c r="D16" i="89" s="1"/>
  <c r="C16" i="90"/>
  <c r="C16" i="89" s="1"/>
  <c r="B16" i="90"/>
  <c r="B16" i="89" s="1"/>
  <c r="E15" i="90"/>
  <c r="E15" i="89" s="1"/>
  <c r="D15" i="90"/>
  <c r="D15" i="89" s="1"/>
  <c r="C15" i="90"/>
  <c r="C15" i="89" s="1"/>
  <c r="B15" i="90"/>
  <c r="B15" i="89" s="1"/>
  <c r="E14" i="90"/>
  <c r="E14" i="89" s="1"/>
  <c r="D14" i="90"/>
  <c r="D14" i="89" s="1"/>
  <c r="C14" i="90"/>
  <c r="C14" i="89" s="1"/>
  <c r="B14" i="90"/>
  <c r="B14" i="89" s="1"/>
  <c r="E13" i="90"/>
  <c r="E13" i="89" s="1"/>
  <c r="D13" i="90"/>
  <c r="D13" i="89" s="1"/>
  <c r="C13" i="90"/>
  <c r="C13" i="89" s="1"/>
  <c r="B13" i="90"/>
  <c r="B13" i="89" s="1"/>
  <c r="E12" i="90"/>
  <c r="E12" i="89" s="1"/>
  <c r="D12" i="90"/>
  <c r="D12" i="89" s="1"/>
  <c r="C12" i="90"/>
  <c r="C12" i="89" s="1"/>
  <c r="B12" i="90"/>
  <c r="B12" i="89" s="1"/>
  <c r="E11" i="90"/>
  <c r="E11" i="89" s="1"/>
  <c r="D11" i="90"/>
  <c r="D11" i="89" s="1"/>
  <c r="C11" i="90"/>
  <c r="C11" i="89" s="1"/>
  <c r="B11" i="90"/>
  <c r="B11" i="89" s="1"/>
  <c r="E10" i="90"/>
  <c r="E10" i="89" s="1"/>
  <c r="D10" i="90"/>
  <c r="D10" i="89" s="1"/>
  <c r="C10" i="90"/>
  <c r="C10" i="89" s="1"/>
  <c r="B10" i="90"/>
  <c r="B10" i="89" s="1"/>
  <c r="E9" i="90"/>
  <c r="E9" i="89" s="1"/>
  <c r="D9" i="90"/>
  <c r="D9" i="89" s="1"/>
  <c r="C9" i="90"/>
  <c r="C9" i="89" s="1"/>
  <c r="B9" i="90"/>
  <c r="B9" i="89" s="1"/>
  <c r="E8" i="90"/>
  <c r="E8" i="89" s="1"/>
  <c r="D8" i="90"/>
  <c r="D8" i="89" s="1"/>
  <c r="C8" i="90"/>
  <c r="C8" i="89" s="1"/>
  <c r="B8" i="90"/>
  <c r="B8" i="89" s="1"/>
  <c r="E7" i="90"/>
  <c r="E7" i="89" s="1"/>
  <c r="D7" i="90"/>
  <c r="D7" i="89" s="1"/>
  <c r="C7" i="90"/>
  <c r="C7" i="89" s="1"/>
  <c r="B7" i="90"/>
  <c r="B7" i="89" s="1"/>
  <c r="E6" i="90"/>
  <c r="E6" i="89" s="1"/>
  <c r="D6" i="90"/>
  <c r="D6" i="89" s="1"/>
  <c r="C6" i="90"/>
  <c r="C6" i="89" s="1"/>
  <c r="B6" i="90"/>
  <c r="B6" i="89" s="1"/>
  <c r="M35" i="70"/>
  <c r="M35" i="80" s="1"/>
  <c r="L35" i="70"/>
  <c r="L35" i="80" s="1"/>
  <c r="K35" i="70"/>
  <c r="K35" i="80" s="1"/>
  <c r="J35" i="70"/>
  <c r="J35" i="80" s="1"/>
  <c r="M34" i="70"/>
  <c r="M34" i="80" s="1"/>
  <c r="L34" i="70"/>
  <c r="L34" i="80" s="1"/>
  <c r="K34" i="70"/>
  <c r="K34" i="80" s="1"/>
  <c r="J34" i="70"/>
  <c r="J34" i="80" s="1"/>
  <c r="M33" i="70"/>
  <c r="M33" i="80" s="1"/>
  <c r="L33" i="70"/>
  <c r="L33" i="80" s="1"/>
  <c r="K33" i="70"/>
  <c r="K33" i="80" s="1"/>
  <c r="J33" i="70"/>
  <c r="J33" i="80" s="1"/>
  <c r="M32" i="70"/>
  <c r="M32" i="80" s="1"/>
  <c r="L32" i="70"/>
  <c r="L32" i="80" s="1"/>
  <c r="K32" i="70"/>
  <c r="K32" i="80" s="1"/>
  <c r="J32" i="70"/>
  <c r="J32" i="80" s="1"/>
  <c r="M31" i="70"/>
  <c r="M31" i="80" s="1"/>
  <c r="L31" i="70"/>
  <c r="L31" i="80" s="1"/>
  <c r="K31" i="70"/>
  <c r="K31" i="80" s="1"/>
  <c r="J31" i="70"/>
  <c r="J31" i="80" s="1"/>
  <c r="M30" i="70"/>
  <c r="M30" i="80" s="1"/>
  <c r="L30" i="70"/>
  <c r="L30" i="80" s="1"/>
  <c r="K30" i="70"/>
  <c r="K30" i="80" s="1"/>
  <c r="J30" i="70"/>
  <c r="J30" i="80" s="1"/>
  <c r="M29" i="70"/>
  <c r="M29" i="80" s="1"/>
  <c r="L29" i="70"/>
  <c r="L29" i="80" s="1"/>
  <c r="K29" i="70"/>
  <c r="K29" i="80" s="1"/>
  <c r="J29" i="70"/>
  <c r="J29" i="80" s="1"/>
  <c r="M28" i="70"/>
  <c r="M28" i="80" s="1"/>
  <c r="L28" i="70"/>
  <c r="L28" i="80" s="1"/>
  <c r="K28" i="70"/>
  <c r="K28" i="80" s="1"/>
  <c r="J28" i="70"/>
  <c r="J28" i="80" s="1"/>
  <c r="M27" i="70"/>
  <c r="M27" i="80" s="1"/>
  <c r="L27" i="70"/>
  <c r="L27" i="80" s="1"/>
  <c r="K27" i="70"/>
  <c r="K27" i="80" s="1"/>
  <c r="J27" i="70"/>
  <c r="J27" i="80" s="1"/>
  <c r="M26" i="70"/>
  <c r="M26" i="80" s="1"/>
  <c r="L26" i="70"/>
  <c r="L26" i="80" s="1"/>
  <c r="K26" i="70"/>
  <c r="K26" i="80" s="1"/>
  <c r="J26" i="70"/>
  <c r="J26" i="80" s="1"/>
  <c r="M25" i="70"/>
  <c r="M25" i="80" s="1"/>
  <c r="L25" i="70"/>
  <c r="L25" i="80" s="1"/>
  <c r="K25" i="70"/>
  <c r="K25" i="80" s="1"/>
  <c r="J25" i="70"/>
  <c r="J25" i="80" s="1"/>
  <c r="M24" i="70"/>
  <c r="M24" i="80" s="1"/>
  <c r="L24" i="70"/>
  <c r="L24" i="80" s="1"/>
  <c r="K24" i="70"/>
  <c r="K24" i="80" s="1"/>
  <c r="J24" i="70"/>
  <c r="J24" i="80" s="1"/>
  <c r="M23" i="70"/>
  <c r="M23" i="80" s="1"/>
  <c r="L23" i="70"/>
  <c r="L23" i="80" s="1"/>
  <c r="K23" i="70"/>
  <c r="K23" i="80" s="1"/>
  <c r="J23" i="70"/>
  <c r="J23" i="80" s="1"/>
  <c r="M22" i="70"/>
  <c r="M22" i="80" s="1"/>
  <c r="L22" i="70"/>
  <c r="L22" i="80" s="1"/>
  <c r="K22" i="70"/>
  <c r="K22" i="80" s="1"/>
  <c r="J22" i="70"/>
  <c r="J22" i="80" s="1"/>
  <c r="M21" i="70"/>
  <c r="M21" i="80" s="1"/>
  <c r="L21" i="70"/>
  <c r="L21" i="80" s="1"/>
  <c r="K21" i="70"/>
  <c r="K21" i="80" s="1"/>
  <c r="J21" i="70"/>
  <c r="J21" i="80" s="1"/>
  <c r="M20" i="70"/>
  <c r="M20" i="80" s="1"/>
  <c r="L20" i="70"/>
  <c r="L20" i="80" s="1"/>
  <c r="K20" i="70"/>
  <c r="K20" i="80" s="1"/>
  <c r="J20" i="70"/>
  <c r="J20" i="80" s="1"/>
  <c r="M19" i="70"/>
  <c r="M19" i="80" s="1"/>
  <c r="L19" i="70"/>
  <c r="L19" i="80" s="1"/>
  <c r="K19" i="70"/>
  <c r="K19" i="80" s="1"/>
  <c r="J19" i="70"/>
  <c r="J19" i="80" s="1"/>
  <c r="M18" i="70"/>
  <c r="M18" i="80" s="1"/>
  <c r="L18" i="70"/>
  <c r="L18" i="80" s="1"/>
  <c r="K18" i="70"/>
  <c r="K18" i="80" s="1"/>
  <c r="J18" i="70"/>
  <c r="J18" i="80" s="1"/>
  <c r="M17" i="70"/>
  <c r="M17" i="80" s="1"/>
  <c r="L17" i="70"/>
  <c r="L17" i="80" s="1"/>
  <c r="K17" i="70"/>
  <c r="K17" i="80" s="1"/>
  <c r="J17" i="70"/>
  <c r="J17" i="80" s="1"/>
  <c r="M16" i="70"/>
  <c r="M16" i="80" s="1"/>
  <c r="L16" i="70"/>
  <c r="L16" i="80" s="1"/>
  <c r="K16" i="70"/>
  <c r="K16" i="80" s="1"/>
  <c r="J16" i="70"/>
  <c r="J16" i="80" s="1"/>
  <c r="M15" i="70"/>
  <c r="M15" i="80" s="1"/>
  <c r="L15" i="70"/>
  <c r="L15" i="80" s="1"/>
  <c r="K15" i="70"/>
  <c r="K15" i="80" s="1"/>
  <c r="J15" i="70"/>
  <c r="J15" i="80" s="1"/>
  <c r="M14" i="70"/>
  <c r="M14" i="80" s="1"/>
  <c r="L14" i="70"/>
  <c r="L14" i="80" s="1"/>
  <c r="K14" i="70"/>
  <c r="K14" i="80" s="1"/>
  <c r="J14" i="70"/>
  <c r="J14" i="80" s="1"/>
  <c r="M13" i="70"/>
  <c r="M13" i="80" s="1"/>
  <c r="L13" i="70"/>
  <c r="L13" i="80" s="1"/>
  <c r="K13" i="70"/>
  <c r="K13" i="80" s="1"/>
  <c r="J13" i="70"/>
  <c r="J13" i="80" s="1"/>
  <c r="M12" i="70"/>
  <c r="M12" i="80" s="1"/>
  <c r="L12" i="70"/>
  <c r="L12" i="80" s="1"/>
  <c r="K12" i="70"/>
  <c r="K12" i="80" s="1"/>
  <c r="J12" i="70"/>
  <c r="J12" i="80" s="1"/>
  <c r="M11" i="70"/>
  <c r="M11" i="80" s="1"/>
  <c r="L11" i="70"/>
  <c r="L11" i="80" s="1"/>
  <c r="K11" i="70"/>
  <c r="K11" i="80" s="1"/>
  <c r="J11" i="70"/>
  <c r="J11" i="80" s="1"/>
  <c r="M10" i="70"/>
  <c r="M10" i="80" s="1"/>
  <c r="L10" i="70"/>
  <c r="L10" i="80" s="1"/>
  <c r="K10" i="70"/>
  <c r="K10" i="80" s="1"/>
  <c r="J10" i="70"/>
  <c r="J10" i="80" s="1"/>
  <c r="M9" i="70"/>
  <c r="M9" i="80" s="1"/>
  <c r="L9" i="70"/>
  <c r="L9" i="80" s="1"/>
  <c r="K9" i="70"/>
  <c r="K9" i="80" s="1"/>
  <c r="J9" i="70"/>
  <c r="J9" i="80" s="1"/>
  <c r="M8" i="70"/>
  <c r="M8" i="80" s="1"/>
  <c r="L8" i="70"/>
  <c r="L8" i="80" s="1"/>
  <c r="K8" i="70"/>
  <c r="K8" i="80" s="1"/>
  <c r="J8" i="70"/>
  <c r="J8" i="80" s="1"/>
  <c r="M7" i="70"/>
  <c r="M7" i="80" s="1"/>
  <c r="L7" i="70"/>
  <c r="L7" i="80" s="1"/>
  <c r="K7" i="70"/>
  <c r="K7" i="80" s="1"/>
  <c r="J7" i="70"/>
  <c r="J7" i="80" s="1"/>
  <c r="M6" i="70"/>
  <c r="M6" i="80" s="1"/>
  <c r="L6" i="70"/>
  <c r="L6" i="80" s="1"/>
  <c r="K6" i="70"/>
  <c r="K6" i="80" s="1"/>
  <c r="J6" i="70"/>
  <c r="J6" i="80" s="1"/>
  <c r="I35" i="70"/>
  <c r="I35" i="80" s="1"/>
  <c r="H35" i="70"/>
  <c r="H35" i="80" s="1"/>
  <c r="G35" i="70"/>
  <c r="G35" i="80" s="1"/>
  <c r="F35" i="70"/>
  <c r="F35" i="80" s="1"/>
  <c r="I34" i="70"/>
  <c r="I34" i="80" s="1"/>
  <c r="H34" i="70"/>
  <c r="H34" i="80" s="1"/>
  <c r="G34" i="70"/>
  <c r="G34" i="80" s="1"/>
  <c r="F34" i="70"/>
  <c r="F34" i="80" s="1"/>
  <c r="I33" i="70"/>
  <c r="I33" i="80" s="1"/>
  <c r="H33" i="70"/>
  <c r="H33" i="80" s="1"/>
  <c r="G33" i="70"/>
  <c r="G33" i="80" s="1"/>
  <c r="F33" i="70"/>
  <c r="F33" i="80" s="1"/>
  <c r="I32" i="70"/>
  <c r="I32" i="80" s="1"/>
  <c r="H32" i="70"/>
  <c r="H32" i="80" s="1"/>
  <c r="G32" i="70"/>
  <c r="G32" i="80" s="1"/>
  <c r="F32" i="70"/>
  <c r="F32" i="80" s="1"/>
  <c r="I31" i="70"/>
  <c r="I31" i="80" s="1"/>
  <c r="H31" i="70"/>
  <c r="H31" i="80" s="1"/>
  <c r="G31" i="70"/>
  <c r="G31" i="80" s="1"/>
  <c r="F31" i="70"/>
  <c r="F31" i="80" s="1"/>
  <c r="I30" i="70"/>
  <c r="I30" i="80" s="1"/>
  <c r="H30" i="70"/>
  <c r="H30" i="80" s="1"/>
  <c r="G30" i="70"/>
  <c r="G30" i="80" s="1"/>
  <c r="F30" i="70"/>
  <c r="F30" i="80" s="1"/>
  <c r="I29" i="70"/>
  <c r="I29" i="80" s="1"/>
  <c r="H29" i="70"/>
  <c r="H29" i="80" s="1"/>
  <c r="G29" i="70"/>
  <c r="G29" i="80" s="1"/>
  <c r="F29" i="70"/>
  <c r="F29" i="80" s="1"/>
  <c r="I28" i="70"/>
  <c r="I28" i="80" s="1"/>
  <c r="H28" i="70"/>
  <c r="H28" i="80" s="1"/>
  <c r="G28" i="70"/>
  <c r="G28" i="80" s="1"/>
  <c r="F28" i="70"/>
  <c r="F28" i="80" s="1"/>
  <c r="I27" i="70"/>
  <c r="I27" i="80" s="1"/>
  <c r="H27" i="70"/>
  <c r="H27" i="80" s="1"/>
  <c r="G27" i="70"/>
  <c r="G27" i="80" s="1"/>
  <c r="F27" i="70"/>
  <c r="F27" i="80" s="1"/>
  <c r="I26" i="70"/>
  <c r="I26" i="80" s="1"/>
  <c r="H26" i="70"/>
  <c r="H26" i="80" s="1"/>
  <c r="G26" i="70"/>
  <c r="G26" i="80" s="1"/>
  <c r="F26" i="70"/>
  <c r="F26" i="80" s="1"/>
  <c r="I25" i="70"/>
  <c r="I25" i="80" s="1"/>
  <c r="H25" i="70"/>
  <c r="H25" i="80" s="1"/>
  <c r="G25" i="70"/>
  <c r="G25" i="80" s="1"/>
  <c r="F25" i="70"/>
  <c r="F25" i="80" s="1"/>
  <c r="I24" i="70"/>
  <c r="I24" i="80" s="1"/>
  <c r="H24" i="70"/>
  <c r="H24" i="80" s="1"/>
  <c r="G24" i="70"/>
  <c r="G24" i="80" s="1"/>
  <c r="F24" i="70"/>
  <c r="F24" i="80" s="1"/>
  <c r="I23" i="70"/>
  <c r="I23" i="80" s="1"/>
  <c r="H23" i="70"/>
  <c r="H23" i="80" s="1"/>
  <c r="G23" i="70"/>
  <c r="G23" i="80" s="1"/>
  <c r="F23" i="70"/>
  <c r="F23" i="80" s="1"/>
  <c r="I22" i="70"/>
  <c r="I22" i="80" s="1"/>
  <c r="H22" i="70"/>
  <c r="H22" i="80" s="1"/>
  <c r="G22" i="70"/>
  <c r="G22" i="80" s="1"/>
  <c r="F22" i="70"/>
  <c r="F22" i="80" s="1"/>
  <c r="I21" i="70"/>
  <c r="I21" i="80" s="1"/>
  <c r="H21" i="70"/>
  <c r="H21" i="80" s="1"/>
  <c r="G21" i="70"/>
  <c r="G21" i="80" s="1"/>
  <c r="F21" i="70"/>
  <c r="F21" i="80" s="1"/>
  <c r="I20" i="70"/>
  <c r="I20" i="80" s="1"/>
  <c r="H20" i="70"/>
  <c r="H20" i="80" s="1"/>
  <c r="G20" i="70"/>
  <c r="G20" i="80" s="1"/>
  <c r="F20" i="70"/>
  <c r="F20" i="80" s="1"/>
  <c r="I19" i="70"/>
  <c r="I19" i="80" s="1"/>
  <c r="H19" i="70"/>
  <c r="H19" i="80" s="1"/>
  <c r="G19" i="70"/>
  <c r="G19" i="80" s="1"/>
  <c r="F19" i="70"/>
  <c r="F19" i="80" s="1"/>
  <c r="I18" i="70"/>
  <c r="I18" i="80" s="1"/>
  <c r="H18" i="70"/>
  <c r="H18" i="80" s="1"/>
  <c r="G18" i="70"/>
  <c r="G18" i="80" s="1"/>
  <c r="F18" i="70"/>
  <c r="F18" i="80" s="1"/>
  <c r="I17" i="70"/>
  <c r="I17" i="80" s="1"/>
  <c r="H17" i="70"/>
  <c r="H17" i="80" s="1"/>
  <c r="G17" i="70"/>
  <c r="G17" i="80" s="1"/>
  <c r="F17" i="70"/>
  <c r="F17" i="80" s="1"/>
  <c r="I16" i="70"/>
  <c r="I16" i="80" s="1"/>
  <c r="H16" i="70"/>
  <c r="H16" i="80" s="1"/>
  <c r="G16" i="70"/>
  <c r="G16" i="80" s="1"/>
  <c r="F16" i="70"/>
  <c r="F16" i="80" s="1"/>
  <c r="I15" i="70"/>
  <c r="I15" i="80" s="1"/>
  <c r="H15" i="70"/>
  <c r="H15" i="80" s="1"/>
  <c r="G15" i="70"/>
  <c r="G15" i="80" s="1"/>
  <c r="F15" i="70"/>
  <c r="F15" i="80" s="1"/>
  <c r="I14" i="70"/>
  <c r="I14" i="80" s="1"/>
  <c r="H14" i="70"/>
  <c r="H14" i="80" s="1"/>
  <c r="G14" i="70"/>
  <c r="G14" i="80" s="1"/>
  <c r="F14" i="70"/>
  <c r="F14" i="80" s="1"/>
  <c r="I13" i="70"/>
  <c r="I13" i="80" s="1"/>
  <c r="H13" i="70"/>
  <c r="H13" i="80" s="1"/>
  <c r="G13" i="70"/>
  <c r="G13" i="80" s="1"/>
  <c r="F13" i="70"/>
  <c r="F13" i="80" s="1"/>
  <c r="I12" i="70"/>
  <c r="I12" i="80" s="1"/>
  <c r="H12" i="70"/>
  <c r="H12" i="80" s="1"/>
  <c r="G12" i="70"/>
  <c r="G12" i="80" s="1"/>
  <c r="F12" i="70"/>
  <c r="F12" i="80" s="1"/>
  <c r="I11" i="70"/>
  <c r="I11" i="80" s="1"/>
  <c r="H11" i="70"/>
  <c r="H11" i="80" s="1"/>
  <c r="G11" i="70"/>
  <c r="G11" i="80" s="1"/>
  <c r="F11" i="70"/>
  <c r="F11" i="80" s="1"/>
  <c r="I10" i="70"/>
  <c r="I10" i="80" s="1"/>
  <c r="H10" i="70"/>
  <c r="H10" i="80" s="1"/>
  <c r="G10" i="70"/>
  <c r="G10" i="80" s="1"/>
  <c r="F10" i="70"/>
  <c r="F10" i="80" s="1"/>
  <c r="I9" i="70"/>
  <c r="I9" i="80" s="1"/>
  <c r="H9" i="70"/>
  <c r="H9" i="80" s="1"/>
  <c r="G9" i="70"/>
  <c r="G9" i="80" s="1"/>
  <c r="F9" i="70"/>
  <c r="F9" i="80" s="1"/>
  <c r="I8" i="70"/>
  <c r="I8" i="80" s="1"/>
  <c r="H8" i="70"/>
  <c r="H8" i="80" s="1"/>
  <c r="G8" i="70"/>
  <c r="G8" i="80" s="1"/>
  <c r="F8" i="70"/>
  <c r="F8" i="80" s="1"/>
  <c r="I7" i="70"/>
  <c r="I7" i="80" s="1"/>
  <c r="H7" i="70"/>
  <c r="H7" i="80" s="1"/>
  <c r="G7" i="70"/>
  <c r="G7" i="80" s="1"/>
  <c r="F7" i="70"/>
  <c r="F7" i="80" s="1"/>
  <c r="I6" i="70"/>
  <c r="I6" i="80" s="1"/>
  <c r="H6" i="70"/>
  <c r="H6" i="80" s="1"/>
  <c r="G6" i="70"/>
  <c r="G6" i="80" s="1"/>
  <c r="F6" i="70"/>
  <c r="F6" i="80" s="1"/>
  <c r="E35" i="70"/>
  <c r="E35" i="80" s="1"/>
  <c r="D35" i="70"/>
  <c r="D35" i="80" s="1"/>
  <c r="C35" i="70"/>
  <c r="C35" i="80" s="1"/>
  <c r="B35" i="70"/>
  <c r="B35" i="80" s="1"/>
  <c r="E34" i="70"/>
  <c r="E34" i="80" s="1"/>
  <c r="D34" i="70"/>
  <c r="D34" i="80" s="1"/>
  <c r="C34" i="70"/>
  <c r="C34" i="80" s="1"/>
  <c r="B34" i="70"/>
  <c r="B34" i="80" s="1"/>
  <c r="E33" i="70"/>
  <c r="E33" i="80" s="1"/>
  <c r="D33" i="70"/>
  <c r="D33" i="80" s="1"/>
  <c r="C33" i="70"/>
  <c r="C33" i="80" s="1"/>
  <c r="B33" i="70"/>
  <c r="B33" i="80" s="1"/>
  <c r="E32" i="70"/>
  <c r="E32" i="80" s="1"/>
  <c r="D32" i="70"/>
  <c r="D32" i="80" s="1"/>
  <c r="C32" i="70"/>
  <c r="C32" i="80" s="1"/>
  <c r="B32" i="70"/>
  <c r="B32" i="80" s="1"/>
  <c r="E31" i="70"/>
  <c r="E31" i="80" s="1"/>
  <c r="D31" i="70"/>
  <c r="D31" i="80" s="1"/>
  <c r="C31" i="70"/>
  <c r="C31" i="80" s="1"/>
  <c r="B31" i="70"/>
  <c r="B31" i="80" s="1"/>
  <c r="E30" i="70"/>
  <c r="E30" i="80" s="1"/>
  <c r="D30" i="70"/>
  <c r="D30" i="80" s="1"/>
  <c r="C30" i="70"/>
  <c r="C30" i="80" s="1"/>
  <c r="B30" i="70"/>
  <c r="B30" i="80" s="1"/>
  <c r="E29" i="70"/>
  <c r="E29" i="80" s="1"/>
  <c r="D29" i="70"/>
  <c r="D29" i="80" s="1"/>
  <c r="C29" i="70"/>
  <c r="C29" i="80" s="1"/>
  <c r="B29" i="70"/>
  <c r="B29" i="80" s="1"/>
  <c r="E28" i="70"/>
  <c r="E28" i="80" s="1"/>
  <c r="D28" i="70"/>
  <c r="D28" i="80" s="1"/>
  <c r="C28" i="70"/>
  <c r="C28" i="80" s="1"/>
  <c r="B28" i="70"/>
  <c r="B28" i="80" s="1"/>
  <c r="E27" i="70"/>
  <c r="E27" i="80" s="1"/>
  <c r="D27" i="70"/>
  <c r="D27" i="80" s="1"/>
  <c r="C27" i="70"/>
  <c r="C27" i="80" s="1"/>
  <c r="B27" i="70"/>
  <c r="B27" i="80" s="1"/>
  <c r="E26" i="70"/>
  <c r="E26" i="80" s="1"/>
  <c r="D26" i="70"/>
  <c r="D26" i="80" s="1"/>
  <c r="C26" i="70"/>
  <c r="C26" i="80" s="1"/>
  <c r="B26" i="70"/>
  <c r="B26" i="80" s="1"/>
  <c r="E25" i="70"/>
  <c r="E25" i="80" s="1"/>
  <c r="D25" i="70"/>
  <c r="D25" i="80" s="1"/>
  <c r="C25" i="70"/>
  <c r="C25" i="80" s="1"/>
  <c r="B25" i="70"/>
  <c r="B25" i="80" s="1"/>
  <c r="E24" i="70"/>
  <c r="E24" i="80" s="1"/>
  <c r="D24" i="70"/>
  <c r="D24" i="80" s="1"/>
  <c r="C24" i="70"/>
  <c r="C24" i="80" s="1"/>
  <c r="B24" i="70"/>
  <c r="B24" i="80" s="1"/>
  <c r="E23" i="70"/>
  <c r="E23" i="80" s="1"/>
  <c r="D23" i="70"/>
  <c r="D23" i="80" s="1"/>
  <c r="C23" i="70"/>
  <c r="C23" i="80" s="1"/>
  <c r="B23" i="70"/>
  <c r="B23" i="80" s="1"/>
  <c r="E22" i="70"/>
  <c r="E22" i="80" s="1"/>
  <c r="D22" i="70"/>
  <c r="D22" i="80" s="1"/>
  <c r="C22" i="70"/>
  <c r="C22" i="80" s="1"/>
  <c r="B22" i="70"/>
  <c r="B22" i="80" s="1"/>
  <c r="E21" i="70"/>
  <c r="E21" i="80" s="1"/>
  <c r="D21" i="70"/>
  <c r="D21" i="80" s="1"/>
  <c r="C21" i="70"/>
  <c r="C21" i="80" s="1"/>
  <c r="B21" i="70"/>
  <c r="B21" i="80" s="1"/>
  <c r="E20" i="70"/>
  <c r="E20" i="80" s="1"/>
  <c r="D20" i="70"/>
  <c r="D20" i="80" s="1"/>
  <c r="C20" i="70"/>
  <c r="C20" i="80" s="1"/>
  <c r="B20" i="70"/>
  <c r="B20" i="80" s="1"/>
  <c r="E19" i="70"/>
  <c r="E19" i="80" s="1"/>
  <c r="D19" i="70"/>
  <c r="D19" i="80" s="1"/>
  <c r="C19" i="70"/>
  <c r="C19" i="80" s="1"/>
  <c r="B19" i="70"/>
  <c r="B19" i="80" s="1"/>
  <c r="E18" i="70"/>
  <c r="E18" i="80" s="1"/>
  <c r="D18" i="70"/>
  <c r="D18" i="80" s="1"/>
  <c r="C18" i="70"/>
  <c r="C18" i="80" s="1"/>
  <c r="B18" i="70"/>
  <c r="B18" i="80" s="1"/>
  <c r="E17" i="70"/>
  <c r="E17" i="80" s="1"/>
  <c r="D17" i="70"/>
  <c r="D17" i="80" s="1"/>
  <c r="C17" i="70"/>
  <c r="C17" i="80" s="1"/>
  <c r="B17" i="70"/>
  <c r="B17" i="80" s="1"/>
  <c r="E16" i="70"/>
  <c r="E16" i="80" s="1"/>
  <c r="D16" i="70"/>
  <c r="D16" i="80" s="1"/>
  <c r="C16" i="70"/>
  <c r="C16" i="80" s="1"/>
  <c r="B16" i="70"/>
  <c r="B16" i="80" s="1"/>
  <c r="E15" i="70"/>
  <c r="E15" i="80" s="1"/>
  <c r="D15" i="70"/>
  <c r="D15" i="80" s="1"/>
  <c r="C15" i="70"/>
  <c r="C15" i="80" s="1"/>
  <c r="B15" i="70"/>
  <c r="B15" i="80" s="1"/>
  <c r="E14" i="70"/>
  <c r="E14" i="80" s="1"/>
  <c r="D14" i="70"/>
  <c r="D14" i="80" s="1"/>
  <c r="C14" i="70"/>
  <c r="C14" i="80" s="1"/>
  <c r="B14" i="70"/>
  <c r="B14" i="80" s="1"/>
  <c r="E13" i="70"/>
  <c r="E13" i="80" s="1"/>
  <c r="D13" i="70"/>
  <c r="D13" i="80" s="1"/>
  <c r="C13" i="70"/>
  <c r="C13" i="80" s="1"/>
  <c r="B13" i="70"/>
  <c r="B13" i="80" s="1"/>
  <c r="E12" i="70"/>
  <c r="E12" i="80" s="1"/>
  <c r="D12" i="70"/>
  <c r="D12" i="80" s="1"/>
  <c r="C12" i="70"/>
  <c r="C12" i="80" s="1"/>
  <c r="B12" i="70"/>
  <c r="B12" i="80" s="1"/>
  <c r="E11" i="70"/>
  <c r="E11" i="80" s="1"/>
  <c r="D11" i="70"/>
  <c r="D11" i="80" s="1"/>
  <c r="C11" i="70"/>
  <c r="C11" i="80" s="1"/>
  <c r="B11" i="70"/>
  <c r="B11" i="80" s="1"/>
  <c r="E10" i="70"/>
  <c r="E10" i="80" s="1"/>
  <c r="D10" i="70"/>
  <c r="D10" i="80" s="1"/>
  <c r="C10" i="70"/>
  <c r="C10" i="80" s="1"/>
  <c r="B10" i="70"/>
  <c r="B10" i="80" s="1"/>
  <c r="E9" i="70"/>
  <c r="E9" i="80" s="1"/>
  <c r="D9" i="70"/>
  <c r="D9" i="80" s="1"/>
  <c r="C9" i="70"/>
  <c r="C9" i="80" s="1"/>
  <c r="B9" i="70"/>
  <c r="B9" i="80" s="1"/>
  <c r="E8" i="70"/>
  <c r="E8" i="80" s="1"/>
  <c r="D8" i="70"/>
  <c r="D8" i="80" s="1"/>
  <c r="C8" i="70"/>
  <c r="C8" i="80" s="1"/>
  <c r="B8" i="70"/>
  <c r="B8" i="80" s="1"/>
  <c r="E7" i="70"/>
  <c r="E7" i="80" s="1"/>
  <c r="D7" i="70"/>
  <c r="D7" i="80" s="1"/>
  <c r="C7" i="70"/>
  <c r="C7" i="80" s="1"/>
  <c r="B7" i="70"/>
  <c r="B7" i="80" s="1"/>
  <c r="E6" i="70"/>
  <c r="E6" i="80" s="1"/>
  <c r="D6" i="70"/>
  <c r="D6" i="80" s="1"/>
  <c r="C6" i="70"/>
  <c r="C6" i="80" s="1"/>
  <c r="B6" i="70"/>
  <c r="B6" i="80" s="1"/>
  <c r="G38" i="8"/>
  <c r="M35" i="86"/>
  <c r="M35" i="85" s="1"/>
  <c r="L35" i="86"/>
  <c r="L35" i="85" s="1"/>
  <c r="K35" i="86"/>
  <c r="K35" i="85" s="1"/>
  <c r="J35" i="86"/>
  <c r="J35" i="85" s="1"/>
  <c r="M34" i="86"/>
  <c r="M34" i="85" s="1"/>
  <c r="L34" i="86"/>
  <c r="L34" i="85" s="1"/>
  <c r="K34" i="86"/>
  <c r="K34" i="85" s="1"/>
  <c r="J34" i="86"/>
  <c r="J34" i="85" s="1"/>
  <c r="M33" i="86"/>
  <c r="M33" i="85" s="1"/>
  <c r="L33" i="86"/>
  <c r="L33" i="85" s="1"/>
  <c r="K33" i="86"/>
  <c r="K33" i="85" s="1"/>
  <c r="J33" i="86"/>
  <c r="J33" i="85" s="1"/>
  <c r="M32" i="86"/>
  <c r="M32" i="85" s="1"/>
  <c r="L32" i="86"/>
  <c r="L32" i="85" s="1"/>
  <c r="K32" i="86"/>
  <c r="K32" i="85" s="1"/>
  <c r="J32" i="86"/>
  <c r="J32" i="85" s="1"/>
  <c r="M31" i="86"/>
  <c r="M31" i="85" s="1"/>
  <c r="L31" i="86"/>
  <c r="L31" i="85" s="1"/>
  <c r="K31" i="86"/>
  <c r="K31" i="85" s="1"/>
  <c r="J31" i="86"/>
  <c r="J31" i="85" s="1"/>
  <c r="M30" i="86"/>
  <c r="M30" i="85" s="1"/>
  <c r="L30" i="86"/>
  <c r="L30" i="85" s="1"/>
  <c r="K30" i="86"/>
  <c r="K30" i="85" s="1"/>
  <c r="J30" i="86"/>
  <c r="J30" i="85" s="1"/>
  <c r="M29" i="86"/>
  <c r="M29" i="85" s="1"/>
  <c r="L29" i="86"/>
  <c r="L29" i="85" s="1"/>
  <c r="K29" i="86"/>
  <c r="K29" i="85" s="1"/>
  <c r="J29" i="86"/>
  <c r="J29" i="85" s="1"/>
  <c r="M28" i="86"/>
  <c r="M28" i="85" s="1"/>
  <c r="L28" i="86"/>
  <c r="L28" i="85" s="1"/>
  <c r="K28" i="86"/>
  <c r="K28" i="85" s="1"/>
  <c r="J28" i="86"/>
  <c r="J28" i="85" s="1"/>
  <c r="M27" i="86"/>
  <c r="M27" i="85" s="1"/>
  <c r="L27" i="86"/>
  <c r="L27" i="85" s="1"/>
  <c r="K27" i="86"/>
  <c r="K27" i="85" s="1"/>
  <c r="J27" i="86"/>
  <c r="J27" i="85" s="1"/>
  <c r="M26" i="86"/>
  <c r="M26" i="85" s="1"/>
  <c r="L26" i="86"/>
  <c r="L26" i="85" s="1"/>
  <c r="K26" i="86"/>
  <c r="K26" i="85" s="1"/>
  <c r="J26" i="86"/>
  <c r="J26" i="85" s="1"/>
  <c r="M25" i="86"/>
  <c r="M25" i="85" s="1"/>
  <c r="L25" i="86"/>
  <c r="L25" i="85" s="1"/>
  <c r="K25" i="86"/>
  <c r="K25" i="85" s="1"/>
  <c r="J25" i="86"/>
  <c r="J25" i="85" s="1"/>
  <c r="M24" i="86"/>
  <c r="M24" i="85" s="1"/>
  <c r="L24" i="86"/>
  <c r="L24" i="85" s="1"/>
  <c r="K24" i="86"/>
  <c r="K24" i="85" s="1"/>
  <c r="J24" i="86"/>
  <c r="J24" i="85" s="1"/>
  <c r="M23" i="86"/>
  <c r="M23" i="85" s="1"/>
  <c r="L23" i="86"/>
  <c r="L23" i="85" s="1"/>
  <c r="K23" i="86"/>
  <c r="K23" i="85" s="1"/>
  <c r="J23" i="86"/>
  <c r="J23" i="85" s="1"/>
  <c r="M22" i="86"/>
  <c r="M22" i="85" s="1"/>
  <c r="L22" i="86"/>
  <c r="L22" i="85" s="1"/>
  <c r="K22" i="86"/>
  <c r="K22" i="85" s="1"/>
  <c r="J22" i="86"/>
  <c r="J22" i="85" s="1"/>
  <c r="M21" i="86"/>
  <c r="M21" i="85" s="1"/>
  <c r="L21" i="86"/>
  <c r="L21" i="85" s="1"/>
  <c r="K21" i="86"/>
  <c r="K21" i="85" s="1"/>
  <c r="J21" i="86"/>
  <c r="J21" i="85" s="1"/>
  <c r="M20" i="86"/>
  <c r="M20" i="85" s="1"/>
  <c r="L20" i="86"/>
  <c r="L20" i="85" s="1"/>
  <c r="K20" i="86"/>
  <c r="K20" i="85" s="1"/>
  <c r="J20" i="86"/>
  <c r="J20" i="85" s="1"/>
  <c r="M19" i="86"/>
  <c r="M19" i="85" s="1"/>
  <c r="L19" i="86"/>
  <c r="L19" i="85" s="1"/>
  <c r="K19" i="86"/>
  <c r="K19" i="85" s="1"/>
  <c r="J19" i="86"/>
  <c r="J19" i="85" s="1"/>
  <c r="M18" i="86"/>
  <c r="M18" i="85" s="1"/>
  <c r="L18" i="86"/>
  <c r="L18" i="85" s="1"/>
  <c r="K18" i="86"/>
  <c r="K18" i="85" s="1"/>
  <c r="J18" i="86"/>
  <c r="J18" i="85" s="1"/>
  <c r="M17" i="86"/>
  <c r="M17" i="85" s="1"/>
  <c r="L17" i="86"/>
  <c r="L17" i="85" s="1"/>
  <c r="K17" i="86"/>
  <c r="K17" i="85" s="1"/>
  <c r="J17" i="86"/>
  <c r="J17" i="85" s="1"/>
  <c r="M16" i="86"/>
  <c r="M16" i="85" s="1"/>
  <c r="L16" i="86"/>
  <c r="L16" i="85" s="1"/>
  <c r="K16" i="86"/>
  <c r="K16" i="85" s="1"/>
  <c r="J16" i="86"/>
  <c r="J16" i="85" s="1"/>
  <c r="M15" i="86"/>
  <c r="M15" i="85" s="1"/>
  <c r="L15" i="86"/>
  <c r="L15" i="85" s="1"/>
  <c r="K15" i="86"/>
  <c r="K15" i="85" s="1"/>
  <c r="J15" i="86"/>
  <c r="J15" i="85" s="1"/>
  <c r="M14" i="86"/>
  <c r="M14" i="85" s="1"/>
  <c r="L14" i="86"/>
  <c r="L14" i="85" s="1"/>
  <c r="K14" i="86"/>
  <c r="K14" i="85" s="1"/>
  <c r="J14" i="86"/>
  <c r="J14" i="85" s="1"/>
  <c r="M13" i="86"/>
  <c r="M13" i="85" s="1"/>
  <c r="L13" i="86"/>
  <c r="L13" i="85" s="1"/>
  <c r="K13" i="86"/>
  <c r="K13" i="85" s="1"/>
  <c r="J13" i="86"/>
  <c r="J13" i="85" s="1"/>
  <c r="M12" i="86"/>
  <c r="M12" i="85" s="1"/>
  <c r="L12" i="86"/>
  <c r="L12" i="85" s="1"/>
  <c r="K12" i="86"/>
  <c r="K12" i="85" s="1"/>
  <c r="J12" i="86"/>
  <c r="J12" i="85" s="1"/>
  <c r="M11" i="86"/>
  <c r="M11" i="85" s="1"/>
  <c r="L11" i="86"/>
  <c r="L11" i="85" s="1"/>
  <c r="K11" i="86"/>
  <c r="K11" i="85" s="1"/>
  <c r="J11" i="86"/>
  <c r="J11" i="85" s="1"/>
  <c r="M10" i="86"/>
  <c r="M10" i="85" s="1"/>
  <c r="L10" i="86"/>
  <c r="L10" i="85" s="1"/>
  <c r="K10" i="86"/>
  <c r="K10" i="85" s="1"/>
  <c r="J10" i="86"/>
  <c r="J10" i="85" s="1"/>
  <c r="M9" i="86"/>
  <c r="M9" i="85" s="1"/>
  <c r="L9" i="86"/>
  <c r="L9" i="85" s="1"/>
  <c r="K9" i="86"/>
  <c r="K9" i="85" s="1"/>
  <c r="J9" i="86"/>
  <c r="J9" i="85" s="1"/>
  <c r="M8" i="86"/>
  <c r="M8" i="85" s="1"/>
  <c r="L8" i="86"/>
  <c r="L8" i="85" s="1"/>
  <c r="K8" i="86"/>
  <c r="K8" i="85" s="1"/>
  <c r="J8" i="86"/>
  <c r="J8" i="85" s="1"/>
  <c r="M7" i="86"/>
  <c r="M7" i="85" s="1"/>
  <c r="L7" i="86"/>
  <c r="L7" i="85" s="1"/>
  <c r="K7" i="86"/>
  <c r="K7" i="85" s="1"/>
  <c r="J7" i="86"/>
  <c r="J7" i="85" s="1"/>
  <c r="M6" i="86"/>
  <c r="M6" i="85" s="1"/>
  <c r="L6" i="86"/>
  <c r="L6" i="85" s="1"/>
  <c r="K6" i="86"/>
  <c r="K6" i="85" s="1"/>
  <c r="J6" i="86"/>
  <c r="J6" i="85" s="1"/>
  <c r="I35" i="86"/>
  <c r="I35" i="85" s="1"/>
  <c r="H35" i="86"/>
  <c r="H35" i="85" s="1"/>
  <c r="G35" i="86"/>
  <c r="G35" i="85" s="1"/>
  <c r="F35" i="86"/>
  <c r="F35" i="85" s="1"/>
  <c r="I34" i="86"/>
  <c r="I34" i="85" s="1"/>
  <c r="H34" i="86"/>
  <c r="H34" i="85" s="1"/>
  <c r="G34" i="86"/>
  <c r="G34" i="85" s="1"/>
  <c r="F34" i="86"/>
  <c r="F34" i="85" s="1"/>
  <c r="I33" i="86"/>
  <c r="I33" i="85" s="1"/>
  <c r="H33" i="86"/>
  <c r="H33" i="85" s="1"/>
  <c r="G33" i="86"/>
  <c r="G33" i="85" s="1"/>
  <c r="F33" i="86"/>
  <c r="F33" i="85" s="1"/>
  <c r="I32" i="86"/>
  <c r="I32" i="85" s="1"/>
  <c r="H32" i="86"/>
  <c r="H32" i="85" s="1"/>
  <c r="G32" i="86"/>
  <c r="G32" i="85" s="1"/>
  <c r="F32" i="86"/>
  <c r="F32" i="85" s="1"/>
  <c r="I31" i="86"/>
  <c r="I31" i="85" s="1"/>
  <c r="H31" i="86"/>
  <c r="H31" i="85" s="1"/>
  <c r="G31" i="86"/>
  <c r="G31" i="85" s="1"/>
  <c r="F31" i="86"/>
  <c r="F31" i="85" s="1"/>
  <c r="I30" i="86"/>
  <c r="I30" i="85" s="1"/>
  <c r="H30" i="86"/>
  <c r="H30" i="85" s="1"/>
  <c r="G30" i="86"/>
  <c r="G30" i="85" s="1"/>
  <c r="F30" i="86"/>
  <c r="F30" i="85" s="1"/>
  <c r="I29" i="86"/>
  <c r="I29" i="85" s="1"/>
  <c r="H29" i="86"/>
  <c r="H29" i="85" s="1"/>
  <c r="G29" i="86"/>
  <c r="G29" i="85" s="1"/>
  <c r="F29" i="86"/>
  <c r="F29" i="85" s="1"/>
  <c r="I28" i="86"/>
  <c r="I28" i="85" s="1"/>
  <c r="H28" i="86"/>
  <c r="H28" i="85" s="1"/>
  <c r="G28" i="86"/>
  <c r="G28" i="85" s="1"/>
  <c r="F28" i="86"/>
  <c r="F28" i="85" s="1"/>
  <c r="I27" i="86"/>
  <c r="I27" i="85" s="1"/>
  <c r="H27" i="86"/>
  <c r="H27" i="85" s="1"/>
  <c r="G27" i="86"/>
  <c r="G27" i="85" s="1"/>
  <c r="F27" i="86"/>
  <c r="F27" i="85" s="1"/>
  <c r="I26" i="86"/>
  <c r="I26" i="85" s="1"/>
  <c r="H26" i="86"/>
  <c r="H26" i="85" s="1"/>
  <c r="G26" i="86"/>
  <c r="G26" i="85" s="1"/>
  <c r="F26" i="86"/>
  <c r="F26" i="85" s="1"/>
  <c r="I25" i="86"/>
  <c r="I25" i="85" s="1"/>
  <c r="H25" i="86"/>
  <c r="H25" i="85" s="1"/>
  <c r="G25" i="86"/>
  <c r="G25" i="85" s="1"/>
  <c r="F25" i="86"/>
  <c r="F25" i="85" s="1"/>
  <c r="I24" i="86"/>
  <c r="I24" i="85" s="1"/>
  <c r="H24" i="86"/>
  <c r="H24" i="85" s="1"/>
  <c r="G24" i="86"/>
  <c r="G24" i="85" s="1"/>
  <c r="F24" i="86"/>
  <c r="F24" i="85" s="1"/>
  <c r="I23" i="86"/>
  <c r="I23" i="85" s="1"/>
  <c r="H23" i="86"/>
  <c r="H23" i="85" s="1"/>
  <c r="G23" i="86"/>
  <c r="G23" i="85" s="1"/>
  <c r="F23" i="86"/>
  <c r="F23" i="85" s="1"/>
  <c r="I22" i="86"/>
  <c r="I22" i="85" s="1"/>
  <c r="H22" i="86"/>
  <c r="H22" i="85" s="1"/>
  <c r="G22" i="86"/>
  <c r="G22" i="85" s="1"/>
  <c r="F22" i="86"/>
  <c r="F22" i="85" s="1"/>
  <c r="I21" i="86"/>
  <c r="I21" i="85" s="1"/>
  <c r="H21" i="86"/>
  <c r="H21" i="85" s="1"/>
  <c r="G21" i="86"/>
  <c r="G21" i="85" s="1"/>
  <c r="F21" i="86"/>
  <c r="F21" i="85" s="1"/>
  <c r="I20" i="86"/>
  <c r="I20" i="85" s="1"/>
  <c r="H20" i="86"/>
  <c r="H20" i="85" s="1"/>
  <c r="G20" i="86"/>
  <c r="G20" i="85" s="1"/>
  <c r="F20" i="86"/>
  <c r="F20" i="85" s="1"/>
  <c r="I19" i="86"/>
  <c r="I19" i="85" s="1"/>
  <c r="H19" i="86"/>
  <c r="H19" i="85" s="1"/>
  <c r="G19" i="86"/>
  <c r="G19" i="85" s="1"/>
  <c r="F19" i="86"/>
  <c r="F19" i="85" s="1"/>
  <c r="I18" i="86"/>
  <c r="I18" i="85" s="1"/>
  <c r="H18" i="86"/>
  <c r="H18" i="85" s="1"/>
  <c r="G18" i="86"/>
  <c r="G18" i="85" s="1"/>
  <c r="F18" i="86"/>
  <c r="F18" i="85" s="1"/>
  <c r="I17" i="86"/>
  <c r="I17" i="85" s="1"/>
  <c r="H17" i="86"/>
  <c r="H17" i="85" s="1"/>
  <c r="G17" i="86"/>
  <c r="G17" i="85" s="1"/>
  <c r="F17" i="86"/>
  <c r="F17" i="85" s="1"/>
  <c r="I16" i="86"/>
  <c r="I16" i="85" s="1"/>
  <c r="H16" i="86"/>
  <c r="H16" i="85" s="1"/>
  <c r="G16" i="86"/>
  <c r="G16" i="85" s="1"/>
  <c r="F16" i="86"/>
  <c r="F16" i="85" s="1"/>
  <c r="I15" i="86"/>
  <c r="I15" i="85" s="1"/>
  <c r="H15" i="86"/>
  <c r="H15" i="85" s="1"/>
  <c r="G15" i="86"/>
  <c r="G15" i="85" s="1"/>
  <c r="F15" i="86"/>
  <c r="F15" i="85" s="1"/>
  <c r="I14" i="86"/>
  <c r="I14" i="85" s="1"/>
  <c r="H14" i="86"/>
  <c r="H14" i="85" s="1"/>
  <c r="G14" i="86"/>
  <c r="G14" i="85" s="1"/>
  <c r="F14" i="86"/>
  <c r="F14" i="85" s="1"/>
  <c r="I13" i="86"/>
  <c r="I13" i="85" s="1"/>
  <c r="H13" i="86"/>
  <c r="H13" i="85" s="1"/>
  <c r="G13" i="86"/>
  <c r="G13" i="85" s="1"/>
  <c r="F13" i="86"/>
  <c r="F13" i="85" s="1"/>
  <c r="I12" i="86"/>
  <c r="I12" i="85" s="1"/>
  <c r="H12" i="86"/>
  <c r="H12" i="85" s="1"/>
  <c r="G12" i="86"/>
  <c r="G12" i="85" s="1"/>
  <c r="F12" i="86"/>
  <c r="F12" i="85" s="1"/>
  <c r="I11" i="86"/>
  <c r="I11" i="85" s="1"/>
  <c r="H11" i="86"/>
  <c r="H11" i="85" s="1"/>
  <c r="G11" i="86"/>
  <c r="G11" i="85" s="1"/>
  <c r="F11" i="86"/>
  <c r="F11" i="85" s="1"/>
  <c r="I10" i="86"/>
  <c r="I10" i="85" s="1"/>
  <c r="H10" i="86"/>
  <c r="H10" i="85" s="1"/>
  <c r="G10" i="86"/>
  <c r="G10" i="85" s="1"/>
  <c r="F10" i="86"/>
  <c r="F10" i="85" s="1"/>
  <c r="I9" i="86"/>
  <c r="I9" i="85" s="1"/>
  <c r="H9" i="86"/>
  <c r="H9" i="85" s="1"/>
  <c r="G9" i="86"/>
  <c r="G9" i="85" s="1"/>
  <c r="F9" i="86"/>
  <c r="F9" i="85" s="1"/>
  <c r="I8" i="86"/>
  <c r="I8" i="85" s="1"/>
  <c r="H8" i="86"/>
  <c r="H8" i="85" s="1"/>
  <c r="G8" i="86"/>
  <c r="G8" i="85" s="1"/>
  <c r="F8" i="86"/>
  <c r="F8" i="85" s="1"/>
  <c r="I7" i="86"/>
  <c r="I7" i="85" s="1"/>
  <c r="H7" i="86"/>
  <c r="H7" i="85" s="1"/>
  <c r="G7" i="86"/>
  <c r="G7" i="85" s="1"/>
  <c r="F7" i="86"/>
  <c r="F7" i="85" s="1"/>
  <c r="I6" i="86"/>
  <c r="I6" i="85" s="1"/>
  <c r="H6" i="86"/>
  <c r="H6" i="85" s="1"/>
  <c r="G6" i="86"/>
  <c r="G6" i="85" s="1"/>
  <c r="F6" i="86"/>
  <c r="F6" i="85" s="1"/>
  <c r="E35" i="86"/>
  <c r="E35" i="85" s="1"/>
  <c r="D35" i="86"/>
  <c r="D35" i="85" s="1"/>
  <c r="C35" i="86"/>
  <c r="C35" i="85" s="1"/>
  <c r="B35" i="86"/>
  <c r="B35" i="85" s="1"/>
  <c r="E34" i="86"/>
  <c r="E34" i="85" s="1"/>
  <c r="D34" i="86"/>
  <c r="D34" i="85" s="1"/>
  <c r="C34" i="86"/>
  <c r="C34" i="85" s="1"/>
  <c r="B34" i="86"/>
  <c r="B34" i="85" s="1"/>
  <c r="E33" i="86"/>
  <c r="E33" i="85" s="1"/>
  <c r="D33" i="86"/>
  <c r="D33" i="85" s="1"/>
  <c r="C33" i="86"/>
  <c r="C33" i="85" s="1"/>
  <c r="B33" i="86"/>
  <c r="B33" i="85" s="1"/>
  <c r="E32" i="86"/>
  <c r="E32" i="85" s="1"/>
  <c r="D32" i="86"/>
  <c r="D32" i="85" s="1"/>
  <c r="C32" i="86"/>
  <c r="C32" i="85" s="1"/>
  <c r="B32" i="86"/>
  <c r="B32" i="85" s="1"/>
  <c r="E31" i="86"/>
  <c r="E31" i="85" s="1"/>
  <c r="D31" i="86"/>
  <c r="D31" i="85" s="1"/>
  <c r="C31" i="86"/>
  <c r="C31" i="85" s="1"/>
  <c r="B31" i="86"/>
  <c r="B31" i="85" s="1"/>
  <c r="E30" i="86"/>
  <c r="E30" i="85" s="1"/>
  <c r="D30" i="86"/>
  <c r="D30" i="85" s="1"/>
  <c r="C30" i="86"/>
  <c r="C30" i="85" s="1"/>
  <c r="B30" i="86"/>
  <c r="B30" i="85" s="1"/>
  <c r="E29" i="86"/>
  <c r="E29" i="85" s="1"/>
  <c r="D29" i="86"/>
  <c r="D29" i="85" s="1"/>
  <c r="C29" i="86"/>
  <c r="C29" i="85" s="1"/>
  <c r="B29" i="86"/>
  <c r="B29" i="85" s="1"/>
  <c r="E28" i="86"/>
  <c r="E28" i="85" s="1"/>
  <c r="D28" i="86"/>
  <c r="D28" i="85" s="1"/>
  <c r="C28" i="86"/>
  <c r="C28" i="85" s="1"/>
  <c r="B28" i="86"/>
  <c r="B28" i="85" s="1"/>
  <c r="E27" i="86"/>
  <c r="E27" i="85" s="1"/>
  <c r="D27" i="86"/>
  <c r="D27" i="85" s="1"/>
  <c r="C27" i="86"/>
  <c r="C27" i="85" s="1"/>
  <c r="B27" i="86"/>
  <c r="B27" i="85" s="1"/>
  <c r="E26" i="86"/>
  <c r="E26" i="85" s="1"/>
  <c r="D26" i="86"/>
  <c r="D26" i="85" s="1"/>
  <c r="C26" i="86"/>
  <c r="C26" i="85" s="1"/>
  <c r="B26" i="86"/>
  <c r="B26" i="85" s="1"/>
  <c r="E25" i="86"/>
  <c r="E25" i="85" s="1"/>
  <c r="D25" i="86"/>
  <c r="D25" i="85" s="1"/>
  <c r="C25" i="86"/>
  <c r="C25" i="85" s="1"/>
  <c r="B25" i="86"/>
  <c r="B25" i="85" s="1"/>
  <c r="E24" i="86"/>
  <c r="E24" i="85" s="1"/>
  <c r="D24" i="86"/>
  <c r="D24" i="85" s="1"/>
  <c r="C24" i="86"/>
  <c r="C24" i="85" s="1"/>
  <c r="B24" i="86"/>
  <c r="B24" i="85" s="1"/>
  <c r="E23" i="86"/>
  <c r="E23" i="85" s="1"/>
  <c r="D23" i="86"/>
  <c r="D23" i="85" s="1"/>
  <c r="C23" i="86"/>
  <c r="C23" i="85" s="1"/>
  <c r="B23" i="86"/>
  <c r="B23" i="85" s="1"/>
  <c r="E22" i="86"/>
  <c r="E22" i="85" s="1"/>
  <c r="D22" i="86"/>
  <c r="D22" i="85" s="1"/>
  <c r="C22" i="86"/>
  <c r="C22" i="85" s="1"/>
  <c r="B22" i="86"/>
  <c r="B22" i="85" s="1"/>
  <c r="E21" i="86"/>
  <c r="E21" i="85" s="1"/>
  <c r="D21" i="86"/>
  <c r="D21" i="85" s="1"/>
  <c r="C21" i="86"/>
  <c r="C21" i="85" s="1"/>
  <c r="B21" i="86"/>
  <c r="B21" i="85" s="1"/>
  <c r="E20" i="86"/>
  <c r="E20" i="85" s="1"/>
  <c r="D20" i="86"/>
  <c r="D20" i="85" s="1"/>
  <c r="C20" i="86"/>
  <c r="C20" i="85" s="1"/>
  <c r="B20" i="86"/>
  <c r="B20" i="85" s="1"/>
  <c r="E19" i="86"/>
  <c r="E19" i="85" s="1"/>
  <c r="D19" i="86"/>
  <c r="D19" i="85" s="1"/>
  <c r="C19" i="86"/>
  <c r="C19" i="85" s="1"/>
  <c r="B19" i="86"/>
  <c r="B19" i="85" s="1"/>
  <c r="E18" i="86"/>
  <c r="E18" i="85" s="1"/>
  <c r="D18" i="86"/>
  <c r="D18" i="85" s="1"/>
  <c r="C18" i="86"/>
  <c r="C18" i="85" s="1"/>
  <c r="B18" i="86"/>
  <c r="B18" i="85" s="1"/>
  <c r="E17" i="86"/>
  <c r="E17" i="85" s="1"/>
  <c r="D17" i="86"/>
  <c r="D17" i="85" s="1"/>
  <c r="C17" i="86"/>
  <c r="C17" i="85" s="1"/>
  <c r="B17" i="86"/>
  <c r="B17" i="85" s="1"/>
  <c r="E16" i="86"/>
  <c r="E16" i="85" s="1"/>
  <c r="D16" i="86"/>
  <c r="D16" i="85" s="1"/>
  <c r="C16" i="86"/>
  <c r="C16" i="85" s="1"/>
  <c r="B16" i="86"/>
  <c r="B16" i="85" s="1"/>
  <c r="E15" i="86"/>
  <c r="E15" i="85" s="1"/>
  <c r="D15" i="86"/>
  <c r="D15" i="85" s="1"/>
  <c r="C15" i="86"/>
  <c r="C15" i="85" s="1"/>
  <c r="B15" i="86"/>
  <c r="B15" i="85" s="1"/>
  <c r="E14" i="86"/>
  <c r="E14" i="85" s="1"/>
  <c r="D14" i="86"/>
  <c r="D14" i="85" s="1"/>
  <c r="C14" i="86"/>
  <c r="C14" i="85" s="1"/>
  <c r="B14" i="86"/>
  <c r="B14" i="85" s="1"/>
  <c r="E13" i="86"/>
  <c r="E13" i="85" s="1"/>
  <c r="D13" i="86"/>
  <c r="D13" i="85" s="1"/>
  <c r="C13" i="86"/>
  <c r="C13" i="85" s="1"/>
  <c r="B13" i="86"/>
  <c r="B13" i="85" s="1"/>
  <c r="E12" i="86"/>
  <c r="E12" i="85" s="1"/>
  <c r="D12" i="86"/>
  <c r="D12" i="85" s="1"/>
  <c r="C12" i="86"/>
  <c r="C12" i="85" s="1"/>
  <c r="B12" i="86"/>
  <c r="B12" i="85" s="1"/>
  <c r="E11" i="86"/>
  <c r="E11" i="85" s="1"/>
  <c r="D11" i="86"/>
  <c r="D11" i="85" s="1"/>
  <c r="C11" i="86"/>
  <c r="C11" i="85" s="1"/>
  <c r="B11" i="86"/>
  <c r="B11" i="85" s="1"/>
  <c r="E10" i="86"/>
  <c r="E10" i="85" s="1"/>
  <c r="D10" i="86"/>
  <c r="D10" i="85" s="1"/>
  <c r="C10" i="86"/>
  <c r="C10" i="85" s="1"/>
  <c r="B10" i="86"/>
  <c r="B10" i="85" s="1"/>
  <c r="E9" i="86"/>
  <c r="E9" i="85" s="1"/>
  <c r="D9" i="86"/>
  <c r="D9" i="85" s="1"/>
  <c r="C9" i="86"/>
  <c r="C9" i="85" s="1"/>
  <c r="B9" i="86"/>
  <c r="B9" i="85" s="1"/>
  <c r="E8" i="86"/>
  <c r="E8" i="85" s="1"/>
  <c r="D8" i="86"/>
  <c r="D8" i="85" s="1"/>
  <c r="C8" i="86"/>
  <c r="C8" i="85" s="1"/>
  <c r="B8" i="86"/>
  <c r="B8" i="85" s="1"/>
  <c r="E7" i="86"/>
  <c r="E7" i="85" s="1"/>
  <c r="D7" i="86"/>
  <c r="D7" i="85" s="1"/>
  <c r="C7" i="86"/>
  <c r="C7" i="85" s="1"/>
  <c r="B7" i="86"/>
  <c r="B7" i="85" s="1"/>
  <c r="E6" i="86"/>
  <c r="E6" i="85" s="1"/>
  <c r="D6" i="86"/>
  <c r="D6" i="85" s="1"/>
  <c r="C6" i="86"/>
  <c r="C6" i="85" s="1"/>
  <c r="B6" i="86"/>
  <c r="B6" i="85" s="1"/>
  <c r="G35" i="92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M35" i="68"/>
  <c r="M35" i="79" s="1"/>
  <c r="L35" i="68"/>
  <c r="L35" i="79" s="1"/>
  <c r="K35" i="68"/>
  <c r="K35" i="79" s="1"/>
  <c r="J35" i="68"/>
  <c r="J35" i="79" s="1"/>
  <c r="M34" i="68"/>
  <c r="M34" i="79" s="1"/>
  <c r="L34" i="68"/>
  <c r="L34" i="79" s="1"/>
  <c r="K34" i="68"/>
  <c r="K34" i="79" s="1"/>
  <c r="J34" i="68"/>
  <c r="J34" i="79" s="1"/>
  <c r="M33" i="68"/>
  <c r="M33" i="79" s="1"/>
  <c r="L33" i="68"/>
  <c r="L33" i="79" s="1"/>
  <c r="K33" i="68"/>
  <c r="K33" i="79" s="1"/>
  <c r="J33" i="68"/>
  <c r="J33" i="79" s="1"/>
  <c r="M32" i="68"/>
  <c r="M32" i="79" s="1"/>
  <c r="L32" i="68"/>
  <c r="L32" i="79" s="1"/>
  <c r="K32" i="68"/>
  <c r="K32" i="79" s="1"/>
  <c r="J32" i="68"/>
  <c r="J32" i="79" s="1"/>
  <c r="M31" i="68"/>
  <c r="M31" i="79" s="1"/>
  <c r="L31" i="68"/>
  <c r="L31" i="79" s="1"/>
  <c r="K31" i="68"/>
  <c r="K31" i="79" s="1"/>
  <c r="J31" i="68"/>
  <c r="J31" i="79" s="1"/>
  <c r="M30" i="68"/>
  <c r="M30" i="79" s="1"/>
  <c r="L30" i="68"/>
  <c r="L30" i="79" s="1"/>
  <c r="K30" i="68"/>
  <c r="K30" i="79" s="1"/>
  <c r="J30" i="68"/>
  <c r="J30" i="79" s="1"/>
  <c r="M29" i="68"/>
  <c r="M29" i="79" s="1"/>
  <c r="L29" i="68"/>
  <c r="L29" i="79" s="1"/>
  <c r="K29" i="68"/>
  <c r="K29" i="79" s="1"/>
  <c r="J29" i="68"/>
  <c r="J29" i="79" s="1"/>
  <c r="M28" i="68"/>
  <c r="M28" i="79" s="1"/>
  <c r="L28" i="68"/>
  <c r="L28" i="79" s="1"/>
  <c r="K28" i="68"/>
  <c r="K28" i="79" s="1"/>
  <c r="J28" i="68"/>
  <c r="J28" i="79" s="1"/>
  <c r="M27" i="68"/>
  <c r="M27" i="79" s="1"/>
  <c r="L27" i="68"/>
  <c r="L27" i="79" s="1"/>
  <c r="K27" i="68"/>
  <c r="K27" i="79" s="1"/>
  <c r="J27" i="68"/>
  <c r="J27" i="79" s="1"/>
  <c r="M26" i="68"/>
  <c r="M26" i="79" s="1"/>
  <c r="L26" i="68"/>
  <c r="L26" i="79" s="1"/>
  <c r="K26" i="68"/>
  <c r="K26" i="79" s="1"/>
  <c r="J26" i="68"/>
  <c r="J26" i="79" s="1"/>
  <c r="M25" i="68"/>
  <c r="M25" i="79" s="1"/>
  <c r="L25" i="68"/>
  <c r="L25" i="79" s="1"/>
  <c r="K25" i="68"/>
  <c r="K25" i="79" s="1"/>
  <c r="J25" i="68"/>
  <c r="J25" i="79" s="1"/>
  <c r="M24" i="68"/>
  <c r="M24" i="79" s="1"/>
  <c r="L24" i="68"/>
  <c r="L24" i="79" s="1"/>
  <c r="K24" i="68"/>
  <c r="K24" i="79" s="1"/>
  <c r="J24" i="68"/>
  <c r="J24" i="79" s="1"/>
  <c r="M23" i="68"/>
  <c r="M23" i="79" s="1"/>
  <c r="L23" i="68"/>
  <c r="L23" i="79" s="1"/>
  <c r="K23" i="68"/>
  <c r="K23" i="79" s="1"/>
  <c r="J23" i="68"/>
  <c r="J23" i="79" s="1"/>
  <c r="M22" i="68"/>
  <c r="M22" i="79" s="1"/>
  <c r="L22" i="68"/>
  <c r="L22" i="79" s="1"/>
  <c r="K22" i="68"/>
  <c r="K22" i="79" s="1"/>
  <c r="J22" i="68"/>
  <c r="J22" i="79" s="1"/>
  <c r="M21" i="68"/>
  <c r="M21" i="79" s="1"/>
  <c r="L21" i="68"/>
  <c r="L21" i="79" s="1"/>
  <c r="K21" i="68"/>
  <c r="K21" i="79" s="1"/>
  <c r="J21" i="68"/>
  <c r="J21" i="79" s="1"/>
  <c r="M20" i="68"/>
  <c r="M20" i="79" s="1"/>
  <c r="L20" i="68"/>
  <c r="L20" i="79" s="1"/>
  <c r="K20" i="68"/>
  <c r="K20" i="79" s="1"/>
  <c r="J20" i="68"/>
  <c r="J20" i="79" s="1"/>
  <c r="M19" i="68"/>
  <c r="M19" i="79" s="1"/>
  <c r="L19" i="68"/>
  <c r="L19" i="79" s="1"/>
  <c r="K19" i="68"/>
  <c r="K19" i="79" s="1"/>
  <c r="J19" i="68"/>
  <c r="J19" i="79" s="1"/>
  <c r="M18" i="68"/>
  <c r="M18" i="79" s="1"/>
  <c r="L18" i="68"/>
  <c r="L18" i="79" s="1"/>
  <c r="K18" i="68"/>
  <c r="K18" i="79" s="1"/>
  <c r="J18" i="68"/>
  <c r="J18" i="79" s="1"/>
  <c r="M17" i="68"/>
  <c r="M17" i="79" s="1"/>
  <c r="L17" i="68"/>
  <c r="L17" i="79" s="1"/>
  <c r="K17" i="68"/>
  <c r="K17" i="79" s="1"/>
  <c r="J17" i="68"/>
  <c r="J17" i="79" s="1"/>
  <c r="M16" i="68"/>
  <c r="M16" i="79" s="1"/>
  <c r="L16" i="68"/>
  <c r="L16" i="79" s="1"/>
  <c r="K16" i="68"/>
  <c r="K16" i="79" s="1"/>
  <c r="J16" i="68"/>
  <c r="J16" i="79" s="1"/>
  <c r="M15" i="68"/>
  <c r="M15" i="79" s="1"/>
  <c r="L15" i="68"/>
  <c r="L15" i="79" s="1"/>
  <c r="K15" i="68"/>
  <c r="K15" i="79" s="1"/>
  <c r="J15" i="68"/>
  <c r="J15" i="79" s="1"/>
  <c r="M14" i="68"/>
  <c r="M14" i="79" s="1"/>
  <c r="L14" i="68"/>
  <c r="L14" i="79" s="1"/>
  <c r="K14" i="68"/>
  <c r="K14" i="79" s="1"/>
  <c r="J14" i="68"/>
  <c r="J14" i="79" s="1"/>
  <c r="M13" i="68"/>
  <c r="M13" i="79" s="1"/>
  <c r="L13" i="68"/>
  <c r="L13" i="79" s="1"/>
  <c r="K13" i="68"/>
  <c r="K13" i="79" s="1"/>
  <c r="J13" i="68"/>
  <c r="J13" i="79" s="1"/>
  <c r="M12" i="68"/>
  <c r="M12" i="79" s="1"/>
  <c r="L12" i="68"/>
  <c r="L12" i="79" s="1"/>
  <c r="K12" i="68"/>
  <c r="K12" i="79" s="1"/>
  <c r="J12" i="68"/>
  <c r="J12" i="79" s="1"/>
  <c r="M11" i="68"/>
  <c r="M11" i="79" s="1"/>
  <c r="L11" i="68"/>
  <c r="L11" i="79" s="1"/>
  <c r="K11" i="68"/>
  <c r="K11" i="79" s="1"/>
  <c r="J11" i="68"/>
  <c r="J11" i="79" s="1"/>
  <c r="M10" i="68"/>
  <c r="M10" i="79" s="1"/>
  <c r="L10" i="68"/>
  <c r="L10" i="79" s="1"/>
  <c r="K10" i="68"/>
  <c r="K10" i="79" s="1"/>
  <c r="J10" i="68"/>
  <c r="J10" i="79" s="1"/>
  <c r="M9" i="68"/>
  <c r="M9" i="79" s="1"/>
  <c r="L9" i="68"/>
  <c r="L9" i="79" s="1"/>
  <c r="K9" i="68"/>
  <c r="K9" i="79" s="1"/>
  <c r="J9" i="68"/>
  <c r="J9" i="79" s="1"/>
  <c r="M8" i="68"/>
  <c r="M8" i="79" s="1"/>
  <c r="L8" i="68"/>
  <c r="L8" i="79" s="1"/>
  <c r="K8" i="68"/>
  <c r="K8" i="79" s="1"/>
  <c r="J8" i="68"/>
  <c r="J8" i="79" s="1"/>
  <c r="M7" i="68"/>
  <c r="M7" i="79" s="1"/>
  <c r="L7" i="68"/>
  <c r="L7" i="79" s="1"/>
  <c r="K7" i="68"/>
  <c r="K7" i="79" s="1"/>
  <c r="J7" i="68"/>
  <c r="J7" i="79" s="1"/>
  <c r="M6" i="68"/>
  <c r="M6" i="79" s="1"/>
  <c r="L6" i="68"/>
  <c r="L6" i="79" s="1"/>
  <c r="K6" i="68"/>
  <c r="K6" i="79" s="1"/>
  <c r="J6" i="68"/>
  <c r="J6" i="79" s="1"/>
  <c r="I35" i="68"/>
  <c r="I35" i="79" s="1"/>
  <c r="H35" i="68"/>
  <c r="H35" i="79" s="1"/>
  <c r="G35" i="68"/>
  <c r="G35" i="79" s="1"/>
  <c r="F35" i="68"/>
  <c r="F35" i="79" s="1"/>
  <c r="I34" i="68"/>
  <c r="I34" i="79" s="1"/>
  <c r="H34" i="68"/>
  <c r="H34" i="79" s="1"/>
  <c r="G34" i="68"/>
  <c r="G34" i="79" s="1"/>
  <c r="F34" i="68"/>
  <c r="F34" i="79" s="1"/>
  <c r="I33" i="68"/>
  <c r="I33" i="79" s="1"/>
  <c r="H33" i="68"/>
  <c r="H33" i="79" s="1"/>
  <c r="G33" i="68"/>
  <c r="G33" i="79" s="1"/>
  <c r="F33" i="68"/>
  <c r="F33" i="79" s="1"/>
  <c r="I32" i="68"/>
  <c r="I32" i="79" s="1"/>
  <c r="H32" i="68"/>
  <c r="H32" i="79" s="1"/>
  <c r="G32" i="68"/>
  <c r="G32" i="79" s="1"/>
  <c r="F32" i="68"/>
  <c r="F32" i="79" s="1"/>
  <c r="I31" i="68"/>
  <c r="I31" i="79" s="1"/>
  <c r="H31" i="68"/>
  <c r="H31" i="79" s="1"/>
  <c r="G31" i="68"/>
  <c r="G31" i="79" s="1"/>
  <c r="F31" i="68"/>
  <c r="F31" i="79" s="1"/>
  <c r="I30" i="68"/>
  <c r="I30" i="79" s="1"/>
  <c r="H30" i="68"/>
  <c r="H30" i="79" s="1"/>
  <c r="G30" i="68"/>
  <c r="G30" i="79" s="1"/>
  <c r="F30" i="68"/>
  <c r="F30" i="79" s="1"/>
  <c r="I29" i="68"/>
  <c r="I29" i="79" s="1"/>
  <c r="H29" i="68"/>
  <c r="H29" i="79" s="1"/>
  <c r="G29" i="68"/>
  <c r="G29" i="79" s="1"/>
  <c r="F29" i="68"/>
  <c r="F29" i="79" s="1"/>
  <c r="I28" i="68"/>
  <c r="I28" i="79" s="1"/>
  <c r="H28" i="68"/>
  <c r="H28" i="79" s="1"/>
  <c r="G28" i="68"/>
  <c r="G28" i="79" s="1"/>
  <c r="F28" i="68"/>
  <c r="F28" i="79" s="1"/>
  <c r="I27" i="68"/>
  <c r="I27" i="79" s="1"/>
  <c r="H27" i="68"/>
  <c r="H27" i="79" s="1"/>
  <c r="G27" i="68"/>
  <c r="G27" i="79" s="1"/>
  <c r="F27" i="68"/>
  <c r="F27" i="79" s="1"/>
  <c r="I26" i="68"/>
  <c r="I26" i="79" s="1"/>
  <c r="H26" i="68"/>
  <c r="H26" i="79" s="1"/>
  <c r="G26" i="68"/>
  <c r="G26" i="79" s="1"/>
  <c r="F26" i="68"/>
  <c r="F26" i="79" s="1"/>
  <c r="I25" i="68"/>
  <c r="I25" i="79" s="1"/>
  <c r="H25" i="68"/>
  <c r="H25" i="79" s="1"/>
  <c r="G25" i="68"/>
  <c r="G25" i="79" s="1"/>
  <c r="F25" i="68"/>
  <c r="F25" i="79" s="1"/>
  <c r="I24" i="68"/>
  <c r="I24" i="79" s="1"/>
  <c r="H24" i="68"/>
  <c r="H24" i="79" s="1"/>
  <c r="G24" i="68"/>
  <c r="G24" i="79" s="1"/>
  <c r="F24" i="68"/>
  <c r="F24" i="79" s="1"/>
  <c r="I23" i="68"/>
  <c r="I23" i="79" s="1"/>
  <c r="H23" i="68"/>
  <c r="H23" i="79" s="1"/>
  <c r="G23" i="68"/>
  <c r="G23" i="79" s="1"/>
  <c r="F23" i="68"/>
  <c r="F23" i="79" s="1"/>
  <c r="I22" i="68"/>
  <c r="I22" i="79" s="1"/>
  <c r="H22" i="68"/>
  <c r="H22" i="79" s="1"/>
  <c r="G22" i="68"/>
  <c r="G22" i="79" s="1"/>
  <c r="F22" i="68"/>
  <c r="F22" i="79" s="1"/>
  <c r="I21" i="68"/>
  <c r="I21" i="79" s="1"/>
  <c r="H21" i="68"/>
  <c r="H21" i="79" s="1"/>
  <c r="G21" i="68"/>
  <c r="G21" i="79" s="1"/>
  <c r="F21" i="68"/>
  <c r="F21" i="79" s="1"/>
  <c r="I20" i="68"/>
  <c r="I20" i="79" s="1"/>
  <c r="H20" i="68"/>
  <c r="H20" i="79" s="1"/>
  <c r="G20" i="68"/>
  <c r="G20" i="79" s="1"/>
  <c r="F20" i="68"/>
  <c r="F20" i="79" s="1"/>
  <c r="I19" i="68"/>
  <c r="I19" i="79" s="1"/>
  <c r="H19" i="68"/>
  <c r="H19" i="79" s="1"/>
  <c r="G19" i="68"/>
  <c r="G19" i="79" s="1"/>
  <c r="F19" i="68"/>
  <c r="F19" i="79" s="1"/>
  <c r="I18" i="68"/>
  <c r="I18" i="79" s="1"/>
  <c r="H18" i="68"/>
  <c r="H18" i="79" s="1"/>
  <c r="G18" i="68"/>
  <c r="G18" i="79" s="1"/>
  <c r="F18" i="68"/>
  <c r="F18" i="79" s="1"/>
  <c r="I17" i="68"/>
  <c r="I17" i="79" s="1"/>
  <c r="H17" i="68"/>
  <c r="H17" i="79" s="1"/>
  <c r="G17" i="68"/>
  <c r="G17" i="79" s="1"/>
  <c r="F17" i="68"/>
  <c r="F17" i="79" s="1"/>
  <c r="I16" i="68"/>
  <c r="I16" i="79" s="1"/>
  <c r="H16" i="68"/>
  <c r="H16" i="79" s="1"/>
  <c r="G16" i="68"/>
  <c r="G16" i="79" s="1"/>
  <c r="F16" i="68"/>
  <c r="F16" i="79" s="1"/>
  <c r="I15" i="68"/>
  <c r="I15" i="79" s="1"/>
  <c r="H15" i="68"/>
  <c r="H15" i="79" s="1"/>
  <c r="G15" i="68"/>
  <c r="G15" i="79" s="1"/>
  <c r="F15" i="68"/>
  <c r="F15" i="79" s="1"/>
  <c r="I14" i="68"/>
  <c r="I14" i="79" s="1"/>
  <c r="H14" i="68"/>
  <c r="H14" i="79" s="1"/>
  <c r="G14" i="68"/>
  <c r="G14" i="79" s="1"/>
  <c r="F14" i="68"/>
  <c r="F14" i="79" s="1"/>
  <c r="I13" i="68"/>
  <c r="I13" i="79" s="1"/>
  <c r="H13" i="68"/>
  <c r="H13" i="79" s="1"/>
  <c r="G13" i="68"/>
  <c r="G13" i="79" s="1"/>
  <c r="F13" i="68"/>
  <c r="F13" i="79" s="1"/>
  <c r="I12" i="68"/>
  <c r="I12" i="79" s="1"/>
  <c r="H12" i="68"/>
  <c r="H12" i="79" s="1"/>
  <c r="G12" i="68"/>
  <c r="G12" i="79" s="1"/>
  <c r="F12" i="68"/>
  <c r="F12" i="79" s="1"/>
  <c r="I11" i="68"/>
  <c r="I11" i="79" s="1"/>
  <c r="H11" i="68"/>
  <c r="H11" i="79" s="1"/>
  <c r="G11" i="68"/>
  <c r="G11" i="79" s="1"/>
  <c r="F11" i="68"/>
  <c r="F11" i="79" s="1"/>
  <c r="I10" i="68"/>
  <c r="I10" i="79" s="1"/>
  <c r="H10" i="68"/>
  <c r="H10" i="79" s="1"/>
  <c r="G10" i="68"/>
  <c r="G10" i="79" s="1"/>
  <c r="F10" i="68"/>
  <c r="F10" i="79" s="1"/>
  <c r="I9" i="68"/>
  <c r="I9" i="79" s="1"/>
  <c r="H9" i="68"/>
  <c r="H9" i="79" s="1"/>
  <c r="G9" i="68"/>
  <c r="G9" i="79" s="1"/>
  <c r="F9" i="68"/>
  <c r="F9" i="79" s="1"/>
  <c r="I8" i="68"/>
  <c r="I8" i="79" s="1"/>
  <c r="H8" i="68"/>
  <c r="H8" i="79" s="1"/>
  <c r="G8" i="68"/>
  <c r="G8" i="79" s="1"/>
  <c r="F8" i="68"/>
  <c r="F8" i="79" s="1"/>
  <c r="I7" i="68"/>
  <c r="I7" i="79" s="1"/>
  <c r="H7" i="68"/>
  <c r="H7" i="79" s="1"/>
  <c r="G7" i="68"/>
  <c r="G7" i="79" s="1"/>
  <c r="F7" i="68"/>
  <c r="F7" i="79" s="1"/>
  <c r="I6" i="68"/>
  <c r="I6" i="79" s="1"/>
  <c r="H6" i="68"/>
  <c r="H6" i="79" s="1"/>
  <c r="G6" i="68"/>
  <c r="G6" i="79" s="1"/>
  <c r="F6" i="68"/>
  <c r="F6" i="79" s="1"/>
  <c r="E35" i="68"/>
  <c r="E35" i="79" s="1"/>
  <c r="D35" i="68"/>
  <c r="D35" i="79" s="1"/>
  <c r="C35" i="68"/>
  <c r="C35" i="79" s="1"/>
  <c r="B35" i="68"/>
  <c r="B35" i="79" s="1"/>
  <c r="E34" i="68"/>
  <c r="E34" i="79" s="1"/>
  <c r="D34" i="68"/>
  <c r="D34" i="79" s="1"/>
  <c r="C34" i="68"/>
  <c r="C34" i="79" s="1"/>
  <c r="B34" i="68"/>
  <c r="B34" i="79" s="1"/>
  <c r="E33" i="68"/>
  <c r="E33" i="79" s="1"/>
  <c r="D33" i="68"/>
  <c r="D33" i="79" s="1"/>
  <c r="C33" i="68"/>
  <c r="C33" i="79" s="1"/>
  <c r="B33" i="68"/>
  <c r="B33" i="79" s="1"/>
  <c r="E32" i="68"/>
  <c r="E32" i="79" s="1"/>
  <c r="D32" i="68"/>
  <c r="D32" i="79" s="1"/>
  <c r="C32" i="68"/>
  <c r="C32" i="79" s="1"/>
  <c r="B32" i="68"/>
  <c r="B32" i="79" s="1"/>
  <c r="E31" i="68"/>
  <c r="E31" i="79" s="1"/>
  <c r="D31" i="68"/>
  <c r="D31" i="79" s="1"/>
  <c r="C31" i="68"/>
  <c r="C31" i="79" s="1"/>
  <c r="B31" i="68"/>
  <c r="B31" i="79" s="1"/>
  <c r="E30" i="68"/>
  <c r="E30" i="79" s="1"/>
  <c r="D30" i="68"/>
  <c r="D30" i="79" s="1"/>
  <c r="C30" i="68"/>
  <c r="C30" i="79" s="1"/>
  <c r="B30" i="68"/>
  <c r="B30" i="79" s="1"/>
  <c r="E29" i="68"/>
  <c r="E29" i="79" s="1"/>
  <c r="D29" i="68"/>
  <c r="D29" i="79" s="1"/>
  <c r="C29" i="68"/>
  <c r="C29" i="79" s="1"/>
  <c r="B29" i="68"/>
  <c r="B29" i="79" s="1"/>
  <c r="E28" i="68"/>
  <c r="E28" i="79" s="1"/>
  <c r="D28" i="68"/>
  <c r="D28" i="79" s="1"/>
  <c r="C28" i="68"/>
  <c r="C28" i="79" s="1"/>
  <c r="B28" i="68"/>
  <c r="B28" i="79" s="1"/>
  <c r="E27" i="68"/>
  <c r="E27" i="79" s="1"/>
  <c r="D27" i="68"/>
  <c r="D27" i="79" s="1"/>
  <c r="C27" i="68"/>
  <c r="C27" i="79" s="1"/>
  <c r="B27" i="68"/>
  <c r="B27" i="79" s="1"/>
  <c r="E26" i="68"/>
  <c r="E26" i="79" s="1"/>
  <c r="D26" i="68"/>
  <c r="D26" i="79" s="1"/>
  <c r="C26" i="68"/>
  <c r="C26" i="79" s="1"/>
  <c r="B26" i="68"/>
  <c r="B26" i="79" s="1"/>
  <c r="E25" i="68"/>
  <c r="E25" i="79" s="1"/>
  <c r="D25" i="68"/>
  <c r="D25" i="79" s="1"/>
  <c r="C25" i="68"/>
  <c r="C25" i="79" s="1"/>
  <c r="B25" i="68"/>
  <c r="B25" i="79" s="1"/>
  <c r="E24" i="68"/>
  <c r="E24" i="79" s="1"/>
  <c r="D24" i="68"/>
  <c r="D24" i="79" s="1"/>
  <c r="C24" i="68"/>
  <c r="C24" i="79" s="1"/>
  <c r="B24" i="68"/>
  <c r="B24" i="79" s="1"/>
  <c r="E23" i="68"/>
  <c r="E23" i="79" s="1"/>
  <c r="D23" i="68"/>
  <c r="D23" i="79" s="1"/>
  <c r="C23" i="68"/>
  <c r="C23" i="79" s="1"/>
  <c r="B23" i="68"/>
  <c r="B23" i="79" s="1"/>
  <c r="E22" i="68"/>
  <c r="E22" i="79" s="1"/>
  <c r="D22" i="68"/>
  <c r="D22" i="79" s="1"/>
  <c r="C22" i="68"/>
  <c r="C22" i="79" s="1"/>
  <c r="B22" i="68"/>
  <c r="B22" i="79" s="1"/>
  <c r="E21" i="68"/>
  <c r="E21" i="79" s="1"/>
  <c r="D21" i="68"/>
  <c r="D21" i="79" s="1"/>
  <c r="C21" i="68"/>
  <c r="C21" i="79" s="1"/>
  <c r="B21" i="68"/>
  <c r="B21" i="79" s="1"/>
  <c r="E20" i="68"/>
  <c r="E20" i="79" s="1"/>
  <c r="D20" i="68"/>
  <c r="D20" i="79" s="1"/>
  <c r="C20" i="68"/>
  <c r="C20" i="79" s="1"/>
  <c r="B20" i="68"/>
  <c r="B20" i="79" s="1"/>
  <c r="E19" i="68"/>
  <c r="E19" i="79" s="1"/>
  <c r="D19" i="68"/>
  <c r="D19" i="79" s="1"/>
  <c r="C19" i="68"/>
  <c r="C19" i="79" s="1"/>
  <c r="B19" i="68"/>
  <c r="B19" i="79" s="1"/>
  <c r="E18" i="68"/>
  <c r="E18" i="79" s="1"/>
  <c r="D18" i="68"/>
  <c r="D18" i="79" s="1"/>
  <c r="C18" i="68"/>
  <c r="C18" i="79" s="1"/>
  <c r="B18" i="68"/>
  <c r="B18" i="79" s="1"/>
  <c r="E17" i="68"/>
  <c r="E17" i="79" s="1"/>
  <c r="D17" i="68"/>
  <c r="D17" i="79" s="1"/>
  <c r="C17" i="68"/>
  <c r="C17" i="79" s="1"/>
  <c r="B17" i="68"/>
  <c r="B17" i="79" s="1"/>
  <c r="E16" i="68"/>
  <c r="E16" i="79" s="1"/>
  <c r="D16" i="68"/>
  <c r="D16" i="79" s="1"/>
  <c r="C16" i="68"/>
  <c r="C16" i="79" s="1"/>
  <c r="B16" i="68"/>
  <c r="B16" i="79" s="1"/>
  <c r="E15" i="68"/>
  <c r="E15" i="79" s="1"/>
  <c r="D15" i="68"/>
  <c r="D15" i="79" s="1"/>
  <c r="C15" i="68"/>
  <c r="C15" i="79" s="1"/>
  <c r="B15" i="68"/>
  <c r="B15" i="79" s="1"/>
  <c r="E14" i="68"/>
  <c r="E14" i="79" s="1"/>
  <c r="D14" i="68"/>
  <c r="D14" i="79" s="1"/>
  <c r="C14" i="68"/>
  <c r="C14" i="79" s="1"/>
  <c r="B14" i="68"/>
  <c r="B14" i="79" s="1"/>
  <c r="E13" i="68"/>
  <c r="E13" i="79" s="1"/>
  <c r="D13" i="68"/>
  <c r="D13" i="79" s="1"/>
  <c r="C13" i="68"/>
  <c r="C13" i="79" s="1"/>
  <c r="B13" i="68"/>
  <c r="B13" i="79" s="1"/>
  <c r="E12" i="68"/>
  <c r="E12" i="79" s="1"/>
  <c r="D12" i="68"/>
  <c r="D12" i="79" s="1"/>
  <c r="C12" i="68"/>
  <c r="C12" i="79" s="1"/>
  <c r="B12" i="68"/>
  <c r="B12" i="79" s="1"/>
  <c r="E11" i="68"/>
  <c r="E11" i="79" s="1"/>
  <c r="D11" i="68"/>
  <c r="D11" i="79" s="1"/>
  <c r="C11" i="68"/>
  <c r="C11" i="79" s="1"/>
  <c r="B11" i="68"/>
  <c r="B11" i="79" s="1"/>
  <c r="E10" i="68"/>
  <c r="E10" i="79" s="1"/>
  <c r="D10" i="68"/>
  <c r="D10" i="79" s="1"/>
  <c r="C10" i="68"/>
  <c r="C10" i="79" s="1"/>
  <c r="B10" i="68"/>
  <c r="B10" i="79" s="1"/>
  <c r="E9" i="68"/>
  <c r="E9" i="79" s="1"/>
  <c r="D9" i="68"/>
  <c r="D9" i="79" s="1"/>
  <c r="C9" i="68"/>
  <c r="C9" i="79" s="1"/>
  <c r="B9" i="68"/>
  <c r="B9" i="79" s="1"/>
  <c r="E8" i="68"/>
  <c r="E8" i="79" s="1"/>
  <c r="D8" i="68"/>
  <c r="D8" i="79" s="1"/>
  <c r="C8" i="68"/>
  <c r="C8" i="79" s="1"/>
  <c r="B8" i="68"/>
  <c r="B8" i="79" s="1"/>
  <c r="E7" i="68"/>
  <c r="E7" i="79" s="1"/>
  <c r="D7" i="68"/>
  <c r="D7" i="79" s="1"/>
  <c r="C7" i="68"/>
  <c r="C7" i="79" s="1"/>
  <c r="B7" i="68"/>
  <c r="B7" i="79" s="1"/>
  <c r="E6" i="68"/>
  <c r="E6" i="79" s="1"/>
  <c r="D6" i="68"/>
  <c r="D6" i="79" s="1"/>
  <c r="C6" i="68"/>
  <c r="C6" i="79" s="1"/>
  <c r="B6" i="68"/>
  <c r="B6" i="79" s="1"/>
  <c r="M35" i="77"/>
  <c r="M35" i="78" s="1"/>
  <c r="L35" i="77"/>
  <c r="L35" i="78" s="1"/>
  <c r="K35" i="77"/>
  <c r="K35" i="78" s="1"/>
  <c r="J35" i="77"/>
  <c r="J35" i="78" s="1"/>
  <c r="M34" i="77"/>
  <c r="M34" i="78" s="1"/>
  <c r="L34" i="77"/>
  <c r="L34" i="78" s="1"/>
  <c r="K34" i="77"/>
  <c r="K34" i="78" s="1"/>
  <c r="J34" i="77"/>
  <c r="J34" i="78" s="1"/>
  <c r="M33" i="77"/>
  <c r="M33" i="78" s="1"/>
  <c r="L33" i="77"/>
  <c r="L33" i="78" s="1"/>
  <c r="K33" i="77"/>
  <c r="K33" i="78" s="1"/>
  <c r="J33" i="77"/>
  <c r="J33" i="78" s="1"/>
  <c r="M32" i="77"/>
  <c r="M32" i="78" s="1"/>
  <c r="L32" i="77"/>
  <c r="L32" i="78" s="1"/>
  <c r="K32" i="77"/>
  <c r="K32" i="78" s="1"/>
  <c r="J32" i="77"/>
  <c r="J32" i="78" s="1"/>
  <c r="M31" i="77"/>
  <c r="M31" i="78" s="1"/>
  <c r="L31" i="77"/>
  <c r="L31" i="78" s="1"/>
  <c r="K31" i="77"/>
  <c r="K31" i="78" s="1"/>
  <c r="J31" i="77"/>
  <c r="J31" i="78" s="1"/>
  <c r="M30" i="77"/>
  <c r="M30" i="78" s="1"/>
  <c r="L30" i="77"/>
  <c r="L30" i="78" s="1"/>
  <c r="K30" i="77"/>
  <c r="K30" i="78" s="1"/>
  <c r="J30" i="77"/>
  <c r="J30" i="78" s="1"/>
  <c r="M29" i="77"/>
  <c r="M29" i="78" s="1"/>
  <c r="L29" i="77"/>
  <c r="L29" i="78" s="1"/>
  <c r="K29" i="77"/>
  <c r="K29" i="78" s="1"/>
  <c r="J29" i="77"/>
  <c r="J29" i="78" s="1"/>
  <c r="M28" i="77"/>
  <c r="M28" i="78" s="1"/>
  <c r="L28" i="77"/>
  <c r="L28" i="78" s="1"/>
  <c r="K28" i="77"/>
  <c r="K28" i="78" s="1"/>
  <c r="J28" i="77"/>
  <c r="J28" i="78" s="1"/>
  <c r="M27" i="77"/>
  <c r="M27" i="78" s="1"/>
  <c r="L27" i="77"/>
  <c r="L27" i="78" s="1"/>
  <c r="K27" i="77"/>
  <c r="K27" i="78" s="1"/>
  <c r="J27" i="77"/>
  <c r="J27" i="78" s="1"/>
  <c r="M26" i="77"/>
  <c r="M26" i="78" s="1"/>
  <c r="L26" i="77"/>
  <c r="L26" i="78" s="1"/>
  <c r="K26" i="77"/>
  <c r="K26" i="78" s="1"/>
  <c r="J26" i="77"/>
  <c r="J26" i="78" s="1"/>
  <c r="M25" i="77"/>
  <c r="M25" i="78" s="1"/>
  <c r="L25" i="77"/>
  <c r="L25" i="78" s="1"/>
  <c r="K25" i="77"/>
  <c r="K25" i="78" s="1"/>
  <c r="J25" i="77"/>
  <c r="J25" i="78" s="1"/>
  <c r="M24" i="77"/>
  <c r="M24" i="78" s="1"/>
  <c r="L24" i="77"/>
  <c r="L24" i="78" s="1"/>
  <c r="K24" i="77"/>
  <c r="K24" i="78" s="1"/>
  <c r="J24" i="77"/>
  <c r="J24" i="78" s="1"/>
  <c r="M23" i="77"/>
  <c r="M23" i="78" s="1"/>
  <c r="L23" i="77"/>
  <c r="L23" i="78" s="1"/>
  <c r="K23" i="77"/>
  <c r="K23" i="78" s="1"/>
  <c r="J23" i="77"/>
  <c r="J23" i="78" s="1"/>
  <c r="M22" i="77"/>
  <c r="M22" i="78" s="1"/>
  <c r="L22" i="77"/>
  <c r="L22" i="78" s="1"/>
  <c r="K22" i="77"/>
  <c r="K22" i="78" s="1"/>
  <c r="J22" i="77"/>
  <c r="J22" i="78" s="1"/>
  <c r="M21" i="77"/>
  <c r="M21" i="78" s="1"/>
  <c r="L21" i="77"/>
  <c r="L21" i="78" s="1"/>
  <c r="K21" i="77"/>
  <c r="K21" i="78" s="1"/>
  <c r="J21" i="77"/>
  <c r="J21" i="78" s="1"/>
  <c r="M20" i="77"/>
  <c r="M20" i="78" s="1"/>
  <c r="L20" i="77"/>
  <c r="L20" i="78" s="1"/>
  <c r="K20" i="77"/>
  <c r="K20" i="78" s="1"/>
  <c r="J20" i="77"/>
  <c r="J20" i="78" s="1"/>
  <c r="M19" i="77"/>
  <c r="M19" i="78" s="1"/>
  <c r="L19" i="77"/>
  <c r="L19" i="78" s="1"/>
  <c r="K19" i="77"/>
  <c r="K19" i="78" s="1"/>
  <c r="J19" i="77"/>
  <c r="J19" i="78" s="1"/>
  <c r="M18" i="77"/>
  <c r="M18" i="78" s="1"/>
  <c r="L18" i="77"/>
  <c r="L18" i="78" s="1"/>
  <c r="K18" i="77"/>
  <c r="K18" i="78" s="1"/>
  <c r="J18" i="77"/>
  <c r="J18" i="78" s="1"/>
  <c r="M17" i="77"/>
  <c r="M17" i="78" s="1"/>
  <c r="L17" i="77"/>
  <c r="L17" i="78" s="1"/>
  <c r="K17" i="77"/>
  <c r="K17" i="78" s="1"/>
  <c r="J17" i="77"/>
  <c r="J17" i="78" s="1"/>
  <c r="M16" i="77"/>
  <c r="M16" i="78" s="1"/>
  <c r="L16" i="77"/>
  <c r="L16" i="78" s="1"/>
  <c r="K16" i="77"/>
  <c r="K16" i="78" s="1"/>
  <c r="J16" i="77"/>
  <c r="J16" i="78" s="1"/>
  <c r="M15" i="77"/>
  <c r="M15" i="78" s="1"/>
  <c r="L15" i="77"/>
  <c r="L15" i="78" s="1"/>
  <c r="K15" i="77"/>
  <c r="K15" i="78" s="1"/>
  <c r="J15" i="77"/>
  <c r="J15" i="78" s="1"/>
  <c r="M14" i="77"/>
  <c r="M14" i="78" s="1"/>
  <c r="L14" i="77"/>
  <c r="L14" i="78" s="1"/>
  <c r="K14" i="77"/>
  <c r="K14" i="78" s="1"/>
  <c r="J14" i="77"/>
  <c r="J14" i="78" s="1"/>
  <c r="M13" i="77"/>
  <c r="M13" i="78" s="1"/>
  <c r="L13" i="77"/>
  <c r="L13" i="78" s="1"/>
  <c r="K13" i="77"/>
  <c r="K13" i="78" s="1"/>
  <c r="J13" i="77"/>
  <c r="J13" i="78" s="1"/>
  <c r="M12" i="77"/>
  <c r="M12" i="78" s="1"/>
  <c r="L12" i="77"/>
  <c r="L12" i="78" s="1"/>
  <c r="K12" i="77"/>
  <c r="K12" i="78" s="1"/>
  <c r="J12" i="77"/>
  <c r="J12" i="78" s="1"/>
  <c r="M11" i="77"/>
  <c r="M11" i="78" s="1"/>
  <c r="L11" i="77"/>
  <c r="L11" i="78" s="1"/>
  <c r="K11" i="77"/>
  <c r="K11" i="78" s="1"/>
  <c r="J11" i="77"/>
  <c r="J11" i="78" s="1"/>
  <c r="M10" i="77"/>
  <c r="M10" i="78" s="1"/>
  <c r="L10" i="77"/>
  <c r="L10" i="78" s="1"/>
  <c r="K10" i="77"/>
  <c r="K10" i="78" s="1"/>
  <c r="J10" i="77"/>
  <c r="J10" i="78" s="1"/>
  <c r="M9" i="77"/>
  <c r="M9" i="78" s="1"/>
  <c r="L9" i="77"/>
  <c r="L9" i="78" s="1"/>
  <c r="K9" i="77"/>
  <c r="K9" i="78" s="1"/>
  <c r="J9" i="77"/>
  <c r="J9" i="78" s="1"/>
  <c r="M8" i="77"/>
  <c r="M8" i="78" s="1"/>
  <c r="L8" i="77"/>
  <c r="L8" i="78" s="1"/>
  <c r="K8" i="77"/>
  <c r="K8" i="78" s="1"/>
  <c r="J8" i="77"/>
  <c r="J8" i="78" s="1"/>
  <c r="M7" i="77"/>
  <c r="M7" i="78" s="1"/>
  <c r="L7" i="77"/>
  <c r="L7" i="78" s="1"/>
  <c r="K7" i="77"/>
  <c r="K7" i="78" s="1"/>
  <c r="J7" i="77"/>
  <c r="J7" i="78" s="1"/>
  <c r="M6" i="77"/>
  <c r="M6" i="78" s="1"/>
  <c r="L6" i="77"/>
  <c r="L6" i="78" s="1"/>
  <c r="K6" i="77"/>
  <c r="K6" i="78" s="1"/>
  <c r="J6" i="77"/>
  <c r="J6" i="78" s="1"/>
  <c r="I35" i="77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I16" i="78" s="1"/>
  <c r="H16" i="77"/>
  <c r="H16" i="78" s="1"/>
  <c r="G16" i="77"/>
  <c r="G16" i="78" s="1"/>
  <c r="F16" i="77"/>
  <c r="F16" i="78" s="1"/>
  <c r="I15" i="77"/>
  <c r="I15" i="78" s="1"/>
  <c r="H15" i="77"/>
  <c r="H15" i="78" s="1"/>
  <c r="G15" i="77"/>
  <c r="G15" i="78" s="1"/>
  <c r="F15" i="77"/>
  <c r="F15" i="78" s="1"/>
  <c r="I14" i="77"/>
  <c r="I14" i="78" s="1"/>
  <c r="H14" i="77"/>
  <c r="H14" i="78" s="1"/>
  <c r="G14" i="77"/>
  <c r="G14" i="78" s="1"/>
  <c r="F14" i="77"/>
  <c r="F14" i="78" s="1"/>
  <c r="I13" i="77"/>
  <c r="I13" i="78" s="1"/>
  <c r="H13" i="77"/>
  <c r="H13" i="78" s="1"/>
  <c r="G13" i="77"/>
  <c r="G13" i="78" s="1"/>
  <c r="F13" i="77"/>
  <c r="F13" i="78" s="1"/>
  <c r="I12" i="77"/>
  <c r="I12" i="78" s="1"/>
  <c r="H12" i="77"/>
  <c r="H12" i="78" s="1"/>
  <c r="G12" i="77"/>
  <c r="G12" i="78" s="1"/>
  <c r="F12" i="77"/>
  <c r="F12" i="78" s="1"/>
  <c r="I11" i="77"/>
  <c r="I11" i="78" s="1"/>
  <c r="H11" i="77"/>
  <c r="H11" i="78" s="1"/>
  <c r="G11" i="77"/>
  <c r="G11" i="78" s="1"/>
  <c r="F11" i="77"/>
  <c r="F11" i="78" s="1"/>
  <c r="I10" i="77"/>
  <c r="I10" i="78" s="1"/>
  <c r="H10" i="77"/>
  <c r="H10" i="78" s="1"/>
  <c r="G10" i="77"/>
  <c r="G10" i="78" s="1"/>
  <c r="F10" i="77"/>
  <c r="F10" i="78" s="1"/>
  <c r="I9" i="77"/>
  <c r="I9" i="78" s="1"/>
  <c r="H9" i="77"/>
  <c r="H9" i="78" s="1"/>
  <c r="G9" i="77"/>
  <c r="G9" i="78" s="1"/>
  <c r="F9" i="77"/>
  <c r="F9" i="78" s="1"/>
  <c r="I8" i="77"/>
  <c r="I8" i="78" s="1"/>
  <c r="H8" i="77"/>
  <c r="H8" i="78" s="1"/>
  <c r="G8" i="77"/>
  <c r="G8" i="78" s="1"/>
  <c r="F8" i="77"/>
  <c r="F8" i="78" s="1"/>
  <c r="I7" i="77"/>
  <c r="I7" i="78" s="1"/>
  <c r="H7" i="77"/>
  <c r="H7" i="78" s="1"/>
  <c r="G7" i="77"/>
  <c r="G7" i="78" s="1"/>
  <c r="F7" i="77"/>
  <c r="F7" i="78" s="1"/>
  <c r="I6" i="77"/>
  <c r="I6" i="78" s="1"/>
  <c r="H6" i="77"/>
  <c r="H6" i="78" s="1"/>
  <c r="G6" i="77"/>
  <c r="G6" i="78" s="1"/>
  <c r="F6" i="77"/>
  <c r="F6" i="78" s="1"/>
  <c r="E35" i="77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E16" i="78" s="1"/>
  <c r="D16" i="77"/>
  <c r="D16" i="78" s="1"/>
  <c r="C16" i="77"/>
  <c r="C16" i="78" s="1"/>
  <c r="B16" i="77"/>
  <c r="B16" i="78" s="1"/>
  <c r="E15" i="77"/>
  <c r="E15" i="78" s="1"/>
  <c r="D15" i="77"/>
  <c r="D15" i="78" s="1"/>
  <c r="C15" i="77"/>
  <c r="C15" i="78" s="1"/>
  <c r="B15" i="77"/>
  <c r="B15" i="78" s="1"/>
  <c r="E14" i="77"/>
  <c r="E14" i="78" s="1"/>
  <c r="D14" i="77"/>
  <c r="D14" i="78" s="1"/>
  <c r="C14" i="77"/>
  <c r="C14" i="78" s="1"/>
  <c r="B14" i="77"/>
  <c r="B14" i="78" s="1"/>
  <c r="E13" i="77"/>
  <c r="E13" i="78" s="1"/>
  <c r="D13" i="77"/>
  <c r="D13" i="78" s="1"/>
  <c r="C13" i="77"/>
  <c r="C13" i="78" s="1"/>
  <c r="B13" i="77"/>
  <c r="B13" i="78" s="1"/>
  <c r="E12" i="77"/>
  <c r="E12" i="78" s="1"/>
  <c r="D12" i="77"/>
  <c r="D12" i="78" s="1"/>
  <c r="C12" i="77"/>
  <c r="C12" i="78" s="1"/>
  <c r="B12" i="77"/>
  <c r="B12" i="78" s="1"/>
  <c r="E11" i="77"/>
  <c r="E11" i="78" s="1"/>
  <c r="D11" i="77"/>
  <c r="D11" i="78" s="1"/>
  <c r="C11" i="77"/>
  <c r="C11" i="78" s="1"/>
  <c r="B11" i="77"/>
  <c r="B11" i="78" s="1"/>
  <c r="E10" i="77"/>
  <c r="E10" i="78" s="1"/>
  <c r="D10" i="77"/>
  <c r="D10" i="78" s="1"/>
  <c r="C10" i="77"/>
  <c r="C10" i="78" s="1"/>
  <c r="B10" i="77"/>
  <c r="B10" i="78" s="1"/>
  <c r="E9" i="77"/>
  <c r="E9" i="78" s="1"/>
  <c r="D9" i="77"/>
  <c r="D9" i="78" s="1"/>
  <c r="C9" i="77"/>
  <c r="C9" i="78" s="1"/>
  <c r="B9" i="77"/>
  <c r="B9" i="78" s="1"/>
  <c r="E8" i="77"/>
  <c r="E8" i="78" s="1"/>
  <c r="D8" i="77"/>
  <c r="D8" i="78" s="1"/>
  <c r="C8" i="77"/>
  <c r="C8" i="78" s="1"/>
  <c r="B8" i="77"/>
  <c r="B8" i="78" s="1"/>
  <c r="E7" i="77"/>
  <c r="E7" i="78" s="1"/>
  <c r="D7" i="77"/>
  <c r="D7" i="78" s="1"/>
  <c r="C7" i="77"/>
  <c r="C7" i="78" s="1"/>
  <c r="B7" i="77"/>
  <c r="B7" i="78" s="1"/>
  <c r="E6" i="77"/>
  <c r="E6" i="78" s="1"/>
  <c r="D6" i="77"/>
  <c r="D6" i="78" s="1"/>
  <c r="C6" i="77"/>
  <c r="C6" i="78" s="1"/>
  <c r="B6" i="77"/>
  <c r="B6" i="78" s="1"/>
  <c r="M35" i="69"/>
  <c r="M35" i="76" s="1"/>
  <c r="L35" i="69"/>
  <c r="L35" i="76" s="1"/>
  <c r="K35" i="69"/>
  <c r="K35" i="76" s="1"/>
  <c r="J35" i="69"/>
  <c r="J35" i="76" s="1"/>
  <c r="M34" i="69"/>
  <c r="M34" i="76" s="1"/>
  <c r="L34" i="69"/>
  <c r="L34" i="76" s="1"/>
  <c r="K34" i="69"/>
  <c r="K34" i="76" s="1"/>
  <c r="J34" i="69"/>
  <c r="J34" i="76" s="1"/>
  <c r="M33" i="69"/>
  <c r="M33" i="76" s="1"/>
  <c r="L33" i="69"/>
  <c r="L33" i="76" s="1"/>
  <c r="K33" i="69"/>
  <c r="K33" i="76" s="1"/>
  <c r="J33" i="69"/>
  <c r="J33" i="76" s="1"/>
  <c r="M32" i="69"/>
  <c r="M32" i="76" s="1"/>
  <c r="L32" i="69"/>
  <c r="L32" i="76" s="1"/>
  <c r="K32" i="69"/>
  <c r="K32" i="76" s="1"/>
  <c r="J32" i="69"/>
  <c r="J32" i="76" s="1"/>
  <c r="M31" i="69"/>
  <c r="M31" i="76" s="1"/>
  <c r="L31" i="69"/>
  <c r="L31" i="76" s="1"/>
  <c r="K31" i="69"/>
  <c r="K31" i="76" s="1"/>
  <c r="J31" i="69"/>
  <c r="J31" i="76" s="1"/>
  <c r="M30" i="69"/>
  <c r="M30" i="76" s="1"/>
  <c r="L30" i="69"/>
  <c r="L30" i="76" s="1"/>
  <c r="K30" i="69"/>
  <c r="K30" i="76" s="1"/>
  <c r="J30" i="69"/>
  <c r="J30" i="76" s="1"/>
  <c r="M29" i="69"/>
  <c r="M29" i="76" s="1"/>
  <c r="L29" i="69"/>
  <c r="L29" i="76" s="1"/>
  <c r="K29" i="69"/>
  <c r="K29" i="76" s="1"/>
  <c r="J29" i="69"/>
  <c r="J29" i="76" s="1"/>
  <c r="M28" i="69"/>
  <c r="M28" i="76" s="1"/>
  <c r="L28" i="69"/>
  <c r="L28" i="76" s="1"/>
  <c r="K28" i="69"/>
  <c r="K28" i="76" s="1"/>
  <c r="J28" i="69"/>
  <c r="J28" i="76" s="1"/>
  <c r="M27" i="69"/>
  <c r="M27" i="76" s="1"/>
  <c r="L27" i="69"/>
  <c r="L27" i="76" s="1"/>
  <c r="K27" i="69"/>
  <c r="K27" i="76" s="1"/>
  <c r="J27" i="69"/>
  <c r="J27" i="76" s="1"/>
  <c r="M26" i="69"/>
  <c r="M26" i="76" s="1"/>
  <c r="L26" i="69"/>
  <c r="L26" i="76" s="1"/>
  <c r="K26" i="69"/>
  <c r="K26" i="76" s="1"/>
  <c r="J26" i="69"/>
  <c r="J26" i="76" s="1"/>
  <c r="M25" i="69"/>
  <c r="M25" i="76" s="1"/>
  <c r="L25" i="69"/>
  <c r="L25" i="76" s="1"/>
  <c r="K25" i="69"/>
  <c r="K25" i="76" s="1"/>
  <c r="J25" i="69"/>
  <c r="J25" i="76" s="1"/>
  <c r="M24" i="69"/>
  <c r="M24" i="76" s="1"/>
  <c r="L24" i="69"/>
  <c r="L24" i="76" s="1"/>
  <c r="K24" i="69"/>
  <c r="K24" i="76" s="1"/>
  <c r="J24" i="69"/>
  <c r="J24" i="76" s="1"/>
  <c r="M23" i="69"/>
  <c r="M23" i="76" s="1"/>
  <c r="L23" i="69"/>
  <c r="L23" i="76" s="1"/>
  <c r="K23" i="69"/>
  <c r="K23" i="76" s="1"/>
  <c r="J23" i="69"/>
  <c r="J23" i="76" s="1"/>
  <c r="M22" i="69"/>
  <c r="M22" i="76" s="1"/>
  <c r="L22" i="69"/>
  <c r="L22" i="76" s="1"/>
  <c r="K22" i="69"/>
  <c r="K22" i="76" s="1"/>
  <c r="J22" i="69"/>
  <c r="J22" i="76" s="1"/>
  <c r="M21" i="69"/>
  <c r="M21" i="76" s="1"/>
  <c r="L21" i="69"/>
  <c r="L21" i="76" s="1"/>
  <c r="K21" i="69"/>
  <c r="K21" i="76" s="1"/>
  <c r="J21" i="69"/>
  <c r="J21" i="76" s="1"/>
  <c r="M20" i="69"/>
  <c r="M20" i="76" s="1"/>
  <c r="L20" i="69"/>
  <c r="L20" i="76" s="1"/>
  <c r="K20" i="69"/>
  <c r="K20" i="76" s="1"/>
  <c r="J20" i="69"/>
  <c r="J20" i="76" s="1"/>
  <c r="M19" i="69"/>
  <c r="M19" i="76" s="1"/>
  <c r="L19" i="69"/>
  <c r="L19" i="76" s="1"/>
  <c r="K19" i="69"/>
  <c r="K19" i="76" s="1"/>
  <c r="J19" i="69"/>
  <c r="J19" i="76" s="1"/>
  <c r="M18" i="69"/>
  <c r="M18" i="76" s="1"/>
  <c r="L18" i="69"/>
  <c r="L18" i="76" s="1"/>
  <c r="K18" i="69"/>
  <c r="K18" i="76" s="1"/>
  <c r="J18" i="69"/>
  <c r="J18" i="76" s="1"/>
  <c r="M17" i="69"/>
  <c r="M17" i="76" s="1"/>
  <c r="L17" i="69"/>
  <c r="L17" i="76" s="1"/>
  <c r="K17" i="69"/>
  <c r="K17" i="76" s="1"/>
  <c r="J17" i="69"/>
  <c r="J17" i="76" s="1"/>
  <c r="M16" i="69"/>
  <c r="M16" i="76" s="1"/>
  <c r="L16" i="69"/>
  <c r="L16" i="76" s="1"/>
  <c r="K16" i="69"/>
  <c r="K16" i="76" s="1"/>
  <c r="J16" i="69"/>
  <c r="J16" i="76" s="1"/>
  <c r="M15" i="69"/>
  <c r="M15" i="76" s="1"/>
  <c r="L15" i="69"/>
  <c r="L15" i="76" s="1"/>
  <c r="K15" i="69"/>
  <c r="K15" i="76" s="1"/>
  <c r="J15" i="69"/>
  <c r="J15" i="76" s="1"/>
  <c r="M14" i="69"/>
  <c r="M14" i="76" s="1"/>
  <c r="L14" i="69"/>
  <c r="L14" i="76" s="1"/>
  <c r="K14" i="69"/>
  <c r="K14" i="76" s="1"/>
  <c r="J14" i="69"/>
  <c r="J14" i="76" s="1"/>
  <c r="M13" i="69"/>
  <c r="M13" i="76" s="1"/>
  <c r="L13" i="69"/>
  <c r="L13" i="76" s="1"/>
  <c r="K13" i="69"/>
  <c r="K13" i="76" s="1"/>
  <c r="J13" i="69"/>
  <c r="J13" i="76" s="1"/>
  <c r="M12" i="69"/>
  <c r="M12" i="76" s="1"/>
  <c r="L12" i="69"/>
  <c r="L12" i="76" s="1"/>
  <c r="K12" i="69"/>
  <c r="K12" i="76" s="1"/>
  <c r="J12" i="69"/>
  <c r="J12" i="76" s="1"/>
  <c r="M11" i="69"/>
  <c r="M11" i="76" s="1"/>
  <c r="L11" i="69"/>
  <c r="L11" i="76" s="1"/>
  <c r="K11" i="69"/>
  <c r="K11" i="76" s="1"/>
  <c r="J11" i="69"/>
  <c r="J11" i="76" s="1"/>
  <c r="M10" i="69"/>
  <c r="M10" i="76" s="1"/>
  <c r="L10" i="69"/>
  <c r="L10" i="76" s="1"/>
  <c r="K10" i="69"/>
  <c r="K10" i="76" s="1"/>
  <c r="J10" i="69"/>
  <c r="J10" i="76" s="1"/>
  <c r="M9" i="69"/>
  <c r="M9" i="76" s="1"/>
  <c r="L9" i="69"/>
  <c r="L9" i="76" s="1"/>
  <c r="K9" i="69"/>
  <c r="K9" i="76" s="1"/>
  <c r="J9" i="69"/>
  <c r="J9" i="76" s="1"/>
  <c r="M8" i="69"/>
  <c r="M8" i="76" s="1"/>
  <c r="L8" i="69"/>
  <c r="L8" i="76" s="1"/>
  <c r="K8" i="69"/>
  <c r="K8" i="76" s="1"/>
  <c r="J8" i="69"/>
  <c r="J8" i="76" s="1"/>
  <c r="M7" i="69"/>
  <c r="M7" i="76" s="1"/>
  <c r="L7" i="69"/>
  <c r="L7" i="76" s="1"/>
  <c r="K7" i="69"/>
  <c r="K7" i="76" s="1"/>
  <c r="J7" i="69"/>
  <c r="J7" i="76" s="1"/>
  <c r="M6" i="69"/>
  <c r="M6" i="76" s="1"/>
  <c r="L6" i="69"/>
  <c r="L6" i="76" s="1"/>
  <c r="K6" i="69"/>
  <c r="K6" i="76" s="1"/>
  <c r="J6" i="69"/>
  <c r="J6" i="76" s="1"/>
  <c r="I35" i="69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I16" i="76" s="1"/>
  <c r="H16" i="69"/>
  <c r="H16" i="76" s="1"/>
  <c r="G16" i="69"/>
  <c r="G16" i="76" s="1"/>
  <c r="F16" i="69"/>
  <c r="F16" i="76" s="1"/>
  <c r="I15" i="69"/>
  <c r="I15" i="76" s="1"/>
  <c r="H15" i="69"/>
  <c r="H15" i="76" s="1"/>
  <c r="G15" i="69"/>
  <c r="G15" i="76" s="1"/>
  <c r="F15" i="69"/>
  <c r="F15" i="76" s="1"/>
  <c r="I14" i="69"/>
  <c r="I14" i="76" s="1"/>
  <c r="H14" i="69"/>
  <c r="H14" i="76" s="1"/>
  <c r="G14" i="69"/>
  <c r="G14" i="76" s="1"/>
  <c r="F14" i="69"/>
  <c r="F14" i="76" s="1"/>
  <c r="I13" i="69"/>
  <c r="I13" i="76" s="1"/>
  <c r="H13" i="69"/>
  <c r="H13" i="76" s="1"/>
  <c r="G13" i="69"/>
  <c r="G13" i="76" s="1"/>
  <c r="F13" i="69"/>
  <c r="F13" i="76" s="1"/>
  <c r="I12" i="69"/>
  <c r="I12" i="76" s="1"/>
  <c r="H12" i="69"/>
  <c r="H12" i="76" s="1"/>
  <c r="G12" i="69"/>
  <c r="G12" i="76" s="1"/>
  <c r="F12" i="69"/>
  <c r="F12" i="76" s="1"/>
  <c r="I11" i="69"/>
  <c r="I11" i="76" s="1"/>
  <c r="H11" i="69"/>
  <c r="H11" i="76" s="1"/>
  <c r="G11" i="69"/>
  <c r="G11" i="76" s="1"/>
  <c r="F11" i="69"/>
  <c r="F11" i="76" s="1"/>
  <c r="I10" i="69"/>
  <c r="I10" i="76" s="1"/>
  <c r="H10" i="69"/>
  <c r="H10" i="76" s="1"/>
  <c r="G10" i="69"/>
  <c r="G10" i="76" s="1"/>
  <c r="F10" i="69"/>
  <c r="F10" i="76" s="1"/>
  <c r="I9" i="69"/>
  <c r="I9" i="76" s="1"/>
  <c r="H9" i="69"/>
  <c r="H9" i="76" s="1"/>
  <c r="G9" i="69"/>
  <c r="G9" i="76" s="1"/>
  <c r="F9" i="69"/>
  <c r="F9" i="76" s="1"/>
  <c r="I8" i="69"/>
  <c r="I8" i="76" s="1"/>
  <c r="H8" i="69"/>
  <c r="H8" i="76" s="1"/>
  <c r="G8" i="69"/>
  <c r="G8" i="76" s="1"/>
  <c r="F8" i="69"/>
  <c r="F8" i="76" s="1"/>
  <c r="I7" i="69"/>
  <c r="I7" i="76" s="1"/>
  <c r="H7" i="69"/>
  <c r="H7" i="76" s="1"/>
  <c r="G7" i="69"/>
  <c r="G7" i="76" s="1"/>
  <c r="F7" i="69"/>
  <c r="F7" i="76" s="1"/>
  <c r="I6" i="69"/>
  <c r="I6" i="76" s="1"/>
  <c r="H6" i="69"/>
  <c r="H6" i="76" s="1"/>
  <c r="G6" i="69"/>
  <c r="G6" i="76" s="1"/>
  <c r="F6" i="69"/>
  <c r="F6" i="76" s="1"/>
  <c r="E35" i="69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E16" i="76" s="1"/>
  <c r="D16" i="69"/>
  <c r="D16" i="76" s="1"/>
  <c r="C16" i="69"/>
  <c r="C16" i="76" s="1"/>
  <c r="B16" i="69"/>
  <c r="B16" i="76" s="1"/>
  <c r="E15" i="69"/>
  <c r="E15" i="76" s="1"/>
  <c r="D15" i="69"/>
  <c r="D15" i="76" s="1"/>
  <c r="C15" i="69"/>
  <c r="C15" i="76" s="1"/>
  <c r="B15" i="69"/>
  <c r="B15" i="76" s="1"/>
  <c r="E14" i="69"/>
  <c r="E14" i="76" s="1"/>
  <c r="D14" i="69"/>
  <c r="D14" i="76" s="1"/>
  <c r="C14" i="69"/>
  <c r="C14" i="76" s="1"/>
  <c r="B14" i="69"/>
  <c r="B14" i="76" s="1"/>
  <c r="E13" i="69"/>
  <c r="E13" i="76" s="1"/>
  <c r="D13" i="69"/>
  <c r="D13" i="76" s="1"/>
  <c r="C13" i="69"/>
  <c r="C13" i="76" s="1"/>
  <c r="B13" i="69"/>
  <c r="B13" i="76" s="1"/>
  <c r="E12" i="69"/>
  <c r="E12" i="76" s="1"/>
  <c r="D12" i="69"/>
  <c r="D12" i="76" s="1"/>
  <c r="C12" i="69"/>
  <c r="C12" i="76" s="1"/>
  <c r="B12" i="69"/>
  <c r="B12" i="76" s="1"/>
  <c r="E11" i="69"/>
  <c r="E11" i="76" s="1"/>
  <c r="D11" i="69"/>
  <c r="D11" i="76" s="1"/>
  <c r="C11" i="69"/>
  <c r="C11" i="76" s="1"/>
  <c r="B11" i="69"/>
  <c r="B11" i="76" s="1"/>
  <c r="E10" i="69"/>
  <c r="E10" i="76" s="1"/>
  <c r="D10" i="69"/>
  <c r="D10" i="76" s="1"/>
  <c r="C10" i="69"/>
  <c r="C10" i="76" s="1"/>
  <c r="B10" i="69"/>
  <c r="B10" i="76" s="1"/>
  <c r="E9" i="69"/>
  <c r="E9" i="76" s="1"/>
  <c r="D9" i="69"/>
  <c r="D9" i="76" s="1"/>
  <c r="C9" i="69"/>
  <c r="C9" i="76" s="1"/>
  <c r="B9" i="69"/>
  <c r="B9" i="76" s="1"/>
  <c r="E8" i="69"/>
  <c r="E8" i="76" s="1"/>
  <c r="D8" i="69"/>
  <c r="D8" i="76" s="1"/>
  <c r="C8" i="69"/>
  <c r="C8" i="76" s="1"/>
  <c r="B8" i="69"/>
  <c r="B8" i="76" s="1"/>
  <c r="E7" i="69"/>
  <c r="E7" i="76" s="1"/>
  <c r="D7" i="69"/>
  <c r="D7" i="76" s="1"/>
  <c r="C7" i="69"/>
  <c r="C7" i="76" s="1"/>
  <c r="B7" i="69"/>
  <c r="B7" i="76" s="1"/>
  <c r="E6" i="69"/>
  <c r="E6" i="76" s="1"/>
  <c r="D6" i="69"/>
  <c r="D6" i="76" s="1"/>
  <c r="C6" i="69"/>
  <c r="C6" i="76" s="1"/>
  <c r="B6" i="69"/>
  <c r="B6" i="76" s="1"/>
  <c r="M35" i="74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M16" i="75" s="1"/>
  <c r="L16" i="74"/>
  <c r="L16" i="75" s="1"/>
  <c r="K16" i="74"/>
  <c r="K16" i="75" s="1"/>
  <c r="J16" i="74"/>
  <c r="J16" i="75" s="1"/>
  <c r="M15" i="74"/>
  <c r="M15" i="75" s="1"/>
  <c r="L15" i="74"/>
  <c r="L15" i="75" s="1"/>
  <c r="K15" i="74"/>
  <c r="K15" i="75" s="1"/>
  <c r="J15" i="74"/>
  <c r="J15" i="75" s="1"/>
  <c r="M14" i="74"/>
  <c r="M14" i="75" s="1"/>
  <c r="L14" i="74"/>
  <c r="L14" i="75" s="1"/>
  <c r="K14" i="74"/>
  <c r="K14" i="75" s="1"/>
  <c r="J14" i="74"/>
  <c r="J14" i="75" s="1"/>
  <c r="M13" i="74"/>
  <c r="M13" i="75" s="1"/>
  <c r="L13" i="74"/>
  <c r="L13" i="75" s="1"/>
  <c r="K13" i="74"/>
  <c r="K13" i="75" s="1"/>
  <c r="J13" i="74"/>
  <c r="J13" i="75" s="1"/>
  <c r="M12" i="74"/>
  <c r="M12" i="75" s="1"/>
  <c r="L12" i="74"/>
  <c r="L12" i="75" s="1"/>
  <c r="K12" i="74"/>
  <c r="K12" i="75" s="1"/>
  <c r="J12" i="74"/>
  <c r="J12" i="75" s="1"/>
  <c r="M11" i="74"/>
  <c r="M11" i="75" s="1"/>
  <c r="L11" i="74"/>
  <c r="L11" i="75" s="1"/>
  <c r="K11" i="74"/>
  <c r="K11" i="75" s="1"/>
  <c r="J11" i="74"/>
  <c r="J11" i="75" s="1"/>
  <c r="M10" i="74"/>
  <c r="M10" i="75" s="1"/>
  <c r="L10" i="74"/>
  <c r="L10" i="75" s="1"/>
  <c r="K10" i="74"/>
  <c r="K10" i="75" s="1"/>
  <c r="J10" i="74"/>
  <c r="J10" i="75" s="1"/>
  <c r="M9" i="74"/>
  <c r="M9" i="75" s="1"/>
  <c r="L9" i="74"/>
  <c r="L9" i="75" s="1"/>
  <c r="K9" i="74"/>
  <c r="K9" i="75" s="1"/>
  <c r="J9" i="74"/>
  <c r="J9" i="75" s="1"/>
  <c r="M8" i="74"/>
  <c r="M8" i="75" s="1"/>
  <c r="L8" i="74"/>
  <c r="L8" i="75" s="1"/>
  <c r="K8" i="74"/>
  <c r="K8" i="75" s="1"/>
  <c r="J8" i="74"/>
  <c r="J8" i="75" s="1"/>
  <c r="M7" i="74"/>
  <c r="M7" i="75" s="1"/>
  <c r="L7" i="74"/>
  <c r="L7" i="75" s="1"/>
  <c r="K7" i="74"/>
  <c r="K7" i="75" s="1"/>
  <c r="J7" i="74"/>
  <c r="J7" i="75" s="1"/>
  <c r="M6" i="74"/>
  <c r="M6" i="75" s="1"/>
  <c r="L6" i="74"/>
  <c r="L6" i="75" s="1"/>
  <c r="K6" i="74"/>
  <c r="K6" i="75" s="1"/>
  <c r="J6" i="74"/>
  <c r="J6" i="75" s="1"/>
  <c r="I35" i="74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I21" i="75" s="1"/>
  <c r="H21" i="74"/>
  <c r="G21"/>
  <c r="F21"/>
  <c r="I20"/>
  <c r="I20" i="75" s="1"/>
  <c r="H20" i="74"/>
  <c r="G20"/>
  <c r="F20"/>
  <c r="I19"/>
  <c r="I19" i="75" s="1"/>
  <c r="H19" i="74"/>
  <c r="G19"/>
  <c r="F19"/>
  <c r="I18"/>
  <c r="I18" i="75" s="1"/>
  <c r="H18" i="74"/>
  <c r="G18"/>
  <c r="F18"/>
  <c r="I17"/>
  <c r="I17" i="75" s="1"/>
  <c r="H17" i="74"/>
  <c r="G17"/>
  <c r="F17"/>
  <c r="I16"/>
  <c r="I16" i="75" s="1"/>
  <c r="H16" i="74"/>
  <c r="H16" i="75" s="1"/>
  <c r="G16" i="74"/>
  <c r="G16" i="75" s="1"/>
  <c r="F16" i="74"/>
  <c r="F16" i="75" s="1"/>
  <c r="I15" i="74"/>
  <c r="I15" i="75" s="1"/>
  <c r="H15" i="74"/>
  <c r="H15" i="75" s="1"/>
  <c r="G15" i="74"/>
  <c r="G15" i="75" s="1"/>
  <c r="F15" i="74"/>
  <c r="F15" i="75" s="1"/>
  <c r="I14" i="74"/>
  <c r="I14" i="75" s="1"/>
  <c r="H14" i="74"/>
  <c r="H14" i="75" s="1"/>
  <c r="G14" i="74"/>
  <c r="G14" i="75" s="1"/>
  <c r="F14" i="74"/>
  <c r="F14" i="75" s="1"/>
  <c r="I13" i="74"/>
  <c r="I13" i="75" s="1"/>
  <c r="H13" i="74"/>
  <c r="H13" i="75" s="1"/>
  <c r="G13" i="74"/>
  <c r="G13" i="75" s="1"/>
  <c r="F13" i="74"/>
  <c r="F13" i="75" s="1"/>
  <c r="I12" i="74"/>
  <c r="I12" i="75" s="1"/>
  <c r="H12" i="74"/>
  <c r="H12" i="75" s="1"/>
  <c r="G12" i="74"/>
  <c r="G12" i="75" s="1"/>
  <c r="F12" i="74"/>
  <c r="F12" i="75" s="1"/>
  <c r="I11" i="74"/>
  <c r="I11" i="75" s="1"/>
  <c r="H11" i="74"/>
  <c r="H11" i="75" s="1"/>
  <c r="G11" i="74"/>
  <c r="G11" i="75" s="1"/>
  <c r="F11" i="74"/>
  <c r="F11" i="75" s="1"/>
  <c r="I10" i="74"/>
  <c r="I10" i="75" s="1"/>
  <c r="H10" i="74"/>
  <c r="H10" i="75" s="1"/>
  <c r="G10" i="74"/>
  <c r="G10" i="75" s="1"/>
  <c r="F10" i="74"/>
  <c r="F10" i="75" s="1"/>
  <c r="I9" i="74"/>
  <c r="I9" i="75" s="1"/>
  <c r="H9" i="74"/>
  <c r="H9" i="75" s="1"/>
  <c r="G9" i="74"/>
  <c r="G9" i="75" s="1"/>
  <c r="F9" i="74"/>
  <c r="F9" i="75" s="1"/>
  <c r="I8" i="74"/>
  <c r="I8" i="75" s="1"/>
  <c r="H8" i="74"/>
  <c r="H8" i="75" s="1"/>
  <c r="G8" i="74"/>
  <c r="G8" i="75" s="1"/>
  <c r="F8" i="74"/>
  <c r="F8" i="75" s="1"/>
  <c r="I7" i="74"/>
  <c r="I7" i="75" s="1"/>
  <c r="H7" i="74"/>
  <c r="H7" i="75" s="1"/>
  <c r="G7" i="74"/>
  <c r="G7" i="75" s="1"/>
  <c r="F7" i="74"/>
  <c r="F7" i="75" s="1"/>
  <c r="I6" i="74"/>
  <c r="I6" i="75" s="1"/>
  <c r="H6" i="74"/>
  <c r="H6" i="75" s="1"/>
  <c r="G6" i="74"/>
  <c r="G6" i="75" s="1"/>
  <c r="F6" i="74"/>
  <c r="F6" i="75" s="1"/>
  <c r="E35" i="74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E20" i="75" s="1"/>
  <c r="D20" i="74"/>
  <c r="C20"/>
  <c r="B20"/>
  <c r="E19"/>
  <c r="D19"/>
  <c r="C19"/>
  <c r="B19"/>
  <c r="E18"/>
  <c r="E18" i="75" s="1"/>
  <c r="D18" i="74"/>
  <c r="C18"/>
  <c r="B18"/>
  <c r="E17"/>
  <c r="E17" i="75" s="1"/>
  <c r="D17" i="74"/>
  <c r="C17"/>
  <c r="B17"/>
  <c r="E16"/>
  <c r="E16" i="75" s="1"/>
  <c r="D16" i="74"/>
  <c r="D16" i="75" s="1"/>
  <c r="C16" i="74"/>
  <c r="C16" i="75" s="1"/>
  <c r="B16" i="74"/>
  <c r="B16" i="75" s="1"/>
  <c r="E15" i="74"/>
  <c r="E15" i="75" s="1"/>
  <c r="D15" i="74"/>
  <c r="D15" i="75" s="1"/>
  <c r="C15" i="74"/>
  <c r="C15" i="75" s="1"/>
  <c r="B15" i="74"/>
  <c r="B15" i="75" s="1"/>
  <c r="E14" i="74"/>
  <c r="E14" i="75" s="1"/>
  <c r="D14" i="74"/>
  <c r="D14" i="75" s="1"/>
  <c r="C14" i="74"/>
  <c r="C14" i="75" s="1"/>
  <c r="B14" i="74"/>
  <c r="B14" i="75" s="1"/>
  <c r="E13" i="74"/>
  <c r="E13" i="75" s="1"/>
  <c r="D13" i="74"/>
  <c r="D13" i="75" s="1"/>
  <c r="C13" i="74"/>
  <c r="C13" i="75" s="1"/>
  <c r="B13" i="74"/>
  <c r="B13" i="75" s="1"/>
  <c r="E12" i="74"/>
  <c r="E12" i="75" s="1"/>
  <c r="D12" i="74"/>
  <c r="D12" i="75" s="1"/>
  <c r="C12" i="74"/>
  <c r="C12" i="75" s="1"/>
  <c r="B12" i="74"/>
  <c r="B12" i="75" s="1"/>
  <c r="E11" i="74"/>
  <c r="E11" i="75" s="1"/>
  <c r="D11" i="74"/>
  <c r="D11" i="75" s="1"/>
  <c r="C11" i="74"/>
  <c r="C11" i="75" s="1"/>
  <c r="B11" i="74"/>
  <c r="B11" i="75" s="1"/>
  <c r="E10" i="74"/>
  <c r="E10" i="75" s="1"/>
  <c r="D10" i="74"/>
  <c r="D10" i="75" s="1"/>
  <c r="C10" i="74"/>
  <c r="C10" i="75" s="1"/>
  <c r="B10" i="74"/>
  <c r="B10" i="75" s="1"/>
  <c r="E9" i="74"/>
  <c r="E9" i="75" s="1"/>
  <c r="D9" i="74"/>
  <c r="D9" i="75" s="1"/>
  <c r="C9" i="74"/>
  <c r="C9" i="75" s="1"/>
  <c r="B9" i="74"/>
  <c r="B9" i="75" s="1"/>
  <c r="E8" i="74"/>
  <c r="E8" i="75" s="1"/>
  <c r="D8" i="74"/>
  <c r="D8" i="75" s="1"/>
  <c r="C8" i="74"/>
  <c r="C8" i="75" s="1"/>
  <c r="B8" i="74"/>
  <c r="B8" i="75" s="1"/>
  <c r="E7" i="74"/>
  <c r="E7" i="75" s="1"/>
  <c r="D7" i="74"/>
  <c r="D7" i="75" s="1"/>
  <c r="C7" i="74"/>
  <c r="C7" i="75" s="1"/>
  <c r="B7" i="74"/>
  <c r="B7" i="75" s="1"/>
  <c r="E6" i="74"/>
  <c r="E6" i="75" s="1"/>
  <c r="D6" i="74"/>
  <c r="D6" i="75" s="1"/>
  <c r="C6" i="74"/>
  <c r="C6" i="75" s="1"/>
  <c r="B6" i="74"/>
  <c r="B6" i="75" s="1"/>
  <c r="F40" i="91"/>
  <c r="F39"/>
  <c r="F38"/>
  <c r="F37"/>
  <c r="E40"/>
  <c r="E39"/>
  <c r="E38"/>
  <c r="E37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M35" i="67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M16" i="73" s="1"/>
  <c r="L16" i="67"/>
  <c r="L16" i="73" s="1"/>
  <c r="K16" i="67"/>
  <c r="K16" i="73" s="1"/>
  <c r="J16" i="67"/>
  <c r="J16" i="73" s="1"/>
  <c r="M15" i="67"/>
  <c r="M15" i="73" s="1"/>
  <c r="L15" i="67"/>
  <c r="L15" i="73" s="1"/>
  <c r="K15" i="67"/>
  <c r="K15" i="73" s="1"/>
  <c r="J15" i="67"/>
  <c r="J15" i="73" s="1"/>
  <c r="M14" i="67"/>
  <c r="M14" i="73" s="1"/>
  <c r="L14" i="67"/>
  <c r="L14" i="73" s="1"/>
  <c r="K14" i="67"/>
  <c r="K14" i="73" s="1"/>
  <c r="J14" i="67"/>
  <c r="J14" i="73" s="1"/>
  <c r="M13" i="67"/>
  <c r="M13" i="73" s="1"/>
  <c r="L13" i="67"/>
  <c r="L13" i="73" s="1"/>
  <c r="K13" i="67"/>
  <c r="K13" i="73" s="1"/>
  <c r="J13" i="67"/>
  <c r="J13" i="73" s="1"/>
  <c r="M12" i="67"/>
  <c r="M12" i="73" s="1"/>
  <c r="L12" i="67"/>
  <c r="L12" i="73" s="1"/>
  <c r="K12" i="67"/>
  <c r="K12" i="73" s="1"/>
  <c r="J12" i="67"/>
  <c r="J12" i="73" s="1"/>
  <c r="M11" i="67"/>
  <c r="M11" i="73" s="1"/>
  <c r="L11" i="67"/>
  <c r="L11" i="73" s="1"/>
  <c r="K11" i="67"/>
  <c r="K11" i="73" s="1"/>
  <c r="J11" i="67"/>
  <c r="J11" i="73" s="1"/>
  <c r="M10" i="67"/>
  <c r="M10" i="73" s="1"/>
  <c r="L10" i="67"/>
  <c r="L10" i="73" s="1"/>
  <c r="K10" i="67"/>
  <c r="K10" i="73" s="1"/>
  <c r="J10" i="67"/>
  <c r="J10" i="73" s="1"/>
  <c r="M9" i="67"/>
  <c r="M9" i="73" s="1"/>
  <c r="L9" i="67"/>
  <c r="L9" i="73" s="1"/>
  <c r="K9" i="67"/>
  <c r="K9" i="73" s="1"/>
  <c r="J9" i="67"/>
  <c r="J9" i="73" s="1"/>
  <c r="M8" i="67"/>
  <c r="M8" i="73" s="1"/>
  <c r="L8" i="67"/>
  <c r="L8" i="73" s="1"/>
  <c r="K8" i="67"/>
  <c r="K8" i="73" s="1"/>
  <c r="J8" i="67"/>
  <c r="J8" i="73" s="1"/>
  <c r="M7" i="67"/>
  <c r="M7" i="73" s="1"/>
  <c r="L7" i="67"/>
  <c r="L7" i="73" s="1"/>
  <c r="K7" i="67"/>
  <c r="K7" i="73" s="1"/>
  <c r="J7" i="67"/>
  <c r="J7" i="73" s="1"/>
  <c r="M6" i="67"/>
  <c r="M6" i="73" s="1"/>
  <c r="L6" i="67"/>
  <c r="L6" i="73" s="1"/>
  <c r="K6" i="67"/>
  <c r="K6" i="73" s="1"/>
  <c r="J6" i="67"/>
  <c r="J6" i="73" s="1"/>
  <c r="I35" i="67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I16" i="73" s="1"/>
  <c r="H16" i="67"/>
  <c r="H16" i="73" s="1"/>
  <c r="G16" i="67"/>
  <c r="G16" i="73" s="1"/>
  <c r="F16" i="67"/>
  <c r="F16" i="73" s="1"/>
  <c r="I15" i="67"/>
  <c r="I15" i="73" s="1"/>
  <c r="H15" i="67"/>
  <c r="H15" i="73" s="1"/>
  <c r="G15" i="67"/>
  <c r="G15" i="73" s="1"/>
  <c r="F15" i="67"/>
  <c r="F15" i="73" s="1"/>
  <c r="I14" i="67"/>
  <c r="I14" i="73" s="1"/>
  <c r="H14" i="67"/>
  <c r="H14" i="73" s="1"/>
  <c r="G14" i="67"/>
  <c r="G14" i="73" s="1"/>
  <c r="F14" i="67"/>
  <c r="F14" i="73" s="1"/>
  <c r="I13" i="67"/>
  <c r="I13" i="73" s="1"/>
  <c r="H13" i="67"/>
  <c r="H13" i="73" s="1"/>
  <c r="G13" i="67"/>
  <c r="G13" i="73" s="1"/>
  <c r="F13" i="67"/>
  <c r="F13" i="73" s="1"/>
  <c r="I12" i="67"/>
  <c r="I12" i="73" s="1"/>
  <c r="H12" i="67"/>
  <c r="H12" i="73" s="1"/>
  <c r="G12" i="67"/>
  <c r="G12" i="73" s="1"/>
  <c r="F12" i="67"/>
  <c r="F12" i="73" s="1"/>
  <c r="I11" i="67"/>
  <c r="I11" i="73" s="1"/>
  <c r="H11" i="67"/>
  <c r="H11" i="73" s="1"/>
  <c r="G11" i="67"/>
  <c r="G11" i="73" s="1"/>
  <c r="F11" i="67"/>
  <c r="F11" i="73" s="1"/>
  <c r="I10" i="67"/>
  <c r="I10" i="73" s="1"/>
  <c r="H10" i="67"/>
  <c r="H10" i="73" s="1"/>
  <c r="G10" i="67"/>
  <c r="G10" i="73" s="1"/>
  <c r="F10" i="67"/>
  <c r="F10" i="73" s="1"/>
  <c r="I9" i="67"/>
  <c r="I9" i="73" s="1"/>
  <c r="H9" i="67"/>
  <c r="H9" i="73" s="1"/>
  <c r="G9" i="67"/>
  <c r="G9" i="73" s="1"/>
  <c r="F9" i="67"/>
  <c r="F9" i="73" s="1"/>
  <c r="I8" i="67"/>
  <c r="I8" i="73" s="1"/>
  <c r="H8" i="67"/>
  <c r="H8" i="73" s="1"/>
  <c r="G8" i="67"/>
  <c r="G8" i="73" s="1"/>
  <c r="F8" i="67"/>
  <c r="F8" i="73" s="1"/>
  <c r="I7" i="67"/>
  <c r="I7" i="73" s="1"/>
  <c r="H7" i="67"/>
  <c r="H7" i="73" s="1"/>
  <c r="G7" i="67"/>
  <c r="G7" i="73" s="1"/>
  <c r="F7" i="67"/>
  <c r="F7" i="73" s="1"/>
  <c r="I6" i="67"/>
  <c r="I6" i="73" s="1"/>
  <c r="H6" i="67"/>
  <c r="H6" i="73" s="1"/>
  <c r="G6" i="67"/>
  <c r="G6" i="73" s="1"/>
  <c r="F6" i="67"/>
  <c r="F6" i="73" s="1"/>
  <c r="E35" i="67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E16" i="73" s="1"/>
  <c r="D16" i="67"/>
  <c r="D16" i="73" s="1"/>
  <c r="C16" i="67"/>
  <c r="C16" i="73" s="1"/>
  <c r="B16" i="67"/>
  <c r="B16" i="73" s="1"/>
  <c r="E15" i="67"/>
  <c r="E15" i="73" s="1"/>
  <c r="D15" i="67"/>
  <c r="D15" i="73" s="1"/>
  <c r="C15" i="67"/>
  <c r="C15" i="73" s="1"/>
  <c r="B15" i="67"/>
  <c r="B15" i="73" s="1"/>
  <c r="E14" i="67"/>
  <c r="E14" i="73" s="1"/>
  <c r="D14" i="67"/>
  <c r="D14" i="73" s="1"/>
  <c r="C14" i="67"/>
  <c r="C14" i="73" s="1"/>
  <c r="B14" i="67"/>
  <c r="B14" i="73" s="1"/>
  <c r="E13" i="67"/>
  <c r="E13" i="73" s="1"/>
  <c r="D13" i="67"/>
  <c r="D13" i="73" s="1"/>
  <c r="C13" i="67"/>
  <c r="C13" i="73" s="1"/>
  <c r="B13" i="67"/>
  <c r="B13" i="73" s="1"/>
  <c r="E12" i="67"/>
  <c r="E12" i="73" s="1"/>
  <c r="D12" i="67"/>
  <c r="D12" i="73" s="1"/>
  <c r="C12" i="67"/>
  <c r="C12" i="73" s="1"/>
  <c r="B12" i="67"/>
  <c r="B12" i="73" s="1"/>
  <c r="E11" i="67"/>
  <c r="E11" i="73" s="1"/>
  <c r="D11" i="67"/>
  <c r="D11" i="73" s="1"/>
  <c r="C11" i="67"/>
  <c r="C11" i="73" s="1"/>
  <c r="B11" i="67"/>
  <c r="B11" i="73" s="1"/>
  <c r="E10" i="67"/>
  <c r="E10" i="73" s="1"/>
  <c r="D10" i="67"/>
  <c r="D10" i="73" s="1"/>
  <c r="C10" i="67"/>
  <c r="C10" i="73" s="1"/>
  <c r="B10" i="67"/>
  <c r="B10" i="73" s="1"/>
  <c r="E9" i="67"/>
  <c r="E9" i="73" s="1"/>
  <c r="D9" i="67"/>
  <c r="D9" i="73" s="1"/>
  <c r="C9" i="67"/>
  <c r="C9" i="73" s="1"/>
  <c r="B9" i="67"/>
  <c r="B9" i="73" s="1"/>
  <c r="E8" i="67"/>
  <c r="E8" i="73" s="1"/>
  <c r="D8" i="67"/>
  <c r="D8" i="73" s="1"/>
  <c r="C8" i="67"/>
  <c r="C8" i="73" s="1"/>
  <c r="B8" i="67"/>
  <c r="B8" i="73" s="1"/>
  <c r="E7" i="67"/>
  <c r="E7" i="73" s="1"/>
  <c r="D7" i="67"/>
  <c r="D7" i="73" s="1"/>
  <c r="C7" i="67"/>
  <c r="C7" i="73" s="1"/>
  <c r="B7" i="67"/>
  <c r="B7" i="73" s="1"/>
  <c r="E6" i="67"/>
  <c r="E6" i="73" s="1"/>
  <c r="D6" i="67"/>
  <c r="D6" i="73" s="1"/>
  <c r="C6" i="67"/>
  <c r="C6" i="73" s="1"/>
  <c r="B6" i="67"/>
  <c r="B6" i="73" s="1"/>
  <c r="V36" i="12"/>
  <c r="U36"/>
  <c r="T36"/>
  <c r="S36"/>
  <c r="V35"/>
  <c r="U35"/>
  <c r="T35"/>
  <c r="S35"/>
  <c r="V34"/>
  <c r="U34"/>
  <c r="T34"/>
  <c r="S34"/>
  <c r="V33"/>
  <c r="U33"/>
  <c r="T33"/>
  <c r="S33"/>
  <c r="V32"/>
  <c r="U32"/>
  <c r="T32"/>
  <c r="S32"/>
  <c r="V31"/>
  <c r="U31"/>
  <c r="T31"/>
  <c r="S31"/>
  <c r="V30"/>
  <c r="U30"/>
  <c r="T30"/>
  <c r="S30"/>
  <c r="V29"/>
  <c r="U29"/>
  <c r="T29"/>
  <c r="S29"/>
  <c r="V28"/>
  <c r="U28"/>
  <c r="T28"/>
  <c r="S28"/>
  <c r="V27"/>
  <c r="U27"/>
  <c r="T27"/>
  <c r="S27"/>
  <c r="V26"/>
  <c r="U26"/>
  <c r="T26"/>
  <c r="S26"/>
  <c r="V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M35" i="50"/>
  <c r="M35" i="51" s="1"/>
  <c r="L35" i="50"/>
  <c r="L35" i="51" s="1"/>
  <c r="K35" i="50"/>
  <c r="K35" i="51" s="1"/>
  <c r="J35" i="50"/>
  <c r="J35" i="51" s="1"/>
  <c r="M34" i="50"/>
  <c r="M34" i="51" s="1"/>
  <c r="L34" i="50"/>
  <c r="L34" i="51" s="1"/>
  <c r="K34" i="50"/>
  <c r="K34" i="51" s="1"/>
  <c r="J34" i="50"/>
  <c r="J34" i="51" s="1"/>
  <c r="M33" i="50"/>
  <c r="M33" i="51" s="1"/>
  <c r="L33" i="50"/>
  <c r="L33" i="51" s="1"/>
  <c r="K33" i="50"/>
  <c r="K33" i="51" s="1"/>
  <c r="J33" i="50"/>
  <c r="J33" i="51" s="1"/>
  <c r="M32" i="50"/>
  <c r="M32" i="51" s="1"/>
  <c r="L32" i="50"/>
  <c r="L32" i="51" s="1"/>
  <c r="K32" i="50"/>
  <c r="K32" i="51" s="1"/>
  <c r="J32" i="50"/>
  <c r="J32" i="51" s="1"/>
  <c r="M31" i="50"/>
  <c r="M31" i="51" s="1"/>
  <c r="L31" i="50"/>
  <c r="L31" i="51" s="1"/>
  <c r="K31" i="50"/>
  <c r="K31" i="51" s="1"/>
  <c r="J31" i="50"/>
  <c r="J31" i="51" s="1"/>
  <c r="M30" i="50"/>
  <c r="M30" i="51" s="1"/>
  <c r="L30" i="50"/>
  <c r="L30" i="51" s="1"/>
  <c r="K30" i="50"/>
  <c r="K30" i="51" s="1"/>
  <c r="J30" i="50"/>
  <c r="J30" i="51" s="1"/>
  <c r="M29" i="50"/>
  <c r="M29" i="51" s="1"/>
  <c r="L29" i="50"/>
  <c r="L29" i="51" s="1"/>
  <c r="K29" i="50"/>
  <c r="K29" i="51" s="1"/>
  <c r="J29" i="50"/>
  <c r="J29" i="51" s="1"/>
  <c r="M28" i="50"/>
  <c r="M28" i="51" s="1"/>
  <c r="L28" i="50"/>
  <c r="L28" i="51" s="1"/>
  <c r="K28" i="50"/>
  <c r="K28" i="51" s="1"/>
  <c r="J28" i="50"/>
  <c r="J28" i="51" s="1"/>
  <c r="M27" i="50"/>
  <c r="M27" i="51" s="1"/>
  <c r="L27" i="50"/>
  <c r="L27" i="51" s="1"/>
  <c r="K27" i="50"/>
  <c r="K27" i="51" s="1"/>
  <c r="J27" i="50"/>
  <c r="J27" i="51" s="1"/>
  <c r="M26" i="50"/>
  <c r="M26" i="51" s="1"/>
  <c r="L26" i="50"/>
  <c r="L26" i="51" s="1"/>
  <c r="K26" i="50"/>
  <c r="K26" i="51" s="1"/>
  <c r="J26" i="50"/>
  <c r="J26" i="51" s="1"/>
  <c r="M25" i="50"/>
  <c r="M25" i="51" s="1"/>
  <c r="L25" i="50"/>
  <c r="L25" i="51" s="1"/>
  <c r="K25" i="50"/>
  <c r="K25" i="51" s="1"/>
  <c r="J25" i="50"/>
  <c r="J25" i="51" s="1"/>
  <c r="M24" i="50"/>
  <c r="M24" i="51" s="1"/>
  <c r="L24" i="50"/>
  <c r="L24" i="51" s="1"/>
  <c r="K24" i="50"/>
  <c r="K24" i="51" s="1"/>
  <c r="J24" i="50"/>
  <c r="J24" i="51" s="1"/>
  <c r="M23" i="50"/>
  <c r="M23" i="51" s="1"/>
  <c r="L23" i="50"/>
  <c r="L23" i="51" s="1"/>
  <c r="K23" i="50"/>
  <c r="K23" i="51" s="1"/>
  <c r="J23" i="50"/>
  <c r="J23" i="51" s="1"/>
  <c r="M22" i="50"/>
  <c r="M22" i="51" s="1"/>
  <c r="L22" i="50"/>
  <c r="L22" i="51" s="1"/>
  <c r="K22" i="50"/>
  <c r="K22" i="51" s="1"/>
  <c r="J22" i="50"/>
  <c r="J22" i="51" s="1"/>
  <c r="M21" i="50"/>
  <c r="M21" i="51" s="1"/>
  <c r="L21" i="50"/>
  <c r="L21" i="51" s="1"/>
  <c r="K21" i="50"/>
  <c r="K21" i="51" s="1"/>
  <c r="J21" i="50"/>
  <c r="J21" i="51" s="1"/>
  <c r="M20" i="50"/>
  <c r="M20" i="51" s="1"/>
  <c r="L20" i="50"/>
  <c r="L20" i="51" s="1"/>
  <c r="K20" i="50"/>
  <c r="K20" i="51" s="1"/>
  <c r="J20" i="50"/>
  <c r="J20" i="51" s="1"/>
  <c r="M19" i="50"/>
  <c r="M19" i="51" s="1"/>
  <c r="L19" i="50"/>
  <c r="L19" i="51" s="1"/>
  <c r="K19" i="50"/>
  <c r="K19" i="51" s="1"/>
  <c r="J19" i="50"/>
  <c r="J19" i="51" s="1"/>
  <c r="M18" i="50"/>
  <c r="M18" i="51" s="1"/>
  <c r="L18" i="50"/>
  <c r="L18" i="51" s="1"/>
  <c r="K18" i="50"/>
  <c r="K18" i="51" s="1"/>
  <c r="J18" i="50"/>
  <c r="J18" i="51" s="1"/>
  <c r="M17" i="50"/>
  <c r="M17" i="51" s="1"/>
  <c r="L17" i="50"/>
  <c r="L17" i="51" s="1"/>
  <c r="K17" i="50"/>
  <c r="K17" i="51" s="1"/>
  <c r="J17" i="50"/>
  <c r="J17" i="51" s="1"/>
  <c r="M16" i="50"/>
  <c r="M16" i="51" s="1"/>
  <c r="L16" i="50"/>
  <c r="L16" i="51" s="1"/>
  <c r="K16" i="50"/>
  <c r="K16" i="51" s="1"/>
  <c r="J16" i="50"/>
  <c r="J16" i="51" s="1"/>
  <c r="M15" i="50"/>
  <c r="M15" i="51" s="1"/>
  <c r="L15" i="50"/>
  <c r="L15" i="51" s="1"/>
  <c r="K15" i="50"/>
  <c r="K15" i="51" s="1"/>
  <c r="J15" i="50"/>
  <c r="J15" i="51" s="1"/>
  <c r="M14" i="50"/>
  <c r="M14" i="51" s="1"/>
  <c r="L14" i="50"/>
  <c r="L14" i="51" s="1"/>
  <c r="K14" i="50"/>
  <c r="K14" i="51" s="1"/>
  <c r="J14" i="50"/>
  <c r="J14" i="51" s="1"/>
  <c r="M13" i="50"/>
  <c r="M13" i="51" s="1"/>
  <c r="L13" i="50"/>
  <c r="L13" i="51" s="1"/>
  <c r="K13" i="50"/>
  <c r="K13" i="51" s="1"/>
  <c r="J13" i="50"/>
  <c r="J13" i="51" s="1"/>
  <c r="M12" i="50"/>
  <c r="M12" i="51" s="1"/>
  <c r="L12" i="50"/>
  <c r="L12" i="51" s="1"/>
  <c r="K12" i="50"/>
  <c r="K12" i="51" s="1"/>
  <c r="J12" i="50"/>
  <c r="J12" i="51" s="1"/>
  <c r="M11" i="50"/>
  <c r="M11" i="51" s="1"/>
  <c r="L11" i="50"/>
  <c r="L11" i="51" s="1"/>
  <c r="K11" i="50"/>
  <c r="K11" i="51" s="1"/>
  <c r="J11" i="50"/>
  <c r="J11" i="51" s="1"/>
  <c r="M10" i="50"/>
  <c r="M10" i="51" s="1"/>
  <c r="L10" i="50"/>
  <c r="L10" i="51" s="1"/>
  <c r="K10" i="50"/>
  <c r="K10" i="51" s="1"/>
  <c r="J10" i="50"/>
  <c r="J10" i="51" s="1"/>
  <c r="M9" i="50"/>
  <c r="M9" i="51" s="1"/>
  <c r="L9" i="50"/>
  <c r="L9" i="51" s="1"/>
  <c r="K9" i="50"/>
  <c r="K9" i="51" s="1"/>
  <c r="J9" i="50"/>
  <c r="J9" i="51" s="1"/>
  <c r="M8" i="50"/>
  <c r="M8" i="51" s="1"/>
  <c r="L8" i="50"/>
  <c r="L8" i="51" s="1"/>
  <c r="K8" i="50"/>
  <c r="K8" i="51" s="1"/>
  <c r="J8" i="50"/>
  <c r="J8" i="51" s="1"/>
  <c r="M7" i="50"/>
  <c r="M7" i="51" s="1"/>
  <c r="L7" i="50"/>
  <c r="L7" i="51" s="1"/>
  <c r="K7" i="50"/>
  <c r="K7" i="51" s="1"/>
  <c r="J7" i="50"/>
  <c r="J7" i="51" s="1"/>
  <c r="M6" i="50"/>
  <c r="M6" i="51" s="1"/>
  <c r="L6" i="50"/>
  <c r="L6" i="51" s="1"/>
  <c r="K6" i="50"/>
  <c r="K6" i="51" s="1"/>
  <c r="J6" i="50"/>
  <c r="J6" i="51" s="1"/>
  <c r="I35" i="50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M40" i="87"/>
  <c r="L40"/>
  <c r="K40"/>
  <c r="J40"/>
  <c r="M37"/>
  <c r="L37"/>
  <c r="K37"/>
  <c r="J37"/>
  <c r="M40" i="88"/>
  <c r="L40"/>
  <c r="J40"/>
  <c r="I40"/>
  <c r="H40"/>
  <c r="G40"/>
  <c r="F40"/>
  <c r="E40"/>
  <c r="D40"/>
  <c r="C40"/>
  <c r="M39"/>
  <c r="L39"/>
  <c r="J39"/>
  <c r="I39"/>
  <c r="H39"/>
  <c r="G39"/>
  <c r="F39"/>
  <c r="E39"/>
  <c r="D39"/>
  <c r="C39"/>
  <c r="M38"/>
  <c r="L38"/>
  <c r="K38"/>
  <c r="J38"/>
  <c r="I38"/>
  <c r="G38"/>
  <c r="F38"/>
  <c r="E38"/>
  <c r="D38"/>
  <c r="C38"/>
  <c r="M37"/>
  <c r="L37"/>
  <c r="K37"/>
  <c r="J37"/>
  <c r="I37"/>
  <c r="H37"/>
  <c r="G37"/>
  <c r="F37"/>
  <c r="D37"/>
  <c r="C37"/>
  <c r="B38"/>
  <c r="B37"/>
  <c r="B40"/>
  <c r="B39"/>
  <c r="M35" i="7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5" i="123" l="1"/>
  <c r="C5" i="131" s="1"/>
  <c r="C17" i="73"/>
  <c r="E5" i="123"/>
  <c r="E5" i="131" s="1"/>
  <c r="E17" i="73"/>
  <c r="C6" i="123"/>
  <c r="C6" i="131" s="1"/>
  <c r="C18" i="73"/>
  <c r="E6" i="123"/>
  <c r="E6" i="131" s="1"/>
  <c r="E18" i="73"/>
  <c r="C7" i="123"/>
  <c r="C7" i="131" s="1"/>
  <c r="C19" i="73"/>
  <c r="E7" i="123"/>
  <c r="E7" i="131" s="1"/>
  <c r="E19" i="73"/>
  <c r="C8" i="123"/>
  <c r="C8" i="131" s="1"/>
  <c r="C20" i="73"/>
  <c r="E8" i="123"/>
  <c r="E8" i="131" s="1"/>
  <c r="E20" i="73"/>
  <c r="C9" i="123"/>
  <c r="C9" i="131" s="1"/>
  <c r="C21" i="73"/>
  <c r="E9" i="123"/>
  <c r="E9" i="131" s="1"/>
  <c r="E21" i="73"/>
  <c r="C10" i="123"/>
  <c r="C10" i="131" s="1"/>
  <c r="C22" i="73"/>
  <c r="E10" i="123"/>
  <c r="E10" i="131" s="1"/>
  <c r="E22" i="73"/>
  <c r="C11" i="123"/>
  <c r="C11" i="131" s="1"/>
  <c r="C23" i="73"/>
  <c r="E11" i="123"/>
  <c r="E11" i="131" s="1"/>
  <c r="E23" i="73"/>
  <c r="C12" i="123"/>
  <c r="C12" i="131" s="1"/>
  <c r="C24" i="73"/>
  <c r="E12" i="123"/>
  <c r="E12" i="131" s="1"/>
  <c r="E24" i="73"/>
  <c r="C13" i="123"/>
  <c r="C13" i="131" s="1"/>
  <c r="C25" i="73"/>
  <c r="E13" i="123"/>
  <c r="E13" i="131" s="1"/>
  <c r="E25" i="73"/>
  <c r="C14" i="123"/>
  <c r="C14" i="131" s="1"/>
  <c r="C26" i="73"/>
  <c r="E14" i="123"/>
  <c r="E14" i="131" s="1"/>
  <c r="E26" i="73"/>
  <c r="C15" i="123"/>
  <c r="C15" i="131" s="1"/>
  <c r="C27" i="73"/>
  <c r="E15" i="123"/>
  <c r="E15" i="131" s="1"/>
  <c r="E27" i="73"/>
  <c r="C16" i="123"/>
  <c r="C16" i="131" s="1"/>
  <c r="C28" i="73"/>
  <c r="E16" i="123"/>
  <c r="E16" i="131" s="1"/>
  <c r="E28" i="73"/>
  <c r="C17" i="123"/>
  <c r="C17" i="131" s="1"/>
  <c r="C29" i="73"/>
  <c r="E17" i="123"/>
  <c r="E17" i="131" s="1"/>
  <c r="E29" i="73"/>
  <c r="C18" i="123"/>
  <c r="C18" i="131" s="1"/>
  <c r="C30" i="73"/>
  <c r="E18" i="123"/>
  <c r="E18" i="131" s="1"/>
  <c r="E30" i="73"/>
  <c r="C19" i="123"/>
  <c r="C19" i="131" s="1"/>
  <c r="C31" i="73"/>
  <c r="E19" i="123"/>
  <c r="E19" i="131" s="1"/>
  <c r="E31" i="73"/>
  <c r="C20" i="123"/>
  <c r="C20" i="131" s="1"/>
  <c r="C32" i="73"/>
  <c r="E20" i="123"/>
  <c r="E20" i="131" s="1"/>
  <c r="E32" i="73"/>
  <c r="C21" i="123"/>
  <c r="C21" i="131" s="1"/>
  <c r="C33" i="73"/>
  <c r="E21" i="123"/>
  <c r="E21" i="131" s="1"/>
  <c r="E33" i="73"/>
  <c r="C22" i="123"/>
  <c r="C22" i="131" s="1"/>
  <c r="C34" i="73"/>
  <c r="E22" i="123"/>
  <c r="E22" i="131" s="1"/>
  <c r="E34" i="73"/>
  <c r="C23" i="123"/>
  <c r="C23" i="131" s="1"/>
  <c r="C35" i="73"/>
  <c r="E23" i="123"/>
  <c r="E23" i="131" s="1"/>
  <c r="E35" i="73"/>
  <c r="G5" i="123"/>
  <c r="G5" i="131" s="1"/>
  <c r="G17" i="73"/>
  <c r="I5" i="123"/>
  <c r="I5" i="131" s="1"/>
  <c r="I17" i="73"/>
  <c r="G6" i="123"/>
  <c r="G6" i="131" s="1"/>
  <c r="G18" i="73"/>
  <c r="I6" i="123"/>
  <c r="I6" i="131" s="1"/>
  <c r="I18" i="73"/>
  <c r="G7" i="123"/>
  <c r="G7" i="131" s="1"/>
  <c r="G19" i="73"/>
  <c r="I7" i="123"/>
  <c r="I7" i="131" s="1"/>
  <c r="I19" i="73"/>
  <c r="G8" i="123"/>
  <c r="G8" i="131" s="1"/>
  <c r="G20" i="73"/>
  <c r="I8" i="123"/>
  <c r="I8" i="131" s="1"/>
  <c r="I20" i="73"/>
  <c r="G9" i="123"/>
  <c r="G9" i="131" s="1"/>
  <c r="G21" i="73"/>
  <c r="I9" i="123"/>
  <c r="I9" i="131" s="1"/>
  <c r="I21" i="73"/>
  <c r="G10" i="123"/>
  <c r="G10" i="131" s="1"/>
  <c r="G22" i="73"/>
  <c r="I10" i="123"/>
  <c r="I10" i="131" s="1"/>
  <c r="I22" i="73"/>
  <c r="G11" i="123"/>
  <c r="G11" i="131" s="1"/>
  <c r="G23" i="73"/>
  <c r="I11" i="123"/>
  <c r="I11" i="131" s="1"/>
  <c r="I23" i="73"/>
  <c r="G12" i="123"/>
  <c r="G12" i="131" s="1"/>
  <c r="G24" i="73"/>
  <c r="I12" i="123"/>
  <c r="I12" i="131" s="1"/>
  <c r="I24" i="73"/>
  <c r="G13" i="123"/>
  <c r="G13" i="131" s="1"/>
  <c r="G25" i="73"/>
  <c r="I13" i="123"/>
  <c r="I13" i="131" s="1"/>
  <c r="I25" i="73"/>
  <c r="G14" i="123"/>
  <c r="G14" i="131" s="1"/>
  <c r="G26" i="73"/>
  <c r="I14" i="123"/>
  <c r="I14" i="131" s="1"/>
  <c r="I26" i="73"/>
  <c r="G15" i="123"/>
  <c r="G15" i="131" s="1"/>
  <c r="G27" i="73"/>
  <c r="I15" i="123"/>
  <c r="I15" i="131" s="1"/>
  <c r="I27" i="73"/>
  <c r="G16" i="123"/>
  <c r="G16" i="131" s="1"/>
  <c r="G28" i="73"/>
  <c r="I16" i="123"/>
  <c r="I16" i="131" s="1"/>
  <c r="I28" i="73"/>
  <c r="G17" i="123"/>
  <c r="G17" i="131" s="1"/>
  <c r="G29" i="73"/>
  <c r="I17" i="123"/>
  <c r="I17" i="131" s="1"/>
  <c r="I29" i="73"/>
  <c r="G18" i="123"/>
  <c r="G18" i="131" s="1"/>
  <c r="G30" i="73"/>
  <c r="I18" i="123"/>
  <c r="I18" i="131" s="1"/>
  <c r="I30" i="73"/>
  <c r="G19" i="123"/>
  <c r="G19" i="131" s="1"/>
  <c r="G31" i="73"/>
  <c r="I19" i="123"/>
  <c r="I19" i="131" s="1"/>
  <c r="I31" i="73"/>
  <c r="G20" i="123"/>
  <c r="G20" i="131" s="1"/>
  <c r="G32" i="73"/>
  <c r="I20" i="123"/>
  <c r="I20" i="131" s="1"/>
  <c r="I32" i="73"/>
  <c r="G21" i="123"/>
  <c r="G21" i="131" s="1"/>
  <c r="G33" i="73"/>
  <c r="I21" i="123"/>
  <c r="I21" i="131" s="1"/>
  <c r="I33" i="73"/>
  <c r="G22" i="123"/>
  <c r="G22" i="131" s="1"/>
  <c r="G34" i="73"/>
  <c r="I22" i="123"/>
  <c r="I22" i="131" s="1"/>
  <c r="I34" i="73"/>
  <c r="G23" i="123"/>
  <c r="G23" i="131" s="1"/>
  <c r="G35" i="73"/>
  <c r="I23" i="123"/>
  <c r="I23" i="131" s="1"/>
  <c r="I35" i="73"/>
  <c r="K5" i="123"/>
  <c r="K5" i="131" s="1"/>
  <c r="K17" i="73"/>
  <c r="M5" i="123"/>
  <c r="M5" i="131" s="1"/>
  <c r="M17" i="73"/>
  <c r="K6" i="123"/>
  <c r="K6" i="131" s="1"/>
  <c r="K18" i="73"/>
  <c r="M6" i="123"/>
  <c r="M6" i="131" s="1"/>
  <c r="M18" i="73"/>
  <c r="K7" i="123"/>
  <c r="K7" i="131" s="1"/>
  <c r="K19" i="73"/>
  <c r="M7" i="123"/>
  <c r="M7" i="131" s="1"/>
  <c r="M19" i="73"/>
  <c r="K8" i="123"/>
  <c r="K8" i="131" s="1"/>
  <c r="K20" i="73"/>
  <c r="M8" i="123"/>
  <c r="M8" i="131" s="1"/>
  <c r="M20" i="73"/>
  <c r="K9" i="123"/>
  <c r="K9" i="131" s="1"/>
  <c r="K21" i="73"/>
  <c r="M9" i="123"/>
  <c r="M9" i="131" s="1"/>
  <c r="M21" i="73"/>
  <c r="K10" i="123"/>
  <c r="K10" i="131" s="1"/>
  <c r="K22" i="73"/>
  <c r="M10" i="123"/>
  <c r="M10" i="131" s="1"/>
  <c r="M22" i="73"/>
  <c r="K11" i="123"/>
  <c r="K11" i="131" s="1"/>
  <c r="K23" i="73"/>
  <c r="M11" i="123"/>
  <c r="M11" i="131" s="1"/>
  <c r="M23" i="73"/>
  <c r="K12" i="123"/>
  <c r="K12" i="131" s="1"/>
  <c r="K24" i="73"/>
  <c r="M12" i="123"/>
  <c r="M12" i="131" s="1"/>
  <c r="M24" i="73"/>
  <c r="K13" i="123"/>
  <c r="K13" i="131" s="1"/>
  <c r="K25" i="73"/>
  <c r="M13" i="123"/>
  <c r="M13" i="131" s="1"/>
  <c r="M25" i="73"/>
  <c r="K14" i="123"/>
  <c r="K14" i="131" s="1"/>
  <c r="K26" i="73"/>
  <c r="M14" i="123"/>
  <c r="M14" i="131" s="1"/>
  <c r="M26" i="73"/>
  <c r="K15" i="123"/>
  <c r="K15" i="131" s="1"/>
  <c r="K27" i="73"/>
  <c r="M15" i="123"/>
  <c r="M15" i="131" s="1"/>
  <c r="M27" i="73"/>
  <c r="K16" i="123"/>
  <c r="K16" i="131" s="1"/>
  <c r="K28" i="73"/>
  <c r="M16" i="123"/>
  <c r="M16" i="131" s="1"/>
  <c r="M28" i="73"/>
  <c r="K17" i="123"/>
  <c r="K17" i="131" s="1"/>
  <c r="K29" i="73"/>
  <c r="M17" i="123"/>
  <c r="M17" i="131" s="1"/>
  <c r="M29" i="73"/>
  <c r="K18" i="123"/>
  <c r="K18" i="131" s="1"/>
  <c r="K30" i="73"/>
  <c r="M18" i="123"/>
  <c r="M18" i="131" s="1"/>
  <c r="M30" i="73"/>
  <c r="K19" i="123"/>
  <c r="K19" i="131" s="1"/>
  <c r="K31" i="73"/>
  <c r="M19" i="123"/>
  <c r="M19" i="131" s="1"/>
  <c r="M31" i="73"/>
  <c r="K20" i="123"/>
  <c r="K20" i="131" s="1"/>
  <c r="K32" i="73"/>
  <c r="M20" i="123"/>
  <c r="M20" i="131" s="1"/>
  <c r="M32" i="73"/>
  <c r="K21" i="123"/>
  <c r="K21" i="131" s="1"/>
  <c r="K33" i="73"/>
  <c r="M21" i="123"/>
  <c r="M21" i="131" s="1"/>
  <c r="M33" i="73"/>
  <c r="K22" i="123"/>
  <c r="K22" i="131" s="1"/>
  <c r="K34" i="73"/>
  <c r="M22" i="123"/>
  <c r="M22" i="131" s="1"/>
  <c r="M34" i="73"/>
  <c r="K23" i="123"/>
  <c r="K23" i="131" s="1"/>
  <c r="K35" i="73"/>
  <c r="M23" i="123"/>
  <c r="M23" i="131" s="1"/>
  <c r="M35" i="73"/>
  <c r="C5" i="126"/>
  <c r="C5" i="132" s="1"/>
  <c r="C17" i="75"/>
  <c r="C6" i="126"/>
  <c r="C6" i="132" s="1"/>
  <c r="C18" i="75"/>
  <c r="C7" i="126"/>
  <c r="C7" i="132" s="1"/>
  <c r="C19" i="75"/>
  <c r="E7" i="126"/>
  <c r="E7" i="132" s="1"/>
  <c r="E19" i="75"/>
  <c r="C8" i="126"/>
  <c r="C8" i="132" s="1"/>
  <c r="C20" i="75"/>
  <c r="C9" i="126"/>
  <c r="C9" i="132" s="1"/>
  <c r="C21" i="75"/>
  <c r="E9" i="126"/>
  <c r="E9" i="132" s="1"/>
  <c r="E21" i="75"/>
  <c r="C10" i="126"/>
  <c r="C10" i="132" s="1"/>
  <c r="C22" i="75"/>
  <c r="E10" i="126"/>
  <c r="E10" i="132" s="1"/>
  <c r="E22" i="75"/>
  <c r="C11" i="126"/>
  <c r="C11" i="132" s="1"/>
  <c r="C23" i="75"/>
  <c r="E11" i="126"/>
  <c r="E11" i="132" s="1"/>
  <c r="E23" i="75"/>
  <c r="C12" i="126"/>
  <c r="C12" i="132" s="1"/>
  <c r="C24" i="75"/>
  <c r="E12" i="126"/>
  <c r="E12" i="132" s="1"/>
  <c r="E24" i="75"/>
  <c r="C13" i="126"/>
  <c r="C13" i="132" s="1"/>
  <c r="C25" i="75"/>
  <c r="E13" i="126"/>
  <c r="E13" i="132" s="1"/>
  <c r="E25" i="75"/>
  <c r="C14" i="126"/>
  <c r="C14" i="132" s="1"/>
  <c r="C26" i="75"/>
  <c r="E14" i="126"/>
  <c r="E14" i="132" s="1"/>
  <c r="E26" i="75"/>
  <c r="C15" i="126"/>
  <c r="C15" i="132" s="1"/>
  <c r="C27" i="75"/>
  <c r="E15" i="126"/>
  <c r="E15" i="132" s="1"/>
  <c r="E27" i="75"/>
  <c r="C16" i="126"/>
  <c r="C16" i="132" s="1"/>
  <c r="C28" i="75"/>
  <c r="E16" i="126"/>
  <c r="E16" i="132" s="1"/>
  <c r="E28" i="75"/>
  <c r="C17" i="126"/>
  <c r="C17" i="132" s="1"/>
  <c r="C29" i="75"/>
  <c r="E17" i="126"/>
  <c r="E17" i="132" s="1"/>
  <c r="E29" i="75"/>
  <c r="C18" i="126"/>
  <c r="C18" i="132" s="1"/>
  <c r="C30" i="75"/>
  <c r="E18" i="126"/>
  <c r="E18" i="132" s="1"/>
  <c r="E30" i="75"/>
  <c r="C19" i="126"/>
  <c r="C19" i="132" s="1"/>
  <c r="C31" i="75"/>
  <c r="E19" i="126"/>
  <c r="E19" i="132" s="1"/>
  <c r="E31" i="75"/>
  <c r="C20" i="126"/>
  <c r="C20" i="132" s="1"/>
  <c r="C32" i="75"/>
  <c r="E20" i="126"/>
  <c r="E20" i="132" s="1"/>
  <c r="E32" i="75"/>
  <c r="C21" i="126"/>
  <c r="C21" i="132" s="1"/>
  <c r="C33" i="75"/>
  <c r="E21" i="126"/>
  <c r="E21" i="132" s="1"/>
  <c r="E33" i="75"/>
  <c r="C22" i="126"/>
  <c r="C22" i="132" s="1"/>
  <c r="C34" i="75"/>
  <c r="E22" i="126"/>
  <c r="E22" i="132" s="1"/>
  <c r="E34" i="75"/>
  <c r="C23" i="126"/>
  <c r="C23" i="132" s="1"/>
  <c r="C35" i="75"/>
  <c r="E23" i="126"/>
  <c r="E23" i="132" s="1"/>
  <c r="E35" i="75"/>
  <c r="B5" i="123"/>
  <c r="B5" i="131" s="1"/>
  <c r="B17" i="73"/>
  <c r="D5" i="123"/>
  <c r="D5" i="131" s="1"/>
  <c r="D17" i="73"/>
  <c r="B6" i="123"/>
  <c r="B6" i="131" s="1"/>
  <c r="B18" i="73"/>
  <c r="D6" i="123"/>
  <c r="D6" i="131" s="1"/>
  <c r="D18" i="73"/>
  <c r="B7" i="123"/>
  <c r="B7" i="131" s="1"/>
  <c r="B19" i="73"/>
  <c r="D7" i="123"/>
  <c r="D7" i="131" s="1"/>
  <c r="D19" i="73"/>
  <c r="B8" i="123"/>
  <c r="B8" i="131" s="1"/>
  <c r="B20" i="73"/>
  <c r="D8" i="123"/>
  <c r="D8" i="131" s="1"/>
  <c r="D20" i="73"/>
  <c r="B9" i="123"/>
  <c r="B9" i="131" s="1"/>
  <c r="B21" i="73"/>
  <c r="D9" i="123"/>
  <c r="D9" i="131" s="1"/>
  <c r="D21" i="73"/>
  <c r="B10" i="123"/>
  <c r="B10" i="131" s="1"/>
  <c r="B22" i="73"/>
  <c r="D10" i="123"/>
  <c r="D10" i="131" s="1"/>
  <c r="D22" i="73"/>
  <c r="B11" i="123"/>
  <c r="B11" i="131" s="1"/>
  <c r="B23" i="73"/>
  <c r="D11" i="123"/>
  <c r="D11" i="131" s="1"/>
  <c r="D23" i="73"/>
  <c r="B12" i="123"/>
  <c r="B12" i="131" s="1"/>
  <c r="B24" i="73"/>
  <c r="D12" i="123"/>
  <c r="D12" i="131" s="1"/>
  <c r="D24" i="73"/>
  <c r="B13" i="123"/>
  <c r="B13" i="131" s="1"/>
  <c r="B25" i="73"/>
  <c r="D13" i="123"/>
  <c r="D13" i="131" s="1"/>
  <c r="D25" i="73"/>
  <c r="B14" i="123"/>
  <c r="B14" i="131" s="1"/>
  <c r="B26" i="73"/>
  <c r="D14" i="123"/>
  <c r="D14" i="131" s="1"/>
  <c r="D26" i="73"/>
  <c r="B15" i="123"/>
  <c r="B15" i="131" s="1"/>
  <c r="B27" i="73"/>
  <c r="D15" i="123"/>
  <c r="D15" i="131" s="1"/>
  <c r="D27" i="73"/>
  <c r="B16" i="123"/>
  <c r="B16" i="131" s="1"/>
  <c r="B28" i="73"/>
  <c r="D16" i="123"/>
  <c r="D16" i="131" s="1"/>
  <c r="D28" i="73"/>
  <c r="B17" i="123"/>
  <c r="B17" i="131" s="1"/>
  <c r="B29" i="73"/>
  <c r="D17" i="123"/>
  <c r="D17" i="131" s="1"/>
  <c r="D29" i="73"/>
  <c r="B18" i="123"/>
  <c r="B18" i="131" s="1"/>
  <c r="B30" i="73"/>
  <c r="D18" i="123"/>
  <c r="D18" i="131" s="1"/>
  <c r="D30" i="73"/>
  <c r="B19" i="123"/>
  <c r="B19" i="131" s="1"/>
  <c r="B31" i="73"/>
  <c r="D19" i="123"/>
  <c r="D19" i="131" s="1"/>
  <c r="D31" i="73"/>
  <c r="B20" i="123"/>
  <c r="B20" i="131" s="1"/>
  <c r="B32" i="73"/>
  <c r="D20" i="123"/>
  <c r="D20" i="131" s="1"/>
  <c r="D32" i="73"/>
  <c r="B21" i="123"/>
  <c r="B21" i="131" s="1"/>
  <c r="B33" i="73"/>
  <c r="D21" i="123"/>
  <c r="D21" i="131" s="1"/>
  <c r="D33" i="73"/>
  <c r="B22" i="123"/>
  <c r="B22" i="131" s="1"/>
  <c r="B34" i="73"/>
  <c r="D22" i="123"/>
  <c r="D22" i="131" s="1"/>
  <c r="D34" i="73"/>
  <c r="B23" i="123"/>
  <c r="B23" i="131" s="1"/>
  <c r="B35" i="73"/>
  <c r="D23" i="123"/>
  <c r="D23" i="131" s="1"/>
  <c r="D35" i="73"/>
  <c r="F5" i="123"/>
  <c r="F5" i="131" s="1"/>
  <c r="F17" i="73"/>
  <c r="H5" i="123"/>
  <c r="H5" i="131" s="1"/>
  <c r="H17" i="73"/>
  <c r="F6" i="123"/>
  <c r="F6" i="131" s="1"/>
  <c r="F18" i="73"/>
  <c r="H6" i="123"/>
  <c r="H6" i="131" s="1"/>
  <c r="H18" i="73"/>
  <c r="F7" i="123"/>
  <c r="F7" i="131" s="1"/>
  <c r="F19" i="73"/>
  <c r="H7" i="123"/>
  <c r="H7" i="131" s="1"/>
  <c r="H19" i="73"/>
  <c r="F8" i="123"/>
  <c r="F8" i="131" s="1"/>
  <c r="F20" i="73"/>
  <c r="H8" i="123"/>
  <c r="H8" i="131" s="1"/>
  <c r="H20" i="73"/>
  <c r="F9" i="123"/>
  <c r="F9" i="131" s="1"/>
  <c r="F21" i="73"/>
  <c r="H9" i="123"/>
  <c r="H9" i="131" s="1"/>
  <c r="H21" i="73"/>
  <c r="F10" i="123"/>
  <c r="F10" i="131" s="1"/>
  <c r="F22" i="73"/>
  <c r="H10" i="123"/>
  <c r="H10" i="131" s="1"/>
  <c r="H22" i="73"/>
  <c r="F11" i="123"/>
  <c r="F11" i="131" s="1"/>
  <c r="F23" i="73"/>
  <c r="H11" i="123"/>
  <c r="H11" i="131" s="1"/>
  <c r="H23" i="73"/>
  <c r="F12" i="123"/>
  <c r="F12" i="131" s="1"/>
  <c r="F24" i="73"/>
  <c r="H12" i="123"/>
  <c r="H12" i="131" s="1"/>
  <c r="H24" i="73"/>
  <c r="F13" i="123"/>
  <c r="F13" i="131" s="1"/>
  <c r="F25" i="73"/>
  <c r="H13" i="123"/>
  <c r="H13" i="131" s="1"/>
  <c r="H25" i="73"/>
  <c r="F14" i="123"/>
  <c r="F14" i="131" s="1"/>
  <c r="F26" i="73"/>
  <c r="H14" i="123"/>
  <c r="H14" i="131" s="1"/>
  <c r="H26" i="73"/>
  <c r="F15" i="123"/>
  <c r="F15" i="131" s="1"/>
  <c r="F27" i="73"/>
  <c r="H15" i="123"/>
  <c r="H15" i="131" s="1"/>
  <c r="H27" i="73"/>
  <c r="F16" i="123"/>
  <c r="F16" i="131" s="1"/>
  <c r="F28" i="73"/>
  <c r="H16" i="123"/>
  <c r="H16" i="131" s="1"/>
  <c r="H28" i="73"/>
  <c r="F17" i="123"/>
  <c r="F17" i="131" s="1"/>
  <c r="F29" i="73"/>
  <c r="H17" i="123"/>
  <c r="H17" i="131" s="1"/>
  <c r="H29" i="73"/>
  <c r="F18" i="123"/>
  <c r="F18" i="131" s="1"/>
  <c r="F30" i="73"/>
  <c r="H18" i="123"/>
  <c r="H18" i="131" s="1"/>
  <c r="H30" i="73"/>
  <c r="F19" i="123"/>
  <c r="F19" i="131" s="1"/>
  <c r="F31" i="73"/>
  <c r="H19" i="123"/>
  <c r="H19" i="131" s="1"/>
  <c r="H31" i="73"/>
  <c r="F20" i="123"/>
  <c r="F20" i="131" s="1"/>
  <c r="F32" i="73"/>
  <c r="H20" i="123"/>
  <c r="H20" i="131" s="1"/>
  <c r="H32" i="73"/>
  <c r="F21" i="123"/>
  <c r="F21" i="131" s="1"/>
  <c r="F33" i="73"/>
  <c r="H21" i="123"/>
  <c r="H21" i="131" s="1"/>
  <c r="H33" i="73"/>
  <c r="F22" i="123"/>
  <c r="F22" i="131" s="1"/>
  <c r="F34" i="73"/>
  <c r="H22" i="123"/>
  <c r="H22" i="131" s="1"/>
  <c r="H34" i="73"/>
  <c r="F23" i="123"/>
  <c r="F23" i="131" s="1"/>
  <c r="F35" i="73"/>
  <c r="H23" i="123"/>
  <c r="H23" i="131" s="1"/>
  <c r="H35" i="73"/>
  <c r="J5" i="123"/>
  <c r="J5" i="131" s="1"/>
  <c r="J17" i="73"/>
  <c r="L5" i="123"/>
  <c r="L5" i="131" s="1"/>
  <c r="L17" i="73"/>
  <c r="J6" i="123"/>
  <c r="J6" i="131" s="1"/>
  <c r="J18" i="73"/>
  <c r="L6" i="123"/>
  <c r="L6" i="131" s="1"/>
  <c r="L18" i="73"/>
  <c r="J7" i="123"/>
  <c r="J7" i="131" s="1"/>
  <c r="J19" i="73"/>
  <c r="L7" i="123"/>
  <c r="L7" i="131" s="1"/>
  <c r="L19" i="73"/>
  <c r="J8" i="123"/>
  <c r="J8" i="131" s="1"/>
  <c r="J20" i="73"/>
  <c r="L8" i="123"/>
  <c r="L8" i="131" s="1"/>
  <c r="L20" i="73"/>
  <c r="J9" i="123"/>
  <c r="J9" i="131" s="1"/>
  <c r="J21" i="73"/>
  <c r="L9" i="123"/>
  <c r="L9" i="131" s="1"/>
  <c r="L21" i="73"/>
  <c r="J10" i="123"/>
  <c r="J10" i="131" s="1"/>
  <c r="J22" i="73"/>
  <c r="L10" i="123"/>
  <c r="L10" i="131" s="1"/>
  <c r="L22" i="73"/>
  <c r="J11" i="123"/>
  <c r="J11" i="131" s="1"/>
  <c r="J23" i="73"/>
  <c r="L11" i="123"/>
  <c r="L11" i="131" s="1"/>
  <c r="L23" i="73"/>
  <c r="J12" i="123"/>
  <c r="J12" i="131" s="1"/>
  <c r="J24" i="73"/>
  <c r="L12" i="123"/>
  <c r="L12" i="131" s="1"/>
  <c r="L24" i="73"/>
  <c r="J13" i="123"/>
  <c r="J13" i="131" s="1"/>
  <c r="J25" i="73"/>
  <c r="L13" i="123"/>
  <c r="L13" i="131" s="1"/>
  <c r="L25" i="73"/>
  <c r="J14" i="123"/>
  <c r="J14" i="131" s="1"/>
  <c r="J26" i="73"/>
  <c r="L14" i="123"/>
  <c r="L14" i="131" s="1"/>
  <c r="L26" i="73"/>
  <c r="J15" i="123"/>
  <c r="J15" i="131" s="1"/>
  <c r="J27" i="73"/>
  <c r="L15" i="123"/>
  <c r="L15" i="131" s="1"/>
  <c r="L27" i="73"/>
  <c r="J16" i="123"/>
  <c r="J16" i="131" s="1"/>
  <c r="J28" i="73"/>
  <c r="L16" i="123"/>
  <c r="L16" i="131" s="1"/>
  <c r="L28" i="73"/>
  <c r="J17" i="123"/>
  <c r="J17" i="131" s="1"/>
  <c r="J29" i="73"/>
  <c r="L17" i="123"/>
  <c r="L17" i="131" s="1"/>
  <c r="L29" i="73"/>
  <c r="J18" i="123"/>
  <c r="J18" i="131" s="1"/>
  <c r="J30" i="73"/>
  <c r="L18" i="123"/>
  <c r="L18" i="131" s="1"/>
  <c r="L30" i="73"/>
  <c r="J19" i="123"/>
  <c r="J19" i="131" s="1"/>
  <c r="J31" i="73"/>
  <c r="L19" i="123"/>
  <c r="L19" i="131" s="1"/>
  <c r="L31" i="73"/>
  <c r="J20" i="123"/>
  <c r="J20" i="131" s="1"/>
  <c r="J32" i="73"/>
  <c r="L20" i="123"/>
  <c r="L20" i="131" s="1"/>
  <c r="L32" i="73"/>
  <c r="J21" i="123"/>
  <c r="J21" i="131" s="1"/>
  <c r="J33" i="73"/>
  <c r="L21" i="123"/>
  <c r="L21" i="131" s="1"/>
  <c r="L33" i="73"/>
  <c r="J22" i="123"/>
  <c r="J22" i="131" s="1"/>
  <c r="J34" i="73"/>
  <c r="L22" i="123"/>
  <c r="L22" i="131" s="1"/>
  <c r="L34" i="73"/>
  <c r="J23" i="123"/>
  <c r="J23" i="131" s="1"/>
  <c r="J35" i="73"/>
  <c r="L23" i="123"/>
  <c r="L23" i="131" s="1"/>
  <c r="L35" i="73"/>
  <c r="B5" i="126"/>
  <c r="B5" i="132" s="1"/>
  <c r="B17" i="75"/>
  <c r="D5" i="126"/>
  <c r="D5" i="132" s="1"/>
  <c r="D17" i="75"/>
  <c r="B6" i="126"/>
  <c r="B6" i="132" s="1"/>
  <c r="B18" i="75"/>
  <c r="D6" i="126"/>
  <c r="D6" i="132" s="1"/>
  <c r="D18" i="75"/>
  <c r="B7" i="126"/>
  <c r="B7" i="132" s="1"/>
  <c r="B19" i="75"/>
  <c r="D7" i="126"/>
  <c r="D7" i="132" s="1"/>
  <c r="D19" i="75"/>
  <c r="B8" i="126"/>
  <c r="B8" i="132" s="1"/>
  <c r="B20" i="75"/>
  <c r="D8" i="126"/>
  <c r="D8" i="132" s="1"/>
  <c r="D20" i="75"/>
  <c r="B9" i="126"/>
  <c r="B9" i="132" s="1"/>
  <c r="B21" i="75"/>
  <c r="D9" i="126"/>
  <c r="D9" i="132" s="1"/>
  <c r="D21" i="75"/>
  <c r="B10" i="126"/>
  <c r="B10" i="132" s="1"/>
  <c r="B22" i="75"/>
  <c r="D10" i="126"/>
  <c r="D10" i="132" s="1"/>
  <c r="D22" i="75"/>
  <c r="B11" i="126"/>
  <c r="B11" i="132" s="1"/>
  <c r="B23" i="75"/>
  <c r="D11" i="126"/>
  <c r="D11" i="132" s="1"/>
  <c r="D23" i="75"/>
  <c r="B12" i="126"/>
  <c r="B12" i="132" s="1"/>
  <c r="B24" i="75"/>
  <c r="D12" i="126"/>
  <c r="D12" i="132" s="1"/>
  <c r="D24" i="75"/>
  <c r="B13" i="126"/>
  <c r="B13" i="132" s="1"/>
  <c r="B25" i="75"/>
  <c r="D13" i="126"/>
  <c r="D13" i="132" s="1"/>
  <c r="D25" i="75"/>
  <c r="B14" i="126"/>
  <c r="B14" i="132" s="1"/>
  <c r="B26" i="75"/>
  <c r="D14" i="126"/>
  <c r="D14" i="132" s="1"/>
  <c r="D26" i="75"/>
  <c r="B15" i="126"/>
  <c r="B15" i="132" s="1"/>
  <c r="B27" i="75"/>
  <c r="D15" i="126"/>
  <c r="D15" i="132" s="1"/>
  <c r="D27" i="75"/>
  <c r="B16" i="126"/>
  <c r="B16" i="132" s="1"/>
  <c r="B28" i="75"/>
  <c r="D16" i="126"/>
  <c r="D16" i="132" s="1"/>
  <c r="D28" i="75"/>
  <c r="B17" i="126"/>
  <c r="B17" i="132" s="1"/>
  <c r="B29" i="75"/>
  <c r="D17" i="126"/>
  <c r="D17" i="132" s="1"/>
  <c r="D29" i="75"/>
  <c r="B18" i="126"/>
  <c r="B18" i="132" s="1"/>
  <c r="B30" i="75"/>
  <c r="D18" i="126"/>
  <c r="D18" i="132" s="1"/>
  <c r="D30" i="75"/>
  <c r="B19" i="126"/>
  <c r="B19" i="132" s="1"/>
  <c r="B31" i="75"/>
  <c r="D19" i="126"/>
  <c r="D19" i="132" s="1"/>
  <c r="D31" i="75"/>
  <c r="B20" i="126"/>
  <c r="B20" i="132" s="1"/>
  <c r="B32" i="75"/>
  <c r="D20" i="126"/>
  <c r="D20" i="132" s="1"/>
  <c r="D32" i="75"/>
  <c r="B21" i="126"/>
  <c r="B21" i="132" s="1"/>
  <c r="B33" i="75"/>
  <c r="D21" i="126"/>
  <c r="D21" i="132" s="1"/>
  <c r="D33" i="75"/>
  <c r="B22" i="126"/>
  <c r="B22" i="132" s="1"/>
  <c r="B34" i="75"/>
  <c r="D22" i="126"/>
  <c r="D22" i="132" s="1"/>
  <c r="D34" i="75"/>
  <c r="B23" i="126"/>
  <c r="B23" i="132" s="1"/>
  <c r="B35" i="75"/>
  <c r="D23" i="126"/>
  <c r="D23" i="132" s="1"/>
  <c r="D35" i="75"/>
  <c r="F5" i="126"/>
  <c r="F5" i="132" s="1"/>
  <c r="F17" i="75"/>
  <c r="H5" i="126"/>
  <c r="H5" i="132" s="1"/>
  <c r="H17" i="75"/>
  <c r="F6" i="126"/>
  <c r="F6" i="132" s="1"/>
  <c r="F18" i="75"/>
  <c r="H6" i="126"/>
  <c r="H6" i="132" s="1"/>
  <c r="H18" i="75"/>
  <c r="F7" i="126"/>
  <c r="F7" i="132" s="1"/>
  <c r="F19" i="75"/>
  <c r="H7" i="126"/>
  <c r="H7" i="132" s="1"/>
  <c r="H19" i="75"/>
  <c r="F8" i="126"/>
  <c r="F8" i="132" s="1"/>
  <c r="F20" i="75"/>
  <c r="H8" i="126"/>
  <c r="H8" i="132" s="1"/>
  <c r="H20" i="75"/>
  <c r="F9" i="126"/>
  <c r="F9" i="132" s="1"/>
  <c r="F21" i="75"/>
  <c r="H9" i="126"/>
  <c r="H9" i="132" s="1"/>
  <c r="H21" i="75"/>
  <c r="F10" i="126"/>
  <c r="F10" i="132" s="1"/>
  <c r="F22" i="75"/>
  <c r="H10" i="126"/>
  <c r="H10" i="132" s="1"/>
  <c r="H22" i="75"/>
  <c r="F11" i="126"/>
  <c r="F11" i="132" s="1"/>
  <c r="F23" i="75"/>
  <c r="H11" i="126"/>
  <c r="H11" i="132" s="1"/>
  <c r="H23" i="75"/>
  <c r="F12" i="126"/>
  <c r="F12" i="132" s="1"/>
  <c r="F24" i="75"/>
  <c r="H12" i="126"/>
  <c r="H12" i="132" s="1"/>
  <c r="H24" i="75"/>
  <c r="F13" i="126"/>
  <c r="F13" i="132" s="1"/>
  <c r="F25" i="75"/>
  <c r="H13" i="126"/>
  <c r="H13" i="132" s="1"/>
  <c r="H25" i="75"/>
  <c r="F14" i="126"/>
  <c r="F14" i="132" s="1"/>
  <c r="F26" i="75"/>
  <c r="H14" i="126"/>
  <c r="H14" i="132" s="1"/>
  <c r="H26" i="75"/>
  <c r="F15" i="126"/>
  <c r="F15" i="132" s="1"/>
  <c r="F27" i="75"/>
  <c r="H15" i="126"/>
  <c r="H15" i="132" s="1"/>
  <c r="H27" i="75"/>
  <c r="F16" i="126"/>
  <c r="F16" i="132" s="1"/>
  <c r="F28" i="75"/>
  <c r="H16" i="126"/>
  <c r="H16" i="132" s="1"/>
  <c r="H28" i="75"/>
  <c r="F17" i="126"/>
  <c r="F17" i="132" s="1"/>
  <c r="F29" i="75"/>
  <c r="H17" i="126"/>
  <c r="H17" i="132" s="1"/>
  <c r="H29" i="75"/>
  <c r="F18" i="126"/>
  <c r="F18" i="132" s="1"/>
  <c r="F30" i="75"/>
  <c r="H18" i="126"/>
  <c r="H18" i="132" s="1"/>
  <c r="H30" i="75"/>
  <c r="F19" i="126"/>
  <c r="F19" i="132" s="1"/>
  <c r="F31" i="75"/>
  <c r="H19" i="126"/>
  <c r="H19" i="132" s="1"/>
  <c r="H31" i="75"/>
  <c r="F20" i="126"/>
  <c r="F20" i="132" s="1"/>
  <c r="F32" i="75"/>
  <c r="H20" i="126"/>
  <c r="H20" i="132" s="1"/>
  <c r="H32" i="75"/>
  <c r="F21" i="126"/>
  <c r="F21" i="132" s="1"/>
  <c r="F33" i="75"/>
  <c r="H21" i="126"/>
  <c r="H21" i="132" s="1"/>
  <c r="H33" i="75"/>
  <c r="F22" i="126"/>
  <c r="F22" i="132" s="1"/>
  <c r="F34" i="75"/>
  <c r="H22" i="126"/>
  <c r="H22" i="132" s="1"/>
  <c r="H34" i="75"/>
  <c r="F23" i="126"/>
  <c r="F23" i="132" s="1"/>
  <c r="F35" i="75"/>
  <c r="H23" i="126"/>
  <c r="H23" i="132" s="1"/>
  <c r="H35" i="75"/>
  <c r="J5" i="126"/>
  <c r="J5" i="132" s="1"/>
  <c r="J17" i="75"/>
  <c r="L5" i="126"/>
  <c r="L5" i="132" s="1"/>
  <c r="L17" i="75"/>
  <c r="J6" i="126"/>
  <c r="J6" i="132" s="1"/>
  <c r="J18" i="75"/>
  <c r="L6" i="126"/>
  <c r="L6" i="132" s="1"/>
  <c r="L18" i="75"/>
  <c r="J7" i="126"/>
  <c r="J7" i="132" s="1"/>
  <c r="J19" i="75"/>
  <c r="L7" i="126"/>
  <c r="L7" i="132" s="1"/>
  <c r="L19" i="75"/>
  <c r="J8" i="126"/>
  <c r="J8" i="132" s="1"/>
  <c r="J20" i="75"/>
  <c r="L8" i="126"/>
  <c r="L8" i="132" s="1"/>
  <c r="L20" i="75"/>
  <c r="J9" i="126"/>
  <c r="J9" i="132" s="1"/>
  <c r="J21" i="75"/>
  <c r="L9" i="126"/>
  <c r="L9" i="132" s="1"/>
  <c r="L21" i="75"/>
  <c r="J10" i="126"/>
  <c r="J10" i="132" s="1"/>
  <c r="J22" i="75"/>
  <c r="L10" i="126"/>
  <c r="L10" i="132" s="1"/>
  <c r="L22" i="75"/>
  <c r="J11" i="126"/>
  <c r="J11" i="132" s="1"/>
  <c r="J23" i="75"/>
  <c r="L11" i="126"/>
  <c r="L11" i="132" s="1"/>
  <c r="L23" i="75"/>
  <c r="J12" i="126"/>
  <c r="J12" i="132" s="1"/>
  <c r="J24" i="75"/>
  <c r="L12" i="126"/>
  <c r="L12" i="132" s="1"/>
  <c r="L24" i="75"/>
  <c r="J13" i="126"/>
  <c r="J13" i="132" s="1"/>
  <c r="J25" i="75"/>
  <c r="L13" i="126"/>
  <c r="L13" i="132" s="1"/>
  <c r="L25" i="75"/>
  <c r="J14" i="126"/>
  <c r="J14" i="132" s="1"/>
  <c r="J26" i="75"/>
  <c r="L14" i="126"/>
  <c r="L14" i="132" s="1"/>
  <c r="L26" i="75"/>
  <c r="J15" i="126"/>
  <c r="J15" i="132" s="1"/>
  <c r="J27" i="75"/>
  <c r="L15" i="126"/>
  <c r="L15" i="132" s="1"/>
  <c r="L27" i="75"/>
  <c r="J16" i="126"/>
  <c r="J16" i="132" s="1"/>
  <c r="J28" i="75"/>
  <c r="L16" i="126"/>
  <c r="L16" i="132" s="1"/>
  <c r="L28" i="75"/>
  <c r="J17" i="126"/>
  <c r="J17" i="132" s="1"/>
  <c r="J29" i="75"/>
  <c r="L17" i="126"/>
  <c r="L17" i="132" s="1"/>
  <c r="L29" i="75"/>
  <c r="J18" i="126"/>
  <c r="J18" i="132" s="1"/>
  <c r="J30" i="75"/>
  <c r="L18" i="126"/>
  <c r="L18" i="132" s="1"/>
  <c r="L30" i="75"/>
  <c r="J19" i="126"/>
  <c r="J19" i="132" s="1"/>
  <c r="J31" i="75"/>
  <c r="L19" i="126"/>
  <c r="L19" i="132" s="1"/>
  <c r="L31" i="75"/>
  <c r="J20" i="126"/>
  <c r="J20" i="132" s="1"/>
  <c r="J32" i="75"/>
  <c r="L20" i="126"/>
  <c r="L20" i="132" s="1"/>
  <c r="L32" i="75"/>
  <c r="J21" i="126"/>
  <c r="J21" i="132" s="1"/>
  <c r="J33" i="75"/>
  <c r="L21" i="126"/>
  <c r="L21" i="132" s="1"/>
  <c r="L33" i="75"/>
  <c r="J22" i="126"/>
  <c r="J22" i="132" s="1"/>
  <c r="J34" i="75"/>
  <c r="L22" i="126"/>
  <c r="L22" i="132" s="1"/>
  <c r="L34" i="75"/>
  <c r="J23" i="126"/>
  <c r="J23" i="132" s="1"/>
  <c r="J35" i="75"/>
  <c r="L23" i="126"/>
  <c r="L23" i="132" s="1"/>
  <c r="L35" i="75"/>
  <c r="B5" i="128"/>
  <c r="B5" i="135" s="1"/>
  <c r="B17" i="76"/>
  <c r="D5" i="128"/>
  <c r="D5" i="135" s="1"/>
  <c r="D17" i="76"/>
  <c r="B6" i="128"/>
  <c r="B6" i="135" s="1"/>
  <c r="B18" i="76"/>
  <c r="D6" i="128"/>
  <c r="D6" i="135" s="1"/>
  <c r="D18" i="76"/>
  <c r="B7" i="128"/>
  <c r="B7" i="135" s="1"/>
  <c r="B19" i="76"/>
  <c r="D7" i="128"/>
  <c r="D7" i="135" s="1"/>
  <c r="D19" i="76"/>
  <c r="B8" i="128"/>
  <c r="B8" i="135" s="1"/>
  <c r="B20" i="76"/>
  <c r="D8" i="128"/>
  <c r="D8" i="135" s="1"/>
  <c r="D20" i="76"/>
  <c r="B9" i="128"/>
  <c r="B9" i="135" s="1"/>
  <c r="B21" i="76"/>
  <c r="D9" i="128"/>
  <c r="D9" i="135" s="1"/>
  <c r="D21" i="76"/>
  <c r="B10" i="128"/>
  <c r="B10" i="135" s="1"/>
  <c r="B22" i="76"/>
  <c r="D10" i="128"/>
  <c r="D10" i="135" s="1"/>
  <c r="D22" i="76"/>
  <c r="B11" i="128"/>
  <c r="B11" i="135" s="1"/>
  <c r="B23" i="76"/>
  <c r="D11" i="128"/>
  <c r="D11" i="135" s="1"/>
  <c r="D23" i="76"/>
  <c r="B12" i="128"/>
  <c r="B12" i="135" s="1"/>
  <c r="B24" i="76"/>
  <c r="D12" i="128"/>
  <c r="D12" i="135" s="1"/>
  <c r="D24" i="76"/>
  <c r="B13" i="128"/>
  <c r="B13" i="135" s="1"/>
  <c r="B25" i="76"/>
  <c r="D13" i="128"/>
  <c r="D13" i="135" s="1"/>
  <c r="D25" i="76"/>
  <c r="B14" i="128"/>
  <c r="B14" i="135" s="1"/>
  <c r="B26" i="76"/>
  <c r="D14" i="128"/>
  <c r="D14" i="135" s="1"/>
  <c r="D26" i="76"/>
  <c r="B15" i="128"/>
  <c r="B15" i="135" s="1"/>
  <c r="B27" i="76"/>
  <c r="D15" i="128"/>
  <c r="D15" i="135" s="1"/>
  <c r="D27" i="76"/>
  <c r="B16" i="128"/>
  <c r="B16" i="135" s="1"/>
  <c r="B28" i="76"/>
  <c r="D16" i="128"/>
  <c r="D16" i="135" s="1"/>
  <c r="D28" i="76"/>
  <c r="B17" i="128"/>
  <c r="B17" i="135" s="1"/>
  <c r="B29" i="76"/>
  <c r="D17" i="128"/>
  <c r="D17" i="135" s="1"/>
  <c r="D29" i="76"/>
  <c r="B18" i="128"/>
  <c r="B18" i="135" s="1"/>
  <c r="B30" i="76"/>
  <c r="D18" i="128"/>
  <c r="D18" i="135" s="1"/>
  <c r="D30" i="76"/>
  <c r="B19" i="128"/>
  <c r="B19" i="135" s="1"/>
  <c r="B31" i="76"/>
  <c r="D19" i="128"/>
  <c r="D19" i="135" s="1"/>
  <c r="D31" i="76"/>
  <c r="B20" i="128"/>
  <c r="B20" i="135" s="1"/>
  <c r="B32" i="76"/>
  <c r="D20" i="128"/>
  <c r="D20" i="135" s="1"/>
  <c r="D32" i="76"/>
  <c r="B21" i="128"/>
  <c r="B21" i="135" s="1"/>
  <c r="B33" i="76"/>
  <c r="D21" i="128"/>
  <c r="D21" i="135" s="1"/>
  <c r="D33" i="76"/>
  <c r="B22" i="128"/>
  <c r="B22" i="135" s="1"/>
  <c r="B34" i="76"/>
  <c r="D22" i="128"/>
  <c r="D22" i="135" s="1"/>
  <c r="D34" i="76"/>
  <c r="B23" i="128"/>
  <c r="B23" i="135" s="1"/>
  <c r="B35" i="76"/>
  <c r="D23" i="128"/>
  <c r="D23" i="135" s="1"/>
  <c r="D35" i="76"/>
  <c r="F5" i="128"/>
  <c r="F5" i="135" s="1"/>
  <c r="F17" i="76"/>
  <c r="H5" i="128"/>
  <c r="H5" i="135" s="1"/>
  <c r="H17" i="76"/>
  <c r="F6" i="128"/>
  <c r="F6" i="135" s="1"/>
  <c r="F18" i="76"/>
  <c r="H6" i="128"/>
  <c r="H6" i="135" s="1"/>
  <c r="H18" i="76"/>
  <c r="F7" i="128"/>
  <c r="F7" i="135" s="1"/>
  <c r="F19" i="76"/>
  <c r="H7" i="128"/>
  <c r="H7" i="135" s="1"/>
  <c r="H19" i="76"/>
  <c r="F8" i="128"/>
  <c r="F8" i="135" s="1"/>
  <c r="F20" i="76"/>
  <c r="H8" i="128"/>
  <c r="H8" i="135" s="1"/>
  <c r="H20" i="76"/>
  <c r="F9" i="128"/>
  <c r="F9" i="135" s="1"/>
  <c r="F21" i="76"/>
  <c r="H9" i="128"/>
  <c r="H9" i="135" s="1"/>
  <c r="H21" i="76"/>
  <c r="F10" i="128"/>
  <c r="F10" i="135" s="1"/>
  <c r="F22" i="76"/>
  <c r="H10" i="128"/>
  <c r="H10" i="135" s="1"/>
  <c r="H22" i="76"/>
  <c r="F11" i="128"/>
  <c r="F11" i="135" s="1"/>
  <c r="F23" i="76"/>
  <c r="H11" i="128"/>
  <c r="H11" i="135" s="1"/>
  <c r="H23" i="76"/>
  <c r="F12" i="128"/>
  <c r="F12" i="135" s="1"/>
  <c r="F24" i="76"/>
  <c r="H12" i="128"/>
  <c r="H12" i="135" s="1"/>
  <c r="H24" i="76"/>
  <c r="F13" i="128"/>
  <c r="F13" i="135" s="1"/>
  <c r="F25" i="76"/>
  <c r="H13" i="128"/>
  <c r="H13" i="135" s="1"/>
  <c r="H25" i="76"/>
  <c r="F14" i="128"/>
  <c r="F14" i="135" s="1"/>
  <c r="F26" i="76"/>
  <c r="H14" i="128"/>
  <c r="H14" i="135" s="1"/>
  <c r="H26" i="76"/>
  <c r="F15" i="128"/>
  <c r="F15" i="135" s="1"/>
  <c r="F27" i="76"/>
  <c r="H15" i="128"/>
  <c r="H15" i="135" s="1"/>
  <c r="H27" i="76"/>
  <c r="F16" i="128"/>
  <c r="F16" i="135" s="1"/>
  <c r="F28" i="76"/>
  <c r="H16" i="128"/>
  <c r="H16" i="135" s="1"/>
  <c r="H28" i="76"/>
  <c r="F17" i="128"/>
  <c r="F17" i="135" s="1"/>
  <c r="F29" i="76"/>
  <c r="H17" i="128"/>
  <c r="H17" i="135" s="1"/>
  <c r="H29" i="76"/>
  <c r="F18" i="128"/>
  <c r="F18" i="135" s="1"/>
  <c r="F30" i="76"/>
  <c r="H18" i="128"/>
  <c r="H18" i="135" s="1"/>
  <c r="H30" i="76"/>
  <c r="F19" i="128"/>
  <c r="F19" i="135" s="1"/>
  <c r="F31" i="76"/>
  <c r="H19" i="128"/>
  <c r="H19" i="135" s="1"/>
  <c r="H31" i="76"/>
  <c r="F20" i="128"/>
  <c r="F20" i="135" s="1"/>
  <c r="F32" i="76"/>
  <c r="H20" i="128"/>
  <c r="H20" i="135" s="1"/>
  <c r="H32" i="76"/>
  <c r="F21" i="128"/>
  <c r="F21" i="135" s="1"/>
  <c r="F33" i="76"/>
  <c r="H21" i="128"/>
  <c r="H21" i="135" s="1"/>
  <c r="H33" i="76"/>
  <c r="F22" i="128"/>
  <c r="F22" i="135" s="1"/>
  <c r="F34" i="76"/>
  <c r="H22" i="128"/>
  <c r="H22" i="135" s="1"/>
  <c r="H34" i="76"/>
  <c r="F23" i="128"/>
  <c r="F23" i="135" s="1"/>
  <c r="F35" i="76"/>
  <c r="H23" i="128"/>
  <c r="H23" i="135" s="1"/>
  <c r="H35" i="76"/>
  <c r="B5" i="130"/>
  <c r="B5" i="136" s="1"/>
  <c r="B17" i="78"/>
  <c r="D5" i="130"/>
  <c r="D5" i="136" s="1"/>
  <c r="D17" i="78"/>
  <c r="B6" i="130"/>
  <c r="B6" i="136" s="1"/>
  <c r="B18" i="78"/>
  <c r="D6" i="130"/>
  <c r="D6" i="136" s="1"/>
  <c r="D18" i="78"/>
  <c r="B7" i="130"/>
  <c r="B7" i="136" s="1"/>
  <c r="B19" i="78"/>
  <c r="D7" i="130"/>
  <c r="D7" i="136" s="1"/>
  <c r="D19" i="78"/>
  <c r="B8" i="130"/>
  <c r="B8" i="136" s="1"/>
  <c r="B20" i="78"/>
  <c r="D8" i="130"/>
  <c r="D8" i="136" s="1"/>
  <c r="D20" i="78"/>
  <c r="B9" i="130"/>
  <c r="B9" i="136" s="1"/>
  <c r="B21" i="78"/>
  <c r="D9" i="130"/>
  <c r="D9" i="136" s="1"/>
  <c r="D21" i="78"/>
  <c r="B10" i="130"/>
  <c r="B10" i="136" s="1"/>
  <c r="B22" i="78"/>
  <c r="D10" i="130"/>
  <c r="D10" i="136" s="1"/>
  <c r="D22" i="78"/>
  <c r="B11" i="130"/>
  <c r="B11" i="136" s="1"/>
  <c r="B23" i="78"/>
  <c r="D11" i="130"/>
  <c r="D11" i="136" s="1"/>
  <c r="D23" i="78"/>
  <c r="B12" i="130"/>
  <c r="B12" i="136" s="1"/>
  <c r="B24" i="78"/>
  <c r="D12" i="130"/>
  <c r="D12" i="136" s="1"/>
  <c r="D24" i="78"/>
  <c r="B13" i="130"/>
  <c r="B13" i="136" s="1"/>
  <c r="B25" i="78"/>
  <c r="D13" i="130"/>
  <c r="D13" i="136" s="1"/>
  <c r="D25" i="78"/>
  <c r="B14" i="130"/>
  <c r="B14" i="136" s="1"/>
  <c r="B26" i="78"/>
  <c r="D14" i="130"/>
  <c r="D14" i="136" s="1"/>
  <c r="D26" i="78"/>
  <c r="B15" i="130"/>
  <c r="B15" i="136" s="1"/>
  <c r="B27" i="78"/>
  <c r="D15" i="130"/>
  <c r="D15" i="136" s="1"/>
  <c r="D27" i="78"/>
  <c r="B16" i="130"/>
  <c r="B16" i="136" s="1"/>
  <c r="B28" i="78"/>
  <c r="D16" i="130"/>
  <c r="D16" i="136" s="1"/>
  <c r="D28" i="78"/>
  <c r="B17" i="130"/>
  <c r="B17" i="136" s="1"/>
  <c r="B29" i="78"/>
  <c r="D17" i="130"/>
  <c r="D17" i="136" s="1"/>
  <c r="D29" i="78"/>
  <c r="B18" i="130"/>
  <c r="B18" i="136" s="1"/>
  <c r="B30" i="78"/>
  <c r="D18" i="130"/>
  <c r="D18" i="136" s="1"/>
  <c r="D30" i="78"/>
  <c r="B19" i="130"/>
  <c r="B19" i="136" s="1"/>
  <c r="B31" i="78"/>
  <c r="D19" i="130"/>
  <c r="D19" i="136" s="1"/>
  <c r="D31" i="78"/>
  <c r="B20" i="130"/>
  <c r="B20" i="136" s="1"/>
  <c r="B32" i="78"/>
  <c r="D20" i="130"/>
  <c r="D20" i="136" s="1"/>
  <c r="D32" i="78"/>
  <c r="B21" i="130"/>
  <c r="B21" i="136" s="1"/>
  <c r="B33" i="78"/>
  <c r="D21" i="130"/>
  <c r="D21" i="136" s="1"/>
  <c r="D33" i="78"/>
  <c r="B22" i="130"/>
  <c r="B22" i="136" s="1"/>
  <c r="B34" i="78"/>
  <c r="D22" i="130"/>
  <c r="D22" i="136" s="1"/>
  <c r="D34" i="78"/>
  <c r="B23" i="130"/>
  <c r="B23" i="136" s="1"/>
  <c r="B35" i="78"/>
  <c r="D23" i="130"/>
  <c r="D23" i="136" s="1"/>
  <c r="D35" i="78"/>
  <c r="F5" i="130"/>
  <c r="F5" i="136" s="1"/>
  <c r="F17" i="78"/>
  <c r="H5" i="130"/>
  <c r="H5" i="136" s="1"/>
  <c r="H17" i="78"/>
  <c r="F6" i="130"/>
  <c r="F6" i="136" s="1"/>
  <c r="F18" i="78"/>
  <c r="H6" i="130"/>
  <c r="H6" i="136" s="1"/>
  <c r="H18" i="78"/>
  <c r="F7" i="130"/>
  <c r="F7" i="136" s="1"/>
  <c r="F19" i="78"/>
  <c r="H7" i="130"/>
  <c r="H7" i="136" s="1"/>
  <c r="H19" i="78"/>
  <c r="F8" i="130"/>
  <c r="F8" i="136" s="1"/>
  <c r="F20" i="78"/>
  <c r="H8" i="130"/>
  <c r="H8" i="136" s="1"/>
  <c r="H20" i="78"/>
  <c r="F9" i="130"/>
  <c r="F9" i="136" s="1"/>
  <c r="F21" i="78"/>
  <c r="H9" i="130"/>
  <c r="H9" i="136" s="1"/>
  <c r="H21" i="78"/>
  <c r="F10" i="130"/>
  <c r="F10" i="136" s="1"/>
  <c r="F22" i="78"/>
  <c r="H10" i="130"/>
  <c r="H10" i="136" s="1"/>
  <c r="H22" i="78"/>
  <c r="F11" i="130"/>
  <c r="F11" i="136" s="1"/>
  <c r="F23" i="78"/>
  <c r="H11" i="130"/>
  <c r="H11" i="136" s="1"/>
  <c r="H23" i="78"/>
  <c r="F12" i="130"/>
  <c r="F12" i="136" s="1"/>
  <c r="F24" i="78"/>
  <c r="H12" i="130"/>
  <c r="H12" i="136" s="1"/>
  <c r="H24" i="78"/>
  <c r="F13" i="130"/>
  <c r="F13" i="136" s="1"/>
  <c r="F25" i="78"/>
  <c r="H13" i="130"/>
  <c r="H13" i="136" s="1"/>
  <c r="H25" i="78"/>
  <c r="F14" i="130"/>
  <c r="F14" i="136" s="1"/>
  <c r="F26" i="78"/>
  <c r="H14" i="130"/>
  <c r="H14" i="136" s="1"/>
  <c r="H26" i="78"/>
  <c r="F15" i="130"/>
  <c r="F15" i="136" s="1"/>
  <c r="F27" i="78"/>
  <c r="H15" i="130"/>
  <c r="H15" i="136" s="1"/>
  <c r="H27" i="78"/>
  <c r="F16" i="130"/>
  <c r="F16" i="136" s="1"/>
  <c r="F28" i="78"/>
  <c r="H16" i="130"/>
  <c r="H16" i="136" s="1"/>
  <c r="H28" i="78"/>
  <c r="F17" i="130"/>
  <c r="F17" i="136" s="1"/>
  <c r="F29" i="78"/>
  <c r="H17" i="130"/>
  <c r="H17" i="136" s="1"/>
  <c r="H29" i="78"/>
  <c r="F18" i="130"/>
  <c r="F18" i="136" s="1"/>
  <c r="F30" i="78"/>
  <c r="H18" i="130"/>
  <c r="H18" i="136" s="1"/>
  <c r="H30" i="78"/>
  <c r="F19" i="130"/>
  <c r="F19" i="136" s="1"/>
  <c r="F31" i="78"/>
  <c r="H19" i="130"/>
  <c r="H19" i="136" s="1"/>
  <c r="H31" i="78"/>
  <c r="F20" i="130"/>
  <c r="F20" i="136" s="1"/>
  <c r="F32" i="78"/>
  <c r="H20" i="130"/>
  <c r="H20" i="136" s="1"/>
  <c r="H32" i="78"/>
  <c r="F21" i="130"/>
  <c r="F21" i="136" s="1"/>
  <c r="F33" i="78"/>
  <c r="H21" i="130"/>
  <c r="H21" i="136" s="1"/>
  <c r="H33" i="78"/>
  <c r="F22" i="130"/>
  <c r="F22" i="136" s="1"/>
  <c r="F34" i="78"/>
  <c r="H22" i="130"/>
  <c r="H22" i="136" s="1"/>
  <c r="H34" i="78"/>
  <c r="F23" i="130"/>
  <c r="F23" i="136" s="1"/>
  <c r="F35" i="78"/>
  <c r="H23" i="130"/>
  <c r="H23" i="136" s="1"/>
  <c r="H35" i="78"/>
  <c r="B40" i="119"/>
  <c r="B41"/>
  <c r="D41"/>
  <c r="D40"/>
  <c r="F41"/>
  <c r="F40"/>
  <c r="H41"/>
  <c r="H40"/>
  <c r="G40" i="117"/>
  <c r="K40"/>
  <c r="F38"/>
  <c r="H40"/>
  <c r="F40" i="120"/>
  <c r="C38"/>
  <c r="E41"/>
  <c r="G40"/>
  <c r="I41"/>
  <c r="C38" i="119"/>
  <c r="B39"/>
  <c r="D39"/>
  <c r="F38"/>
  <c r="H38"/>
  <c r="F39"/>
  <c r="H39"/>
  <c r="J39"/>
  <c r="L39"/>
  <c r="J40"/>
  <c r="L40"/>
  <c r="K40" i="121"/>
  <c r="E37" i="88"/>
  <c r="K39"/>
  <c r="G5" i="126"/>
  <c r="G5" i="132" s="1"/>
  <c r="G17" i="75"/>
  <c r="G6" i="126"/>
  <c r="G6" i="132" s="1"/>
  <c r="G18" i="75"/>
  <c r="G7" i="126"/>
  <c r="G7" i="132" s="1"/>
  <c r="G19" i="75"/>
  <c r="G8" i="126"/>
  <c r="G8" i="132" s="1"/>
  <c r="G20" i="75"/>
  <c r="G9" i="126"/>
  <c r="G9" i="132" s="1"/>
  <c r="G21" i="75"/>
  <c r="G10" i="126"/>
  <c r="G10" i="132" s="1"/>
  <c r="G22" i="75"/>
  <c r="I10" i="126"/>
  <c r="I10" i="132" s="1"/>
  <c r="I22" i="75"/>
  <c r="G11" i="126"/>
  <c r="G11" i="132" s="1"/>
  <c r="G23" i="75"/>
  <c r="I11" i="126"/>
  <c r="I11" i="132" s="1"/>
  <c r="I23" i="75"/>
  <c r="G12" i="126"/>
  <c r="G12" i="132" s="1"/>
  <c r="G24" i="75"/>
  <c r="I12" i="126"/>
  <c r="I12" i="132" s="1"/>
  <c r="I24" i="75"/>
  <c r="G13" i="126"/>
  <c r="G13" i="132" s="1"/>
  <c r="G25" i="75"/>
  <c r="I13" i="126"/>
  <c r="I13" i="132" s="1"/>
  <c r="I25" i="75"/>
  <c r="G14" i="126"/>
  <c r="G14" i="132" s="1"/>
  <c r="G26" i="75"/>
  <c r="I14" i="126"/>
  <c r="I14" i="132" s="1"/>
  <c r="I26" i="75"/>
  <c r="G15" i="126"/>
  <c r="G15" i="132" s="1"/>
  <c r="G27" i="75"/>
  <c r="I15" i="126"/>
  <c r="I15" i="132" s="1"/>
  <c r="I27" i="75"/>
  <c r="G16" i="126"/>
  <c r="G16" i="132" s="1"/>
  <c r="G28" i="75"/>
  <c r="I16" i="126"/>
  <c r="I16" i="132" s="1"/>
  <c r="I28" i="75"/>
  <c r="G17" i="126"/>
  <c r="G17" i="132" s="1"/>
  <c r="G29" i="75"/>
  <c r="I17" i="126"/>
  <c r="I17" i="132" s="1"/>
  <c r="I29" i="75"/>
  <c r="G18" i="126"/>
  <c r="G18" i="132" s="1"/>
  <c r="G30" i="75"/>
  <c r="I18" i="126"/>
  <c r="I18" i="132" s="1"/>
  <c r="I30" i="75"/>
  <c r="G19" i="126"/>
  <c r="G19" i="132" s="1"/>
  <c r="G31" i="75"/>
  <c r="I19" i="126"/>
  <c r="I19" i="132" s="1"/>
  <c r="I31" i="75"/>
  <c r="G20" i="126"/>
  <c r="G20" i="132" s="1"/>
  <c r="G32" i="75"/>
  <c r="I20" i="126"/>
  <c r="I20" i="132" s="1"/>
  <c r="I32" i="75"/>
  <c r="G21" i="126"/>
  <c r="G21" i="132" s="1"/>
  <c r="G33" i="75"/>
  <c r="I21" i="126"/>
  <c r="I21" i="132" s="1"/>
  <c r="I33" i="75"/>
  <c r="G22" i="126"/>
  <c r="G22" i="132" s="1"/>
  <c r="G34" i="75"/>
  <c r="I22" i="126"/>
  <c r="I22" i="132" s="1"/>
  <c r="I34" i="75"/>
  <c r="G23" i="126"/>
  <c r="G23" i="132" s="1"/>
  <c r="G35" i="75"/>
  <c r="I23" i="126"/>
  <c r="I23" i="132" s="1"/>
  <c r="I35" i="75"/>
  <c r="K5" i="126"/>
  <c r="K5" i="132" s="1"/>
  <c r="K17" i="75"/>
  <c r="M5" i="126"/>
  <c r="M5" i="132" s="1"/>
  <c r="M17" i="75"/>
  <c r="K6" i="126"/>
  <c r="K6" i="132" s="1"/>
  <c r="K18" i="75"/>
  <c r="M6" i="126"/>
  <c r="M6" i="132" s="1"/>
  <c r="M18" i="75"/>
  <c r="K7" i="126"/>
  <c r="K7" i="132" s="1"/>
  <c r="K19" i="75"/>
  <c r="M7" i="126"/>
  <c r="M7" i="132" s="1"/>
  <c r="M19" i="75"/>
  <c r="K8" i="126"/>
  <c r="K8" i="132" s="1"/>
  <c r="K20" i="75"/>
  <c r="M8" i="126"/>
  <c r="M8" i="132" s="1"/>
  <c r="M20" i="75"/>
  <c r="K9" i="126"/>
  <c r="K9" i="132" s="1"/>
  <c r="K21" i="75"/>
  <c r="M9" i="126"/>
  <c r="M9" i="132" s="1"/>
  <c r="M21" i="75"/>
  <c r="K10" i="126"/>
  <c r="K10" i="132" s="1"/>
  <c r="K22" i="75"/>
  <c r="M10" i="126"/>
  <c r="M10" i="132" s="1"/>
  <c r="M22" i="75"/>
  <c r="K11" i="126"/>
  <c r="K11" i="132" s="1"/>
  <c r="K23" i="75"/>
  <c r="M11" i="126"/>
  <c r="M11" i="132" s="1"/>
  <c r="M23" i="75"/>
  <c r="K12" i="126"/>
  <c r="K12" i="132" s="1"/>
  <c r="K24" i="75"/>
  <c r="M12" i="126"/>
  <c r="M12" i="132" s="1"/>
  <c r="M24" i="75"/>
  <c r="K13" i="126"/>
  <c r="K13" i="132" s="1"/>
  <c r="K25" i="75"/>
  <c r="M13" i="126"/>
  <c r="M13" i="132" s="1"/>
  <c r="M25" i="75"/>
  <c r="K14" i="126"/>
  <c r="K14" i="132" s="1"/>
  <c r="K26" i="75"/>
  <c r="M14" i="126"/>
  <c r="M14" i="132" s="1"/>
  <c r="M26" i="75"/>
  <c r="K15" i="126"/>
  <c r="K15" i="132" s="1"/>
  <c r="K27" i="75"/>
  <c r="M15" i="126"/>
  <c r="M15" i="132" s="1"/>
  <c r="M27" i="75"/>
  <c r="K16" i="126"/>
  <c r="K16" i="132" s="1"/>
  <c r="K28" i="75"/>
  <c r="M16" i="126"/>
  <c r="M16" i="132" s="1"/>
  <c r="M28" i="75"/>
  <c r="K17" i="126"/>
  <c r="K17" i="132" s="1"/>
  <c r="K29" i="75"/>
  <c r="M17" i="126"/>
  <c r="M17" i="132" s="1"/>
  <c r="M29" i="75"/>
  <c r="K18" i="126"/>
  <c r="K18" i="132" s="1"/>
  <c r="K30" i="75"/>
  <c r="M18" i="126"/>
  <c r="M18" i="132" s="1"/>
  <c r="M30" i="75"/>
  <c r="K19" i="126"/>
  <c r="K19" i="132" s="1"/>
  <c r="K31" i="75"/>
  <c r="M19" i="126"/>
  <c r="M19" i="132" s="1"/>
  <c r="M31" i="75"/>
  <c r="K20" i="126"/>
  <c r="K20" i="132" s="1"/>
  <c r="K32" i="75"/>
  <c r="M20" i="126"/>
  <c r="M20" i="132" s="1"/>
  <c r="M32" i="75"/>
  <c r="K21" i="126"/>
  <c r="K21" i="132" s="1"/>
  <c r="K33" i="75"/>
  <c r="M21" i="126"/>
  <c r="M21" i="132" s="1"/>
  <c r="M33" i="75"/>
  <c r="K22" i="126"/>
  <c r="K22" i="132" s="1"/>
  <c r="K34" i="75"/>
  <c r="M22" i="126"/>
  <c r="M22" i="132" s="1"/>
  <c r="M34" i="75"/>
  <c r="K23" i="126"/>
  <c r="K23" i="132" s="1"/>
  <c r="K35" i="75"/>
  <c r="M23" i="126"/>
  <c r="M23" i="132" s="1"/>
  <c r="M35" i="75"/>
  <c r="C5" i="128"/>
  <c r="C5" i="135" s="1"/>
  <c r="C17" i="76"/>
  <c r="E5" i="128"/>
  <c r="E5" i="135" s="1"/>
  <c r="E17" i="76"/>
  <c r="C6" i="128"/>
  <c r="C6" i="135" s="1"/>
  <c r="C18" i="76"/>
  <c r="E6" i="128"/>
  <c r="E6" i="135" s="1"/>
  <c r="E18" i="76"/>
  <c r="C7" i="128"/>
  <c r="C7" i="135" s="1"/>
  <c r="C19" i="76"/>
  <c r="E7" i="128"/>
  <c r="E7" i="135" s="1"/>
  <c r="E19" i="76"/>
  <c r="C8" i="128"/>
  <c r="C8" i="135" s="1"/>
  <c r="C20" i="76"/>
  <c r="E8" i="128"/>
  <c r="E8" i="135" s="1"/>
  <c r="E20" i="76"/>
  <c r="C9" i="128"/>
  <c r="C9" i="135" s="1"/>
  <c r="C21" i="76"/>
  <c r="E9" i="128"/>
  <c r="E9" i="135" s="1"/>
  <c r="E21" i="76"/>
  <c r="C10" i="128"/>
  <c r="C10" i="135" s="1"/>
  <c r="C22" i="76"/>
  <c r="E10" i="128"/>
  <c r="E10" i="135" s="1"/>
  <c r="E22" i="76"/>
  <c r="C11" i="128"/>
  <c r="C11" i="135" s="1"/>
  <c r="C23" i="76"/>
  <c r="E11" i="128"/>
  <c r="E11" i="135" s="1"/>
  <c r="E23" i="76"/>
  <c r="C12" i="128"/>
  <c r="C12" i="135" s="1"/>
  <c r="C24" i="76"/>
  <c r="E12" i="128"/>
  <c r="E12" i="135" s="1"/>
  <c r="E24" i="76"/>
  <c r="C13" i="128"/>
  <c r="C13" i="135" s="1"/>
  <c r="C25" i="76"/>
  <c r="E13" i="128"/>
  <c r="E13" i="135" s="1"/>
  <c r="E25" i="76"/>
  <c r="C14" i="128"/>
  <c r="C14" i="135" s="1"/>
  <c r="C26" i="76"/>
  <c r="E14" i="128"/>
  <c r="E14" i="135" s="1"/>
  <c r="E26" i="76"/>
  <c r="C15" i="128"/>
  <c r="C15" i="135" s="1"/>
  <c r="C27" i="76"/>
  <c r="E15" i="128"/>
  <c r="E15" i="135" s="1"/>
  <c r="E27" i="76"/>
  <c r="C16" i="128"/>
  <c r="C16" i="135" s="1"/>
  <c r="C28" i="76"/>
  <c r="E16" i="128"/>
  <c r="E16" i="135" s="1"/>
  <c r="E28" i="76"/>
  <c r="C17" i="128"/>
  <c r="C17" i="135" s="1"/>
  <c r="C29" i="76"/>
  <c r="E17" i="128"/>
  <c r="E17" i="135" s="1"/>
  <c r="E29" i="76"/>
  <c r="C18" i="128"/>
  <c r="C18" i="135" s="1"/>
  <c r="C30" i="76"/>
  <c r="E18" i="128"/>
  <c r="E18" i="135" s="1"/>
  <c r="E30" i="76"/>
  <c r="C19" i="128"/>
  <c r="C19" i="135" s="1"/>
  <c r="C31" i="76"/>
  <c r="E19" i="128"/>
  <c r="E19" i="135" s="1"/>
  <c r="E31" i="76"/>
  <c r="C20" i="128"/>
  <c r="C20" i="135" s="1"/>
  <c r="C32" i="76"/>
  <c r="E20" i="128"/>
  <c r="E20" i="135" s="1"/>
  <c r="E32" i="76"/>
  <c r="C21" i="128"/>
  <c r="C21" i="135" s="1"/>
  <c r="C33" i="76"/>
  <c r="E21" i="128"/>
  <c r="E21" i="135" s="1"/>
  <c r="E33" i="76"/>
  <c r="C22" i="128"/>
  <c r="C22" i="135" s="1"/>
  <c r="C34" i="76"/>
  <c r="E22" i="128"/>
  <c r="E22" i="135" s="1"/>
  <c r="E34" i="76"/>
  <c r="C23" i="128"/>
  <c r="C23" i="135" s="1"/>
  <c r="C35" i="76"/>
  <c r="E23" i="128"/>
  <c r="E23" i="135" s="1"/>
  <c r="E35" i="76"/>
  <c r="G5" i="128"/>
  <c r="G5" i="135" s="1"/>
  <c r="G17" i="76"/>
  <c r="I5" i="128"/>
  <c r="I5" i="135" s="1"/>
  <c r="I17" i="76"/>
  <c r="G6" i="128"/>
  <c r="G6" i="135" s="1"/>
  <c r="G18" i="76"/>
  <c r="I6" i="128"/>
  <c r="I6" i="135" s="1"/>
  <c r="I18" i="76"/>
  <c r="G7" i="128"/>
  <c r="G7" i="135" s="1"/>
  <c r="G19" i="76"/>
  <c r="I7" i="128"/>
  <c r="I7" i="135" s="1"/>
  <c r="I19" i="76"/>
  <c r="G8" i="128"/>
  <c r="G8" i="135" s="1"/>
  <c r="G20" i="76"/>
  <c r="I8" i="128"/>
  <c r="I8" i="135" s="1"/>
  <c r="I20" i="76"/>
  <c r="G9" i="128"/>
  <c r="G9" i="135" s="1"/>
  <c r="G21" i="76"/>
  <c r="I9" i="128"/>
  <c r="I9" i="135" s="1"/>
  <c r="I21" i="76"/>
  <c r="G10" i="128"/>
  <c r="G10" i="135" s="1"/>
  <c r="G22" i="76"/>
  <c r="I10" i="128"/>
  <c r="I10" i="135" s="1"/>
  <c r="I22" i="76"/>
  <c r="G11" i="128"/>
  <c r="G11" i="135" s="1"/>
  <c r="G23" i="76"/>
  <c r="I11" i="128"/>
  <c r="I11" i="135" s="1"/>
  <c r="I23" i="76"/>
  <c r="G12" i="128"/>
  <c r="G12" i="135" s="1"/>
  <c r="G24" i="76"/>
  <c r="I12" i="128"/>
  <c r="I12" i="135" s="1"/>
  <c r="I24" i="76"/>
  <c r="G13" i="128"/>
  <c r="G13" i="135" s="1"/>
  <c r="G25" i="76"/>
  <c r="I13" i="128"/>
  <c r="I13" i="135" s="1"/>
  <c r="I25" i="76"/>
  <c r="G14" i="128"/>
  <c r="G14" i="135" s="1"/>
  <c r="G26" i="76"/>
  <c r="I14" i="128"/>
  <c r="I14" i="135" s="1"/>
  <c r="I26" i="76"/>
  <c r="G15" i="128"/>
  <c r="G15" i="135" s="1"/>
  <c r="G27" i="76"/>
  <c r="I15" i="128"/>
  <c r="I15" i="135" s="1"/>
  <c r="I27" i="76"/>
  <c r="G16" i="128"/>
  <c r="G16" i="135" s="1"/>
  <c r="G28" i="76"/>
  <c r="I16" i="128"/>
  <c r="I16" i="135" s="1"/>
  <c r="I28" i="76"/>
  <c r="G17" i="128"/>
  <c r="G17" i="135" s="1"/>
  <c r="G29" i="76"/>
  <c r="I17" i="128"/>
  <c r="I17" i="135" s="1"/>
  <c r="I29" i="76"/>
  <c r="G18" i="128"/>
  <c r="G18" i="135" s="1"/>
  <c r="G30" i="76"/>
  <c r="I18" i="128"/>
  <c r="I18" i="135" s="1"/>
  <c r="I30" i="76"/>
  <c r="G19" i="128"/>
  <c r="G19" i="135" s="1"/>
  <c r="G31" i="76"/>
  <c r="I19" i="128"/>
  <c r="I19" i="135" s="1"/>
  <c r="I31" i="76"/>
  <c r="G20" i="128"/>
  <c r="G20" i="135" s="1"/>
  <c r="G32" i="76"/>
  <c r="I20" i="128"/>
  <c r="I20" i="135" s="1"/>
  <c r="I32" i="76"/>
  <c r="G21" i="128"/>
  <c r="G21" i="135" s="1"/>
  <c r="G33" i="76"/>
  <c r="I21" i="128"/>
  <c r="I21" i="135" s="1"/>
  <c r="I33" i="76"/>
  <c r="G22" i="128"/>
  <c r="G22" i="135" s="1"/>
  <c r="G34" i="76"/>
  <c r="I22" i="128"/>
  <c r="I22" i="135" s="1"/>
  <c r="I34" i="76"/>
  <c r="G23" i="128"/>
  <c r="G23" i="135" s="1"/>
  <c r="G35" i="76"/>
  <c r="I23" i="128"/>
  <c r="I23" i="135" s="1"/>
  <c r="I35" i="76"/>
  <c r="C5" i="130"/>
  <c r="C5" i="136" s="1"/>
  <c r="C17" i="78"/>
  <c r="E5" i="130"/>
  <c r="E5" i="136" s="1"/>
  <c r="E17" i="78"/>
  <c r="C6" i="130"/>
  <c r="C6" i="136" s="1"/>
  <c r="C18" i="78"/>
  <c r="E6" i="130"/>
  <c r="E6" i="136" s="1"/>
  <c r="E18" i="78"/>
  <c r="C7" i="130"/>
  <c r="C7" i="136" s="1"/>
  <c r="C19" i="78"/>
  <c r="E7" i="130"/>
  <c r="E7" i="136" s="1"/>
  <c r="E19" i="78"/>
  <c r="C8" i="130"/>
  <c r="C8" i="136" s="1"/>
  <c r="C20" i="78"/>
  <c r="E8" i="130"/>
  <c r="E8" i="136" s="1"/>
  <c r="E20" i="78"/>
  <c r="C9" i="130"/>
  <c r="C9" i="136" s="1"/>
  <c r="C21" i="78"/>
  <c r="E9" i="130"/>
  <c r="E9" i="136" s="1"/>
  <c r="E21" i="78"/>
  <c r="C10" i="130"/>
  <c r="C10" i="136" s="1"/>
  <c r="C22" i="78"/>
  <c r="E10" i="130"/>
  <c r="E10" i="136" s="1"/>
  <c r="E22" i="78"/>
  <c r="C11" i="130"/>
  <c r="C11" i="136" s="1"/>
  <c r="C23" i="78"/>
  <c r="E11" i="130"/>
  <c r="E11" i="136" s="1"/>
  <c r="E23" i="78"/>
  <c r="C12" i="130"/>
  <c r="C12" i="136" s="1"/>
  <c r="C24" i="78"/>
  <c r="E12" i="130"/>
  <c r="E12" i="136" s="1"/>
  <c r="E24" i="78"/>
  <c r="C13" i="130"/>
  <c r="C13" i="136" s="1"/>
  <c r="C25" i="78"/>
  <c r="E13" i="130"/>
  <c r="E13" i="136" s="1"/>
  <c r="E25" i="78"/>
  <c r="C14" i="130"/>
  <c r="C14" i="136" s="1"/>
  <c r="C26" i="78"/>
  <c r="E14" i="130"/>
  <c r="E14" i="136" s="1"/>
  <c r="E26" i="78"/>
  <c r="C15" i="130"/>
  <c r="C15" i="136" s="1"/>
  <c r="C27" i="78"/>
  <c r="E15" i="130"/>
  <c r="E15" i="136" s="1"/>
  <c r="E27" i="78"/>
  <c r="C16" i="130"/>
  <c r="C16" i="136" s="1"/>
  <c r="C28" i="78"/>
  <c r="E16" i="130"/>
  <c r="E16" i="136" s="1"/>
  <c r="E28" i="78"/>
  <c r="C17" i="130"/>
  <c r="C17" i="136" s="1"/>
  <c r="C29" i="78"/>
  <c r="E17" i="130"/>
  <c r="E17" i="136" s="1"/>
  <c r="E29" i="78"/>
  <c r="C18" i="130"/>
  <c r="C18" i="136" s="1"/>
  <c r="C30" i="78"/>
  <c r="E18" i="130"/>
  <c r="E18" i="136" s="1"/>
  <c r="E30" i="78"/>
  <c r="C19" i="130"/>
  <c r="C19" i="136" s="1"/>
  <c r="C31" i="78"/>
  <c r="E19" i="130"/>
  <c r="E19" i="136" s="1"/>
  <c r="E31" i="78"/>
  <c r="C20" i="130"/>
  <c r="C20" i="136" s="1"/>
  <c r="C32" i="78"/>
  <c r="E20" i="130"/>
  <c r="E20" i="136" s="1"/>
  <c r="E32" i="78"/>
  <c r="C21" i="130"/>
  <c r="C21" i="136" s="1"/>
  <c r="C33" i="78"/>
  <c r="E21" i="130"/>
  <c r="E21" i="136" s="1"/>
  <c r="E33" i="78"/>
  <c r="C22" i="130"/>
  <c r="C22" i="136" s="1"/>
  <c r="C34" i="78"/>
  <c r="E22" i="130"/>
  <c r="E22" i="136" s="1"/>
  <c r="E34" i="78"/>
  <c r="C23" i="130"/>
  <c r="C23" i="136" s="1"/>
  <c r="C35" i="78"/>
  <c r="E23" i="130"/>
  <c r="E23" i="136" s="1"/>
  <c r="E35" i="78"/>
  <c r="G5" i="130"/>
  <c r="G5" i="136" s="1"/>
  <c r="G17" i="78"/>
  <c r="I5" i="130"/>
  <c r="I5" i="136" s="1"/>
  <c r="I17" i="78"/>
  <c r="G6" i="130"/>
  <c r="G6" i="136" s="1"/>
  <c r="G18" i="78"/>
  <c r="I6" i="130"/>
  <c r="I6" i="136" s="1"/>
  <c r="I18" i="78"/>
  <c r="G7" i="130"/>
  <c r="G7" i="136" s="1"/>
  <c r="G19" i="78"/>
  <c r="I7" i="130"/>
  <c r="I7" i="136" s="1"/>
  <c r="I19" i="78"/>
  <c r="G8" i="130"/>
  <c r="G8" i="136" s="1"/>
  <c r="G20" i="78"/>
  <c r="I8" i="130"/>
  <c r="I8" i="136" s="1"/>
  <c r="I20" i="78"/>
  <c r="G9" i="130"/>
  <c r="G9" i="136" s="1"/>
  <c r="G21" i="78"/>
  <c r="I9" i="130"/>
  <c r="I9" i="136" s="1"/>
  <c r="I21" i="78"/>
  <c r="G10" i="130"/>
  <c r="G10" i="136" s="1"/>
  <c r="G22" i="78"/>
  <c r="I10" i="130"/>
  <c r="I10" i="136" s="1"/>
  <c r="I22" i="78"/>
  <c r="G11" i="130"/>
  <c r="G11" i="136" s="1"/>
  <c r="G23" i="78"/>
  <c r="I11" i="130"/>
  <c r="I11" i="136" s="1"/>
  <c r="I23" i="78"/>
  <c r="G12" i="130"/>
  <c r="G12" i="136" s="1"/>
  <c r="G24" i="78"/>
  <c r="I12" i="130"/>
  <c r="I12" i="136" s="1"/>
  <c r="I24" i="78"/>
  <c r="G13" i="130"/>
  <c r="G13" i="136" s="1"/>
  <c r="G25" i="78"/>
  <c r="I13" i="130"/>
  <c r="I13" i="136" s="1"/>
  <c r="I25" i="78"/>
  <c r="G14" i="130"/>
  <c r="G14" i="136" s="1"/>
  <c r="G26" i="78"/>
  <c r="I14" i="130"/>
  <c r="I14" i="136" s="1"/>
  <c r="I26" i="78"/>
  <c r="G15" i="130"/>
  <c r="G15" i="136" s="1"/>
  <c r="G27" i="78"/>
  <c r="I15" i="130"/>
  <c r="I15" i="136" s="1"/>
  <c r="I27" i="78"/>
  <c r="G16" i="130"/>
  <c r="G16" i="136" s="1"/>
  <c r="G28" i="78"/>
  <c r="I16" i="130"/>
  <c r="I16" i="136" s="1"/>
  <c r="I28" i="78"/>
  <c r="G17" i="130"/>
  <c r="G17" i="136" s="1"/>
  <c r="G29" i="78"/>
  <c r="I17" i="130"/>
  <c r="I17" i="136" s="1"/>
  <c r="I29" i="78"/>
  <c r="G18" i="130"/>
  <c r="G18" i="136" s="1"/>
  <c r="G30" i="78"/>
  <c r="I18" i="130"/>
  <c r="I18" i="136" s="1"/>
  <c r="I30" i="78"/>
  <c r="G19" i="130"/>
  <c r="G19" i="136" s="1"/>
  <c r="G31" i="78"/>
  <c r="I19" i="130"/>
  <c r="I19" i="136" s="1"/>
  <c r="I31" i="78"/>
  <c r="G20" i="130"/>
  <c r="G20" i="136" s="1"/>
  <c r="G32" i="78"/>
  <c r="I20" i="130"/>
  <c r="I20" i="136" s="1"/>
  <c r="I32" i="78"/>
  <c r="G21" i="130"/>
  <c r="G21" i="136" s="1"/>
  <c r="G33" i="78"/>
  <c r="I21" i="130"/>
  <c r="I21" i="136" s="1"/>
  <c r="I33" i="78"/>
  <c r="G22" i="130"/>
  <c r="G22" i="136" s="1"/>
  <c r="G34" i="78"/>
  <c r="I22" i="130"/>
  <c r="I22" i="136" s="1"/>
  <c r="I34" i="78"/>
  <c r="G23" i="130"/>
  <c r="G23" i="136" s="1"/>
  <c r="G35" i="78"/>
  <c r="I23" i="130"/>
  <c r="I23" i="136" s="1"/>
  <c r="I35" i="78"/>
  <c r="C41" i="119"/>
  <c r="C40"/>
  <c r="G41"/>
  <c r="G40"/>
  <c r="H40" i="118"/>
  <c r="D40" i="120"/>
  <c r="H38"/>
  <c r="J39"/>
  <c r="B38" i="119"/>
  <c r="D38"/>
  <c r="G38"/>
  <c r="G39"/>
  <c r="K39"/>
  <c r="K40"/>
  <c r="B38" i="121"/>
  <c r="H38" i="88"/>
  <c r="K40" i="141"/>
  <c r="M40"/>
  <c r="D39" i="139"/>
  <c r="B40"/>
  <c r="D40"/>
  <c r="F39"/>
  <c r="H39"/>
  <c r="F40"/>
  <c r="H40"/>
  <c r="J39"/>
  <c r="L39"/>
  <c r="J40"/>
  <c r="L40"/>
  <c r="J40" i="141"/>
  <c r="L40"/>
  <c r="C40"/>
  <c r="E40"/>
  <c r="G40"/>
  <c r="I40"/>
  <c r="B40"/>
  <c r="D40"/>
  <c r="F40"/>
  <c r="H40"/>
  <c r="C40" i="140"/>
  <c r="E40"/>
  <c r="G40"/>
  <c r="I40"/>
  <c r="K40"/>
  <c r="M40"/>
  <c r="B40"/>
  <c r="D40"/>
  <c r="F40"/>
  <c r="H40"/>
  <c r="J40"/>
  <c r="L40"/>
  <c r="B39" i="139"/>
  <c r="B42"/>
  <c r="C41"/>
  <c r="E41"/>
  <c r="G41"/>
  <c r="I41"/>
  <c r="K41"/>
  <c r="M41"/>
  <c r="B41"/>
  <c r="D41"/>
  <c r="F41"/>
  <c r="H41"/>
  <c r="J41"/>
  <c r="L41"/>
  <c r="B38" i="75"/>
  <c r="D38"/>
  <c r="F38"/>
  <c r="H38"/>
  <c r="J38"/>
  <c r="L38"/>
  <c r="B38" i="76"/>
  <c r="D38"/>
  <c r="F38"/>
  <c r="H38"/>
  <c r="E38" i="89"/>
  <c r="C38" i="75"/>
  <c r="E38"/>
  <c r="G38"/>
  <c r="I38"/>
  <c r="K38"/>
  <c r="M38"/>
  <c r="C38" i="76"/>
  <c r="E38"/>
  <c r="G38"/>
  <c r="I38"/>
  <c r="B27" i="123"/>
  <c r="B28"/>
  <c r="D27"/>
  <c r="D28"/>
  <c r="F27"/>
  <c r="F28"/>
  <c r="H27"/>
  <c r="H28"/>
  <c r="J27"/>
  <c r="J28"/>
  <c r="L27"/>
  <c r="L28"/>
  <c r="J5" i="128"/>
  <c r="J5" i="135" s="1"/>
  <c r="L5" i="128"/>
  <c r="L5" i="135" s="1"/>
  <c r="J6" i="128"/>
  <c r="J6" i="135" s="1"/>
  <c r="L6" i="128"/>
  <c r="L6" i="135" s="1"/>
  <c r="J7" i="128"/>
  <c r="J7" i="135" s="1"/>
  <c r="L7" i="128"/>
  <c r="L7" i="135" s="1"/>
  <c r="J8" i="128"/>
  <c r="J8" i="135" s="1"/>
  <c r="L8" i="128"/>
  <c r="L8" i="135" s="1"/>
  <c r="J9" i="128"/>
  <c r="J9" i="135" s="1"/>
  <c r="L9" i="128"/>
  <c r="L9" i="135" s="1"/>
  <c r="J10" i="128"/>
  <c r="J10" i="135" s="1"/>
  <c r="L10" i="128"/>
  <c r="L10" i="135" s="1"/>
  <c r="J11" i="128"/>
  <c r="J11" i="135" s="1"/>
  <c r="L11" i="128"/>
  <c r="L11" i="135" s="1"/>
  <c r="J12" i="128"/>
  <c r="J12" i="135" s="1"/>
  <c r="L12" i="128"/>
  <c r="L12" i="135" s="1"/>
  <c r="J13" i="128"/>
  <c r="L13"/>
  <c r="J14"/>
  <c r="J14" i="135" s="1"/>
  <c r="L14" i="128"/>
  <c r="L14" i="135" s="1"/>
  <c r="J15" i="128"/>
  <c r="J15" i="135" s="1"/>
  <c r="L15" i="128"/>
  <c r="L15" i="135" s="1"/>
  <c r="J16" i="128"/>
  <c r="J16" i="135" s="1"/>
  <c r="L16" i="128"/>
  <c r="L16" i="135" s="1"/>
  <c r="J17" i="128"/>
  <c r="J17" i="135" s="1"/>
  <c r="L17" i="128"/>
  <c r="L17" i="135" s="1"/>
  <c r="J18" i="128"/>
  <c r="J18" i="135" s="1"/>
  <c r="L18" i="128"/>
  <c r="L18" i="135" s="1"/>
  <c r="J19" i="128"/>
  <c r="J19" i="135" s="1"/>
  <c r="L19" i="128"/>
  <c r="L19" i="135" s="1"/>
  <c r="J20" i="128"/>
  <c r="J20" i="135" s="1"/>
  <c r="L20" i="128"/>
  <c r="L20" i="135" s="1"/>
  <c r="J21" i="128"/>
  <c r="J21" i="135" s="1"/>
  <c r="L21" i="128"/>
  <c r="L21" i="135" s="1"/>
  <c r="J22" i="128"/>
  <c r="J22" i="135" s="1"/>
  <c r="L22" i="128"/>
  <c r="L22" i="135" s="1"/>
  <c r="J23" i="128"/>
  <c r="J23" i="135" s="1"/>
  <c r="L23" i="128"/>
  <c r="L23" i="135" s="1"/>
  <c r="J5" i="130"/>
  <c r="J5" i="136" s="1"/>
  <c r="L5" i="130"/>
  <c r="L5" i="136" s="1"/>
  <c r="J6" i="130"/>
  <c r="J6" i="136" s="1"/>
  <c r="L6" i="130"/>
  <c r="L6" i="136" s="1"/>
  <c r="J7" i="130"/>
  <c r="J7" i="136" s="1"/>
  <c r="L7" i="130"/>
  <c r="L7" i="136" s="1"/>
  <c r="J8" i="130"/>
  <c r="J8" i="136" s="1"/>
  <c r="L8" i="130"/>
  <c r="L8" i="136" s="1"/>
  <c r="J9" i="130"/>
  <c r="J9" i="136" s="1"/>
  <c r="L9" i="130"/>
  <c r="L9" i="136" s="1"/>
  <c r="J10" i="130"/>
  <c r="J10" i="136" s="1"/>
  <c r="L10" i="130"/>
  <c r="L10" i="136" s="1"/>
  <c r="J11" i="130"/>
  <c r="J11" i="136" s="1"/>
  <c r="L11" i="130"/>
  <c r="L11" i="136" s="1"/>
  <c r="J12" i="130"/>
  <c r="J12" i="136" s="1"/>
  <c r="L12" i="130"/>
  <c r="L12" i="136" s="1"/>
  <c r="J13" i="130"/>
  <c r="L13"/>
  <c r="J14"/>
  <c r="J14" i="136" s="1"/>
  <c r="L14" i="130"/>
  <c r="L14" i="136" s="1"/>
  <c r="J15" i="130"/>
  <c r="J15" i="136" s="1"/>
  <c r="L15" i="130"/>
  <c r="L15" i="136" s="1"/>
  <c r="J16" i="130"/>
  <c r="J16" i="136" s="1"/>
  <c r="L16" i="130"/>
  <c r="L16" i="136" s="1"/>
  <c r="J17" i="130"/>
  <c r="J17" i="136" s="1"/>
  <c r="L17" i="130"/>
  <c r="L17" i="136" s="1"/>
  <c r="J18" i="130"/>
  <c r="J18" i="136" s="1"/>
  <c r="L18" i="130"/>
  <c r="L18" i="136" s="1"/>
  <c r="J19" i="130"/>
  <c r="J19" i="136" s="1"/>
  <c r="L19" i="130"/>
  <c r="L19" i="136" s="1"/>
  <c r="J20" i="130"/>
  <c r="J20" i="136" s="1"/>
  <c r="L20" i="130"/>
  <c r="L20" i="136" s="1"/>
  <c r="J21" i="130"/>
  <c r="J21" i="136" s="1"/>
  <c r="L21" i="130"/>
  <c r="L21" i="136" s="1"/>
  <c r="J22" i="130"/>
  <c r="J22" i="136" s="1"/>
  <c r="L22" i="130"/>
  <c r="L22" i="136" s="1"/>
  <c r="J23" i="130"/>
  <c r="J23" i="136" s="1"/>
  <c r="L23" i="130"/>
  <c r="L23" i="136" s="1"/>
  <c r="B26" i="123"/>
  <c r="D26"/>
  <c r="F26"/>
  <c r="H26"/>
  <c r="J26"/>
  <c r="L26"/>
  <c r="B26" i="126"/>
  <c r="D26"/>
  <c r="F26"/>
  <c r="H26"/>
  <c r="J26"/>
  <c r="L26"/>
  <c r="B26" i="128"/>
  <c r="D26"/>
  <c r="F26"/>
  <c r="H26"/>
  <c r="B39" i="76"/>
  <c r="D39"/>
  <c r="F39"/>
  <c r="H39"/>
  <c r="B26" i="130"/>
  <c r="D26"/>
  <c r="D27"/>
  <c r="F26"/>
  <c r="H26"/>
  <c r="B39" i="75"/>
  <c r="D39"/>
  <c r="B41"/>
  <c r="D41"/>
  <c r="G39"/>
  <c r="I39"/>
  <c r="G41"/>
  <c r="I41"/>
  <c r="K39"/>
  <c r="M39"/>
  <c r="K41"/>
  <c r="M41"/>
  <c r="C28" i="123"/>
  <c r="C27"/>
  <c r="E28"/>
  <c r="E27"/>
  <c r="G28"/>
  <c r="G27"/>
  <c r="I28"/>
  <c r="I27"/>
  <c r="K28"/>
  <c r="K27"/>
  <c r="M28"/>
  <c r="M27"/>
  <c r="E5" i="126"/>
  <c r="E5" i="132" s="1"/>
  <c r="E6" i="126"/>
  <c r="E6" i="132" s="1"/>
  <c r="E8" i="126"/>
  <c r="E8" i="132" s="1"/>
  <c r="I5" i="126"/>
  <c r="I5" i="132" s="1"/>
  <c r="I6" i="126"/>
  <c r="I6" i="132" s="1"/>
  <c r="I7" i="126"/>
  <c r="I7" i="132" s="1"/>
  <c r="I8" i="126"/>
  <c r="I8" i="132" s="1"/>
  <c r="I9" i="126"/>
  <c r="I9" i="132" s="1"/>
  <c r="K5" i="128"/>
  <c r="K5" i="135" s="1"/>
  <c r="M5" i="128"/>
  <c r="M5" i="135" s="1"/>
  <c r="K6" i="128"/>
  <c r="K6" i="135" s="1"/>
  <c r="M6" i="128"/>
  <c r="M6" i="135" s="1"/>
  <c r="K7" i="128"/>
  <c r="K7" i="135" s="1"/>
  <c r="M7" i="128"/>
  <c r="M7" i="135" s="1"/>
  <c r="K8" i="128"/>
  <c r="K8" i="135" s="1"/>
  <c r="M8" i="128"/>
  <c r="M8" i="135" s="1"/>
  <c r="K9" i="128"/>
  <c r="K9" i="135" s="1"/>
  <c r="M9" i="128"/>
  <c r="M9" i="135" s="1"/>
  <c r="K10" i="128"/>
  <c r="K10" i="135" s="1"/>
  <c r="M10" i="128"/>
  <c r="M10" i="135" s="1"/>
  <c r="K11" i="128"/>
  <c r="K11" i="135" s="1"/>
  <c r="M11" i="128"/>
  <c r="M11" i="135" s="1"/>
  <c r="K12" i="128"/>
  <c r="K12" i="135" s="1"/>
  <c r="M12" i="128"/>
  <c r="M12" i="135" s="1"/>
  <c r="K13" i="128"/>
  <c r="M13"/>
  <c r="K14"/>
  <c r="K14" i="135" s="1"/>
  <c r="M14" i="128"/>
  <c r="M14" i="135" s="1"/>
  <c r="K15" i="128"/>
  <c r="K15" i="135" s="1"/>
  <c r="M15" i="128"/>
  <c r="M15" i="135" s="1"/>
  <c r="K16" i="128"/>
  <c r="K16" i="135" s="1"/>
  <c r="M16" i="128"/>
  <c r="M16" i="135" s="1"/>
  <c r="K17" i="128"/>
  <c r="K17" i="135" s="1"/>
  <c r="M17" i="128"/>
  <c r="M17" i="135" s="1"/>
  <c r="K18" i="128"/>
  <c r="K18" i="135" s="1"/>
  <c r="M18" i="128"/>
  <c r="M18" i="135" s="1"/>
  <c r="K19" i="128"/>
  <c r="K19" i="135" s="1"/>
  <c r="M19" i="128"/>
  <c r="M19" i="135" s="1"/>
  <c r="K20" i="128"/>
  <c r="K20" i="135" s="1"/>
  <c r="M20" i="128"/>
  <c r="M20" i="135" s="1"/>
  <c r="K21" i="128"/>
  <c r="K21" i="135" s="1"/>
  <c r="M21" i="128"/>
  <c r="M21" i="135" s="1"/>
  <c r="K22" i="128"/>
  <c r="K22" i="135" s="1"/>
  <c r="M22" i="128"/>
  <c r="M22" i="135" s="1"/>
  <c r="K23" i="128"/>
  <c r="K23" i="135" s="1"/>
  <c r="M23" i="128"/>
  <c r="M23" i="135" s="1"/>
  <c r="K5" i="130"/>
  <c r="K5" i="136" s="1"/>
  <c r="M5" i="130"/>
  <c r="M5" i="136" s="1"/>
  <c r="K6" i="130"/>
  <c r="K6" i="136" s="1"/>
  <c r="M6" i="130"/>
  <c r="M6" i="136" s="1"/>
  <c r="K7" i="130"/>
  <c r="K7" i="136" s="1"/>
  <c r="M7" i="130"/>
  <c r="M7" i="136" s="1"/>
  <c r="K8" i="130"/>
  <c r="K8" i="136" s="1"/>
  <c r="M8" i="130"/>
  <c r="M8" i="136" s="1"/>
  <c r="K9" i="130"/>
  <c r="K9" i="136" s="1"/>
  <c r="M9" i="130"/>
  <c r="M9" i="136" s="1"/>
  <c r="K10" i="130"/>
  <c r="K10" i="136" s="1"/>
  <c r="M10" i="130"/>
  <c r="M10" i="136" s="1"/>
  <c r="K11" i="130"/>
  <c r="K11" i="136" s="1"/>
  <c r="M11" i="130"/>
  <c r="M11" i="136" s="1"/>
  <c r="K12" i="130"/>
  <c r="K12" i="136" s="1"/>
  <c r="M12" i="130"/>
  <c r="M12" i="136" s="1"/>
  <c r="K13" i="130"/>
  <c r="M13"/>
  <c r="K14"/>
  <c r="K14" i="136" s="1"/>
  <c r="M14" i="130"/>
  <c r="M14" i="136" s="1"/>
  <c r="K15" i="130"/>
  <c r="K15" i="136" s="1"/>
  <c r="M15" i="130"/>
  <c r="M15" i="136" s="1"/>
  <c r="K16" i="130"/>
  <c r="K16" i="136" s="1"/>
  <c r="M16" i="130"/>
  <c r="M16" i="136" s="1"/>
  <c r="K17" i="130"/>
  <c r="K17" i="136" s="1"/>
  <c r="M17" i="130"/>
  <c r="M17" i="136" s="1"/>
  <c r="K18" i="130"/>
  <c r="K18" i="136" s="1"/>
  <c r="M18" i="130"/>
  <c r="M18" i="136" s="1"/>
  <c r="K19" i="130"/>
  <c r="K19" i="136" s="1"/>
  <c r="M19" i="130"/>
  <c r="M19" i="136" s="1"/>
  <c r="K20" i="130"/>
  <c r="K20" i="136" s="1"/>
  <c r="M20" i="130"/>
  <c r="M20" i="136" s="1"/>
  <c r="K21" i="130"/>
  <c r="K21" i="136" s="1"/>
  <c r="M21" i="130"/>
  <c r="M21" i="136" s="1"/>
  <c r="K22" i="130"/>
  <c r="K22" i="136" s="1"/>
  <c r="M22" i="130"/>
  <c r="M22" i="136" s="1"/>
  <c r="K23" i="130"/>
  <c r="K23" i="136" s="1"/>
  <c r="M23" i="130"/>
  <c r="M23" i="136" s="1"/>
  <c r="C26" i="123"/>
  <c r="E26"/>
  <c r="G26"/>
  <c r="I26"/>
  <c r="K26"/>
  <c r="M26"/>
  <c r="C26" i="126"/>
  <c r="E26"/>
  <c r="G26"/>
  <c r="I26"/>
  <c r="K26"/>
  <c r="M26"/>
  <c r="C26" i="128"/>
  <c r="E26"/>
  <c r="G26"/>
  <c r="I26"/>
  <c r="C39" i="76"/>
  <c r="E39"/>
  <c r="G39"/>
  <c r="I39"/>
  <c r="C26" i="130"/>
  <c r="E26"/>
  <c r="G26"/>
  <c r="I26"/>
  <c r="C39" i="75"/>
  <c r="E39"/>
  <c r="C41"/>
  <c r="E41"/>
  <c r="F39"/>
  <c r="H39"/>
  <c r="F41"/>
  <c r="H41"/>
  <c r="J39"/>
  <c r="L39"/>
  <c r="J41"/>
  <c r="L41"/>
  <c r="K40" i="88"/>
  <c r="C28" i="130"/>
  <c r="E28"/>
  <c r="G28"/>
  <c r="I28"/>
  <c r="K28"/>
  <c r="B28"/>
  <c r="D28"/>
  <c r="F28"/>
  <c r="H28"/>
  <c r="J28"/>
  <c r="L28"/>
  <c r="C27"/>
  <c r="E27"/>
  <c r="G27"/>
  <c r="I27"/>
  <c r="K27"/>
  <c r="B27"/>
  <c r="F27"/>
  <c r="H27"/>
  <c r="J27"/>
  <c r="L27"/>
  <c r="C28" i="128"/>
  <c r="E28"/>
  <c r="G28"/>
  <c r="I28"/>
  <c r="K28"/>
  <c r="M28"/>
  <c r="B28"/>
  <c r="D28"/>
  <c r="F28"/>
  <c r="H28"/>
  <c r="J28"/>
  <c r="L28"/>
  <c r="C27"/>
  <c r="E27"/>
  <c r="G27"/>
  <c r="I27"/>
  <c r="K27"/>
  <c r="M27"/>
  <c r="B27"/>
  <c r="D27"/>
  <c r="F27"/>
  <c r="H27"/>
  <c r="J27"/>
  <c r="L27"/>
  <c r="C28" i="126"/>
  <c r="E28"/>
  <c r="G28"/>
  <c r="I28"/>
  <c r="K28"/>
  <c r="M28"/>
  <c r="B28"/>
  <c r="D28"/>
  <c r="F28"/>
  <c r="H28"/>
  <c r="J28"/>
  <c r="L28"/>
  <c r="C27"/>
  <c r="E27"/>
  <c r="G27"/>
  <c r="I27"/>
  <c r="K27"/>
  <c r="M27"/>
  <c r="B27"/>
  <c r="D27"/>
  <c r="F27"/>
  <c r="H27"/>
  <c r="J27"/>
  <c r="L27"/>
  <c r="M40" i="121"/>
  <c r="E40" i="122"/>
  <c r="I40"/>
  <c r="M40"/>
  <c r="E40" i="120"/>
  <c r="I40"/>
  <c r="C40" i="75"/>
  <c r="E40"/>
  <c r="G40"/>
  <c r="I40"/>
  <c r="K40"/>
  <c r="M40"/>
  <c r="B40"/>
  <c r="D40"/>
  <c r="F40"/>
  <c r="H40"/>
  <c r="J40"/>
  <c r="L40"/>
  <c r="C40" i="118"/>
  <c r="G40"/>
  <c r="K40"/>
  <c r="B40"/>
  <c r="D40"/>
  <c r="F40"/>
  <c r="J40"/>
  <c r="L40"/>
  <c r="D38" i="117"/>
  <c r="E40"/>
  <c r="I40"/>
  <c r="M40"/>
  <c r="M34" i="87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35" i="110"/>
  <c r="M35" i="109" s="1"/>
  <c r="L35" i="110"/>
  <c r="L35" i="109" s="1"/>
  <c r="K35" i="110"/>
  <c r="K35" i="109" s="1"/>
  <c r="J35" i="110"/>
  <c r="J35" i="109" s="1"/>
  <c r="M34" i="110"/>
  <c r="M34" i="109" s="1"/>
  <c r="L34" i="110"/>
  <c r="L34" i="109" s="1"/>
  <c r="K34" i="110"/>
  <c r="K34" i="109" s="1"/>
  <c r="J34" i="110"/>
  <c r="J34" i="109" s="1"/>
  <c r="M33" i="110"/>
  <c r="M33" i="109" s="1"/>
  <c r="L33" i="110"/>
  <c r="L33" i="109" s="1"/>
  <c r="K33" i="110"/>
  <c r="K33" i="109" s="1"/>
  <c r="J33" i="110"/>
  <c r="J33" i="109" s="1"/>
  <c r="M32" i="110"/>
  <c r="M32" i="109" s="1"/>
  <c r="L32" i="110"/>
  <c r="L32" i="109" s="1"/>
  <c r="K32" i="110"/>
  <c r="K32" i="109" s="1"/>
  <c r="J32" i="110"/>
  <c r="J32" i="109" s="1"/>
  <c r="M31" i="110"/>
  <c r="M31" i="109" s="1"/>
  <c r="L31" i="110"/>
  <c r="L31" i="109" s="1"/>
  <c r="K31" i="110"/>
  <c r="K31" i="109" s="1"/>
  <c r="J31" i="110"/>
  <c r="J31" i="109" s="1"/>
  <c r="M30" i="110"/>
  <c r="M30" i="109" s="1"/>
  <c r="L30" i="110"/>
  <c r="L30" i="109" s="1"/>
  <c r="K30" i="110"/>
  <c r="K30" i="109" s="1"/>
  <c r="J30" i="110"/>
  <c r="J30" i="109" s="1"/>
  <c r="M29" i="110"/>
  <c r="M29" i="109" s="1"/>
  <c r="L29" i="110"/>
  <c r="L29" i="109" s="1"/>
  <c r="K29" i="110"/>
  <c r="K29" i="109" s="1"/>
  <c r="J29" i="110"/>
  <c r="J29" i="109" s="1"/>
  <c r="M28" i="110"/>
  <c r="M28" i="109" s="1"/>
  <c r="L28" i="110"/>
  <c r="L28" i="109" s="1"/>
  <c r="K28" i="110"/>
  <c r="K28" i="109" s="1"/>
  <c r="J28" i="110"/>
  <c r="J28" i="109" s="1"/>
  <c r="M27" i="110"/>
  <c r="M27" i="109" s="1"/>
  <c r="L27" i="110"/>
  <c r="L27" i="109" s="1"/>
  <c r="K27" i="110"/>
  <c r="K27" i="109" s="1"/>
  <c r="J27" i="110"/>
  <c r="J27" i="109" s="1"/>
  <c r="M26" i="110"/>
  <c r="M26" i="109" s="1"/>
  <c r="L26" i="110"/>
  <c r="L26" i="109" s="1"/>
  <c r="K26" i="110"/>
  <c r="K26" i="109" s="1"/>
  <c r="J26" i="110"/>
  <c r="J26" i="109" s="1"/>
  <c r="M25" i="110"/>
  <c r="M25" i="109" s="1"/>
  <c r="L25" i="110"/>
  <c r="L25" i="109" s="1"/>
  <c r="K25" i="110"/>
  <c r="K25" i="109" s="1"/>
  <c r="J25" i="110"/>
  <c r="J25" i="109" s="1"/>
  <c r="M24" i="110"/>
  <c r="M24" i="109" s="1"/>
  <c r="L24" i="110"/>
  <c r="L24" i="109" s="1"/>
  <c r="K24" i="110"/>
  <c r="K24" i="109" s="1"/>
  <c r="J24" i="110"/>
  <c r="J24" i="109" s="1"/>
  <c r="M23" i="110"/>
  <c r="M23" i="109" s="1"/>
  <c r="L23" i="110"/>
  <c r="L23" i="109" s="1"/>
  <c r="K23" i="110"/>
  <c r="K23" i="109" s="1"/>
  <c r="J23" i="110"/>
  <c r="J23" i="109" s="1"/>
  <c r="M22" i="110"/>
  <c r="M22" i="109" s="1"/>
  <c r="L22" i="110"/>
  <c r="L22" i="109" s="1"/>
  <c r="K22" i="110"/>
  <c r="K22" i="109" s="1"/>
  <c r="J22" i="110"/>
  <c r="J22" i="109" s="1"/>
  <c r="M21" i="110"/>
  <c r="M21" i="109" s="1"/>
  <c r="L21" i="110"/>
  <c r="L21" i="109" s="1"/>
  <c r="K21" i="110"/>
  <c r="K21" i="109" s="1"/>
  <c r="J21" i="110"/>
  <c r="J21" i="109" s="1"/>
  <c r="M20" i="110"/>
  <c r="M20" i="109" s="1"/>
  <c r="L20" i="110"/>
  <c r="L20" i="109" s="1"/>
  <c r="K20" i="110"/>
  <c r="K20" i="109" s="1"/>
  <c r="J20" i="110"/>
  <c r="J20" i="109" s="1"/>
  <c r="M19" i="110"/>
  <c r="M19" i="109" s="1"/>
  <c r="L19" i="110"/>
  <c r="L19" i="109" s="1"/>
  <c r="K19" i="110"/>
  <c r="K19" i="109" s="1"/>
  <c r="J19" i="110"/>
  <c r="J19" i="109" s="1"/>
  <c r="M18" i="110"/>
  <c r="M18" i="109" s="1"/>
  <c r="L18" i="110"/>
  <c r="L18" i="109" s="1"/>
  <c r="K18" i="110"/>
  <c r="K18" i="109" s="1"/>
  <c r="J18" i="110"/>
  <c r="J18" i="109" s="1"/>
  <c r="M17" i="110"/>
  <c r="M17" i="109" s="1"/>
  <c r="L17" i="110"/>
  <c r="L17" i="109" s="1"/>
  <c r="K17" i="110"/>
  <c r="K17" i="109" s="1"/>
  <c r="J17" i="110"/>
  <c r="J17" i="109" s="1"/>
  <c r="M16" i="110"/>
  <c r="M16" i="109" s="1"/>
  <c r="L16" i="110"/>
  <c r="L16" i="109" s="1"/>
  <c r="K16" i="110"/>
  <c r="K16" i="109" s="1"/>
  <c r="J16" i="110"/>
  <c r="J16" i="109" s="1"/>
  <c r="M15" i="110"/>
  <c r="M15" i="109" s="1"/>
  <c r="L15" i="110"/>
  <c r="L15" i="109" s="1"/>
  <c r="K15" i="110"/>
  <c r="K15" i="109" s="1"/>
  <c r="J15" i="110"/>
  <c r="J15" i="109" s="1"/>
  <c r="M14" i="110"/>
  <c r="M14" i="109" s="1"/>
  <c r="L14" i="110"/>
  <c r="L14" i="109" s="1"/>
  <c r="K14" i="110"/>
  <c r="K14" i="109" s="1"/>
  <c r="J14" i="110"/>
  <c r="J14" i="109" s="1"/>
  <c r="M13" i="110"/>
  <c r="M13" i="109" s="1"/>
  <c r="L13" i="110"/>
  <c r="L13" i="109" s="1"/>
  <c r="K13" i="110"/>
  <c r="K13" i="109" s="1"/>
  <c r="J13" i="110"/>
  <c r="J13" i="109" s="1"/>
  <c r="M12" i="110"/>
  <c r="M12" i="109" s="1"/>
  <c r="L12" i="110"/>
  <c r="L12" i="109" s="1"/>
  <c r="K12" i="110"/>
  <c r="K12" i="109" s="1"/>
  <c r="J12" i="110"/>
  <c r="J12" i="109" s="1"/>
  <c r="M11" i="110"/>
  <c r="M11" i="109" s="1"/>
  <c r="L11" i="110"/>
  <c r="L11" i="109" s="1"/>
  <c r="K11" i="110"/>
  <c r="K11" i="109" s="1"/>
  <c r="J11" i="110"/>
  <c r="J11" i="109" s="1"/>
  <c r="M10" i="110"/>
  <c r="M10" i="109" s="1"/>
  <c r="L10" i="110"/>
  <c r="L10" i="109" s="1"/>
  <c r="K10" i="110"/>
  <c r="K10" i="109" s="1"/>
  <c r="J10" i="110"/>
  <c r="J10" i="109" s="1"/>
  <c r="M9" i="110"/>
  <c r="M9" i="109" s="1"/>
  <c r="L9" i="110"/>
  <c r="L9" i="109" s="1"/>
  <c r="K9" i="110"/>
  <c r="K9" i="109" s="1"/>
  <c r="J9" i="110"/>
  <c r="J9" i="109" s="1"/>
  <c r="M8" i="110"/>
  <c r="M8" i="109" s="1"/>
  <c r="L8" i="110"/>
  <c r="L8" i="109" s="1"/>
  <c r="K8" i="110"/>
  <c r="K8" i="109" s="1"/>
  <c r="J8" i="110"/>
  <c r="J8" i="109" s="1"/>
  <c r="M7" i="110"/>
  <c r="M7" i="109" s="1"/>
  <c r="L7" i="110"/>
  <c r="L7" i="109" s="1"/>
  <c r="K7" i="110"/>
  <c r="K7" i="109" s="1"/>
  <c r="J7" i="110"/>
  <c r="J7" i="109" s="1"/>
  <c r="M6" i="110"/>
  <c r="M6" i="109" s="1"/>
  <c r="L6" i="110"/>
  <c r="L6" i="109" s="1"/>
  <c r="K6" i="110"/>
  <c r="K6" i="109" s="1"/>
  <c r="J6" i="110"/>
  <c r="J6" i="109" s="1"/>
  <c r="H35" i="110"/>
  <c r="H35" i="109" s="1"/>
  <c r="G35" i="110"/>
  <c r="G35" i="109" s="1"/>
  <c r="F35" i="110"/>
  <c r="F35" i="109" s="1"/>
  <c r="H34" i="110"/>
  <c r="H34" i="109" s="1"/>
  <c r="G34" i="110"/>
  <c r="G34" i="109" s="1"/>
  <c r="F34" i="110"/>
  <c r="F34" i="109" s="1"/>
  <c r="H33" i="110"/>
  <c r="H33" i="109" s="1"/>
  <c r="G33" i="110"/>
  <c r="G33" i="109" s="1"/>
  <c r="F33" i="110"/>
  <c r="F33" i="109" s="1"/>
  <c r="H32" i="110"/>
  <c r="H32" i="109" s="1"/>
  <c r="G32" i="110"/>
  <c r="G32" i="109" s="1"/>
  <c r="F32" i="110"/>
  <c r="F32" i="109" s="1"/>
  <c r="H31" i="110"/>
  <c r="H31" i="109" s="1"/>
  <c r="G31" i="110"/>
  <c r="G31" i="109" s="1"/>
  <c r="F31" i="110"/>
  <c r="F31" i="109" s="1"/>
  <c r="H30" i="110"/>
  <c r="H30" i="109" s="1"/>
  <c r="G30" i="110"/>
  <c r="G30" i="109" s="1"/>
  <c r="F30" i="110"/>
  <c r="F30" i="109" s="1"/>
  <c r="H29" i="110"/>
  <c r="H29" i="109" s="1"/>
  <c r="G29" i="110"/>
  <c r="G29" i="109" s="1"/>
  <c r="F29" i="110"/>
  <c r="F29" i="109" s="1"/>
  <c r="H28" i="110"/>
  <c r="H28" i="109" s="1"/>
  <c r="G28" i="110"/>
  <c r="G28" i="109" s="1"/>
  <c r="F28" i="110"/>
  <c r="F28" i="109" s="1"/>
  <c r="H27" i="110"/>
  <c r="H27" i="109" s="1"/>
  <c r="G27" i="110"/>
  <c r="G27" i="109" s="1"/>
  <c r="F27" i="110"/>
  <c r="F27" i="109" s="1"/>
  <c r="H26" i="110"/>
  <c r="H26" i="109" s="1"/>
  <c r="G26" i="110"/>
  <c r="G26" i="109" s="1"/>
  <c r="F26" i="110"/>
  <c r="F26" i="109" s="1"/>
  <c r="H25" i="110"/>
  <c r="H25" i="109" s="1"/>
  <c r="G25" i="110"/>
  <c r="G25" i="109" s="1"/>
  <c r="F25" i="110"/>
  <c r="F25" i="109" s="1"/>
  <c r="H24" i="110"/>
  <c r="H24" i="109" s="1"/>
  <c r="G24" i="110"/>
  <c r="G24" i="109" s="1"/>
  <c r="F24" i="110"/>
  <c r="F24" i="109" s="1"/>
  <c r="H23" i="110"/>
  <c r="H23" i="109" s="1"/>
  <c r="G23" i="110"/>
  <c r="G23" i="109" s="1"/>
  <c r="F23" i="110"/>
  <c r="F23" i="109" s="1"/>
  <c r="H22" i="110"/>
  <c r="H22" i="109" s="1"/>
  <c r="G22" i="110"/>
  <c r="G22" i="109" s="1"/>
  <c r="F22" i="110"/>
  <c r="F22" i="109" s="1"/>
  <c r="H21" i="110"/>
  <c r="H21" i="109" s="1"/>
  <c r="G21" i="110"/>
  <c r="G21" i="109" s="1"/>
  <c r="F21" i="110"/>
  <c r="F21" i="109" s="1"/>
  <c r="H20" i="110"/>
  <c r="H20" i="109" s="1"/>
  <c r="G20" i="110"/>
  <c r="G20" i="109" s="1"/>
  <c r="F20" i="110"/>
  <c r="F20" i="109" s="1"/>
  <c r="H19" i="110"/>
  <c r="H19" i="109" s="1"/>
  <c r="G19" i="110"/>
  <c r="G19" i="109" s="1"/>
  <c r="F19" i="110"/>
  <c r="F19" i="109" s="1"/>
  <c r="H18" i="110"/>
  <c r="H18" i="109" s="1"/>
  <c r="G18" i="110"/>
  <c r="G18" i="109" s="1"/>
  <c r="F18" i="110"/>
  <c r="F18" i="109" s="1"/>
  <c r="H17" i="110"/>
  <c r="H17" i="109" s="1"/>
  <c r="G17" i="110"/>
  <c r="G17" i="109" s="1"/>
  <c r="F17" i="110"/>
  <c r="F17" i="109" s="1"/>
  <c r="H16" i="110"/>
  <c r="H16" i="109" s="1"/>
  <c r="G16" i="110"/>
  <c r="G16" i="109" s="1"/>
  <c r="F16" i="110"/>
  <c r="F16" i="109" s="1"/>
  <c r="H15" i="110"/>
  <c r="H15" i="109" s="1"/>
  <c r="G15" i="110"/>
  <c r="G15" i="109" s="1"/>
  <c r="F15" i="110"/>
  <c r="F15" i="109" s="1"/>
  <c r="H14" i="110"/>
  <c r="H14" i="109" s="1"/>
  <c r="G14" i="110"/>
  <c r="G14" i="109" s="1"/>
  <c r="F14" i="110"/>
  <c r="F14" i="109" s="1"/>
  <c r="H13" i="110"/>
  <c r="H13" i="109" s="1"/>
  <c r="G13" i="110"/>
  <c r="G13" i="109" s="1"/>
  <c r="F13" i="110"/>
  <c r="F13" i="109" s="1"/>
  <c r="H12" i="110"/>
  <c r="H12" i="109" s="1"/>
  <c r="G12" i="110"/>
  <c r="G12" i="109" s="1"/>
  <c r="F12" i="110"/>
  <c r="F12" i="109" s="1"/>
  <c r="H11" i="110"/>
  <c r="H11" i="109" s="1"/>
  <c r="G11" i="110"/>
  <c r="G11" i="109" s="1"/>
  <c r="F11" i="110"/>
  <c r="F11" i="109" s="1"/>
  <c r="H10" i="110"/>
  <c r="H10" i="109" s="1"/>
  <c r="G10" i="110"/>
  <c r="G10" i="109" s="1"/>
  <c r="F10" i="110"/>
  <c r="F10" i="109" s="1"/>
  <c r="H9" i="110"/>
  <c r="H9" i="109" s="1"/>
  <c r="G9" i="110"/>
  <c r="G9" i="109" s="1"/>
  <c r="F9" i="110"/>
  <c r="F9" i="109" s="1"/>
  <c r="H8" i="110"/>
  <c r="H8" i="109" s="1"/>
  <c r="G8" i="110"/>
  <c r="G8" i="109" s="1"/>
  <c r="F8" i="110"/>
  <c r="F8" i="109" s="1"/>
  <c r="H7" i="110"/>
  <c r="H7" i="109" s="1"/>
  <c r="G7" i="110"/>
  <c r="G7" i="109" s="1"/>
  <c r="F7" i="110"/>
  <c r="F7" i="109" s="1"/>
  <c r="H6" i="110"/>
  <c r="H6" i="109" s="1"/>
  <c r="G6" i="110"/>
  <c r="G6" i="109" s="1"/>
  <c r="F6" i="110"/>
  <c r="F6" i="109" s="1"/>
  <c r="D35" i="110"/>
  <c r="D35" i="109" s="1"/>
  <c r="C35" i="110"/>
  <c r="C35" i="109" s="1"/>
  <c r="B35" i="110"/>
  <c r="B35" i="109" s="1"/>
  <c r="D34" i="110"/>
  <c r="D34" i="109" s="1"/>
  <c r="C34" i="110"/>
  <c r="C34" i="109" s="1"/>
  <c r="B34" i="110"/>
  <c r="B34" i="109" s="1"/>
  <c r="D33" i="110"/>
  <c r="D33" i="109" s="1"/>
  <c r="C33" i="110"/>
  <c r="C33" i="109" s="1"/>
  <c r="B33" i="110"/>
  <c r="B33" i="109" s="1"/>
  <c r="D32" i="110"/>
  <c r="D32" i="109" s="1"/>
  <c r="C32" i="110"/>
  <c r="C32" i="109" s="1"/>
  <c r="B32" i="110"/>
  <c r="B32" i="109" s="1"/>
  <c r="D31" i="110"/>
  <c r="D31" i="109" s="1"/>
  <c r="C31" i="110"/>
  <c r="C31" i="109" s="1"/>
  <c r="B31" i="110"/>
  <c r="B31" i="109" s="1"/>
  <c r="D30" i="110"/>
  <c r="D30" i="109" s="1"/>
  <c r="C30" i="110"/>
  <c r="C30" i="109" s="1"/>
  <c r="B30" i="110"/>
  <c r="B30" i="109" s="1"/>
  <c r="D29" i="110"/>
  <c r="D29" i="109" s="1"/>
  <c r="C29" i="110"/>
  <c r="C29" i="109" s="1"/>
  <c r="B29" i="110"/>
  <c r="B29" i="109" s="1"/>
  <c r="D28" i="110"/>
  <c r="D28" i="109" s="1"/>
  <c r="C28" i="110"/>
  <c r="C28" i="109" s="1"/>
  <c r="B28" i="110"/>
  <c r="B28" i="109" s="1"/>
  <c r="D27" i="110"/>
  <c r="D27" i="109" s="1"/>
  <c r="C27" i="110"/>
  <c r="C27" i="109" s="1"/>
  <c r="B27" i="110"/>
  <c r="B27" i="109" s="1"/>
  <c r="D26" i="110"/>
  <c r="D26" i="109" s="1"/>
  <c r="C26" i="110"/>
  <c r="C26" i="109" s="1"/>
  <c r="B26" i="110"/>
  <c r="B26" i="109" s="1"/>
  <c r="D25" i="110"/>
  <c r="D25" i="109" s="1"/>
  <c r="C25" i="110"/>
  <c r="C25" i="109" s="1"/>
  <c r="B25" i="110"/>
  <c r="B25" i="109" s="1"/>
  <c r="D24" i="110"/>
  <c r="D24" i="109" s="1"/>
  <c r="C24" i="110"/>
  <c r="C24" i="109" s="1"/>
  <c r="B24" i="110"/>
  <c r="B24" i="109" s="1"/>
  <c r="D23" i="110"/>
  <c r="D23" i="109" s="1"/>
  <c r="C23" i="110"/>
  <c r="C23" i="109" s="1"/>
  <c r="B23" i="110"/>
  <c r="B23" i="109" s="1"/>
  <c r="D22" i="110"/>
  <c r="D22" i="109" s="1"/>
  <c r="C22" i="110"/>
  <c r="C22" i="109" s="1"/>
  <c r="B22" i="110"/>
  <c r="B22" i="109" s="1"/>
  <c r="D21" i="110"/>
  <c r="D21" i="109" s="1"/>
  <c r="C21" i="110"/>
  <c r="C21" i="109" s="1"/>
  <c r="B21" i="110"/>
  <c r="B21" i="109" s="1"/>
  <c r="D20" i="110"/>
  <c r="D20" i="109" s="1"/>
  <c r="C20" i="110"/>
  <c r="C20" i="109" s="1"/>
  <c r="B20" i="110"/>
  <c r="B20" i="109" s="1"/>
  <c r="D19" i="110"/>
  <c r="D19" i="109" s="1"/>
  <c r="C19" i="110"/>
  <c r="C19" i="109" s="1"/>
  <c r="B19" i="110"/>
  <c r="B19" i="109" s="1"/>
  <c r="D18" i="110"/>
  <c r="D18" i="109" s="1"/>
  <c r="C18" i="110"/>
  <c r="C18" i="109" s="1"/>
  <c r="B18" i="110"/>
  <c r="B18" i="109" s="1"/>
  <c r="D17" i="110"/>
  <c r="D17" i="109" s="1"/>
  <c r="C17" i="110"/>
  <c r="C17" i="109" s="1"/>
  <c r="B17" i="110"/>
  <c r="B17" i="109" s="1"/>
  <c r="D16" i="110"/>
  <c r="D16" i="109" s="1"/>
  <c r="C16" i="110"/>
  <c r="C16" i="109" s="1"/>
  <c r="B16" i="110"/>
  <c r="B16" i="109" s="1"/>
  <c r="D15" i="110"/>
  <c r="D15" i="109" s="1"/>
  <c r="C15" i="110"/>
  <c r="C15" i="109" s="1"/>
  <c r="B15" i="110"/>
  <c r="B15" i="109" s="1"/>
  <c r="D14" i="110"/>
  <c r="D14" i="109" s="1"/>
  <c r="C14" i="110"/>
  <c r="C14" i="109" s="1"/>
  <c r="B14" i="110"/>
  <c r="B14" i="109" s="1"/>
  <c r="D13" i="110"/>
  <c r="D13" i="109" s="1"/>
  <c r="C13" i="110"/>
  <c r="C13" i="109" s="1"/>
  <c r="B13" i="110"/>
  <c r="B13" i="109" s="1"/>
  <c r="D12" i="110"/>
  <c r="D12" i="109" s="1"/>
  <c r="C12" i="110"/>
  <c r="C12" i="109" s="1"/>
  <c r="B12" i="110"/>
  <c r="B12" i="109" s="1"/>
  <c r="D11" i="110"/>
  <c r="D11" i="109" s="1"/>
  <c r="C11" i="110"/>
  <c r="C11" i="109" s="1"/>
  <c r="B11" i="110"/>
  <c r="B11" i="109" s="1"/>
  <c r="D10" i="110"/>
  <c r="D10" i="109" s="1"/>
  <c r="C10" i="110"/>
  <c r="C10" i="109" s="1"/>
  <c r="B10" i="110"/>
  <c r="B10" i="109" s="1"/>
  <c r="D9" i="110"/>
  <c r="D9" i="109" s="1"/>
  <c r="C9" i="110"/>
  <c r="C9" i="109" s="1"/>
  <c r="B9" i="110"/>
  <c r="B9" i="109" s="1"/>
  <c r="D8" i="110"/>
  <c r="D8" i="109" s="1"/>
  <c r="C8" i="110"/>
  <c r="C8" i="109" s="1"/>
  <c r="B8" i="110"/>
  <c r="B8" i="109" s="1"/>
  <c r="D7" i="110"/>
  <c r="D7" i="109" s="1"/>
  <c r="C7" i="110"/>
  <c r="C7" i="109" s="1"/>
  <c r="B7" i="110"/>
  <c r="B7" i="109" s="1"/>
  <c r="D6" i="110"/>
  <c r="D6" i="109" s="1"/>
  <c r="C6" i="110"/>
  <c r="C6" i="109" s="1"/>
  <c r="B6" i="110"/>
  <c r="B6" i="109" s="1"/>
  <c r="A34"/>
  <c r="A35" s="1"/>
  <c r="A34" i="110"/>
  <c r="A35" s="1"/>
  <c r="M35" i="107"/>
  <c r="M35" i="108" s="1"/>
  <c r="L35" i="107"/>
  <c r="L35" i="108" s="1"/>
  <c r="K35" i="107"/>
  <c r="K35" i="108" s="1"/>
  <c r="J35" i="107"/>
  <c r="J35" i="108" s="1"/>
  <c r="M34" i="107"/>
  <c r="M34" i="108" s="1"/>
  <c r="L34" i="107"/>
  <c r="L34" i="108" s="1"/>
  <c r="K34" i="107"/>
  <c r="K34" i="108" s="1"/>
  <c r="J34" i="107"/>
  <c r="J34" i="108" s="1"/>
  <c r="M33" i="107"/>
  <c r="M33" i="108" s="1"/>
  <c r="L33" i="107"/>
  <c r="L33" i="108" s="1"/>
  <c r="K33" i="107"/>
  <c r="K33" i="108" s="1"/>
  <c r="J33" i="107"/>
  <c r="J33" i="108" s="1"/>
  <c r="M32" i="107"/>
  <c r="M32" i="108" s="1"/>
  <c r="L32" i="107"/>
  <c r="L32" i="108" s="1"/>
  <c r="K32" i="107"/>
  <c r="K32" i="108" s="1"/>
  <c r="J32" i="107"/>
  <c r="J32" i="108" s="1"/>
  <c r="M31" i="107"/>
  <c r="M31" i="108" s="1"/>
  <c r="L31" i="107"/>
  <c r="L31" i="108" s="1"/>
  <c r="K31" i="107"/>
  <c r="K31" i="108" s="1"/>
  <c r="J31" i="107"/>
  <c r="J31" i="108" s="1"/>
  <c r="M30" i="107"/>
  <c r="M30" i="108" s="1"/>
  <c r="L30" i="107"/>
  <c r="L30" i="108" s="1"/>
  <c r="K30" i="107"/>
  <c r="K30" i="108" s="1"/>
  <c r="J30" i="107"/>
  <c r="J30" i="108" s="1"/>
  <c r="M29" i="107"/>
  <c r="M29" i="108" s="1"/>
  <c r="L29" i="107"/>
  <c r="L29" i="108" s="1"/>
  <c r="K29" i="107"/>
  <c r="K29" i="108" s="1"/>
  <c r="J29" i="107"/>
  <c r="J29" i="108" s="1"/>
  <c r="M28" i="107"/>
  <c r="M28" i="108" s="1"/>
  <c r="L28" i="107"/>
  <c r="L28" i="108" s="1"/>
  <c r="K28" i="107"/>
  <c r="K28" i="108" s="1"/>
  <c r="J28" i="107"/>
  <c r="J28" i="108" s="1"/>
  <c r="M27" i="107"/>
  <c r="M27" i="108" s="1"/>
  <c r="L27" i="107"/>
  <c r="L27" i="108" s="1"/>
  <c r="K27" i="107"/>
  <c r="K27" i="108" s="1"/>
  <c r="J27" i="107"/>
  <c r="J27" i="108" s="1"/>
  <c r="M26" i="107"/>
  <c r="M26" i="108" s="1"/>
  <c r="L26" i="107"/>
  <c r="L26" i="108" s="1"/>
  <c r="K26" i="107"/>
  <c r="K26" i="108" s="1"/>
  <c r="J26" i="107"/>
  <c r="J26" i="108" s="1"/>
  <c r="M25" i="107"/>
  <c r="M25" i="108" s="1"/>
  <c r="L25" i="107"/>
  <c r="L25" i="108" s="1"/>
  <c r="K25" i="107"/>
  <c r="K25" i="108" s="1"/>
  <c r="J25" i="107"/>
  <c r="J25" i="108" s="1"/>
  <c r="M24" i="107"/>
  <c r="M24" i="108" s="1"/>
  <c r="L24" i="107"/>
  <c r="L24" i="108" s="1"/>
  <c r="K24" i="107"/>
  <c r="K24" i="108" s="1"/>
  <c r="J24" i="107"/>
  <c r="J24" i="108" s="1"/>
  <c r="M23" i="107"/>
  <c r="M23" i="108" s="1"/>
  <c r="L23" i="107"/>
  <c r="L23" i="108" s="1"/>
  <c r="K23" i="107"/>
  <c r="K23" i="108" s="1"/>
  <c r="J23" i="107"/>
  <c r="J23" i="108" s="1"/>
  <c r="M22" i="107"/>
  <c r="M22" i="108" s="1"/>
  <c r="L22" i="107"/>
  <c r="L22" i="108" s="1"/>
  <c r="K22" i="107"/>
  <c r="K22" i="108" s="1"/>
  <c r="J22" i="107"/>
  <c r="J22" i="108" s="1"/>
  <c r="M21" i="107"/>
  <c r="M21" i="108" s="1"/>
  <c r="L21" i="107"/>
  <c r="L21" i="108" s="1"/>
  <c r="K21" i="107"/>
  <c r="K21" i="108" s="1"/>
  <c r="J21" i="107"/>
  <c r="J21" i="108" s="1"/>
  <c r="M20" i="107"/>
  <c r="M20" i="108" s="1"/>
  <c r="L20" i="107"/>
  <c r="L20" i="108" s="1"/>
  <c r="K20" i="107"/>
  <c r="K20" i="108" s="1"/>
  <c r="J20" i="107"/>
  <c r="J20" i="108" s="1"/>
  <c r="M19" i="107"/>
  <c r="M19" i="108" s="1"/>
  <c r="L19" i="107"/>
  <c r="L19" i="108" s="1"/>
  <c r="K19" i="107"/>
  <c r="K19" i="108" s="1"/>
  <c r="J19" i="107"/>
  <c r="J19" i="108" s="1"/>
  <c r="M18" i="107"/>
  <c r="M18" i="108" s="1"/>
  <c r="L18" i="107"/>
  <c r="L18" i="108" s="1"/>
  <c r="K18" i="107"/>
  <c r="K18" i="108" s="1"/>
  <c r="J18" i="107"/>
  <c r="J18" i="108" s="1"/>
  <c r="M17" i="107"/>
  <c r="M17" i="108" s="1"/>
  <c r="L17" i="107"/>
  <c r="L17" i="108" s="1"/>
  <c r="K17" i="107"/>
  <c r="K17" i="108" s="1"/>
  <c r="J17" i="107"/>
  <c r="J17" i="108" s="1"/>
  <c r="M16" i="107"/>
  <c r="M16" i="108" s="1"/>
  <c r="L16" i="107"/>
  <c r="L16" i="108" s="1"/>
  <c r="K16" i="107"/>
  <c r="K16" i="108" s="1"/>
  <c r="J16" i="107"/>
  <c r="J16" i="108" s="1"/>
  <c r="M15" i="107"/>
  <c r="M15" i="108" s="1"/>
  <c r="L15" i="107"/>
  <c r="L15" i="108" s="1"/>
  <c r="K15" i="107"/>
  <c r="K15" i="108" s="1"/>
  <c r="J15" i="107"/>
  <c r="J15" i="108" s="1"/>
  <c r="M14" i="107"/>
  <c r="M14" i="108" s="1"/>
  <c r="L14" i="107"/>
  <c r="L14" i="108" s="1"/>
  <c r="K14" i="107"/>
  <c r="K14" i="108" s="1"/>
  <c r="J14" i="107"/>
  <c r="J14" i="108" s="1"/>
  <c r="M13" i="107"/>
  <c r="M13" i="108" s="1"/>
  <c r="L13" i="107"/>
  <c r="L13" i="108" s="1"/>
  <c r="K13" i="107"/>
  <c r="K13" i="108" s="1"/>
  <c r="J13" i="107"/>
  <c r="J13" i="108" s="1"/>
  <c r="M12" i="107"/>
  <c r="M12" i="108" s="1"/>
  <c r="L12" i="107"/>
  <c r="L12" i="108" s="1"/>
  <c r="K12" i="107"/>
  <c r="K12" i="108" s="1"/>
  <c r="J12" i="107"/>
  <c r="J12" i="108" s="1"/>
  <c r="M11" i="107"/>
  <c r="M11" i="108" s="1"/>
  <c r="L11" i="107"/>
  <c r="L11" i="108" s="1"/>
  <c r="K11" i="107"/>
  <c r="K11" i="108" s="1"/>
  <c r="J11" i="107"/>
  <c r="J11" i="108" s="1"/>
  <c r="M10" i="107"/>
  <c r="M10" i="108" s="1"/>
  <c r="L10" i="107"/>
  <c r="L10" i="108" s="1"/>
  <c r="K10" i="107"/>
  <c r="K10" i="108" s="1"/>
  <c r="J10" i="107"/>
  <c r="J10" i="108" s="1"/>
  <c r="M9" i="107"/>
  <c r="M9" i="108" s="1"/>
  <c r="L9" i="107"/>
  <c r="L9" i="108" s="1"/>
  <c r="K9" i="107"/>
  <c r="K9" i="108" s="1"/>
  <c r="J9" i="107"/>
  <c r="J9" i="108" s="1"/>
  <c r="M8" i="107"/>
  <c r="M8" i="108" s="1"/>
  <c r="L8" i="107"/>
  <c r="L8" i="108" s="1"/>
  <c r="K8" i="107"/>
  <c r="K8" i="108" s="1"/>
  <c r="J8" i="107"/>
  <c r="J8" i="108" s="1"/>
  <c r="M7" i="107"/>
  <c r="M7" i="108" s="1"/>
  <c r="L7" i="107"/>
  <c r="L7" i="108" s="1"/>
  <c r="K7" i="107"/>
  <c r="K7" i="108" s="1"/>
  <c r="J7" i="107"/>
  <c r="J7" i="108" s="1"/>
  <c r="M6" i="107"/>
  <c r="M6" i="108" s="1"/>
  <c r="L6" i="107"/>
  <c r="L6" i="108" s="1"/>
  <c r="K6" i="107"/>
  <c r="K6" i="108" s="1"/>
  <c r="J6" i="107"/>
  <c r="J6" i="108" s="1"/>
  <c r="I35" i="107"/>
  <c r="I35" i="108" s="1"/>
  <c r="H35" i="107"/>
  <c r="H35" i="108" s="1"/>
  <c r="G35" i="107"/>
  <c r="G35" i="108" s="1"/>
  <c r="F35" i="107"/>
  <c r="F35" i="108" s="1"/>
  <c r="I34" i="107"/>
  <c r="I34" i="108" s="1"/>
  <c r="H34" i="107"/>
  <c r="H34" i="108" s="1"/>
  <c r="G34" i="107"/>
  <c r="G34" i="108" s="1"/>
  <c r="F34" i="107"/>
  <c r="F34" i="108" s="1"/>
  <c r="I33" i="107"/>
  <c r="I33" i="108" s="1"/>
  <c r="H33" i="107"/>
  <c r="H33" i="108" s="1"/>
  <c r="G33" i="107"/>
  <c r="G33" i="108" s="1"/>
  <c r="F33" i="107"/>
  <c r="F33" i="108" s="1"/>
  <c r="I32" i="107"/>
  <c r="I32" i="108" s="1"/>
  <c r="H32" i="107"/>
  <c r="H32" i="108" s="1"/>
  <c r="G32" i="107"/>
  <c r="G32" i="108" s="1"/>
  <c r="F32" i="107"/>
  <c r="F32" i="108" s="1"/>
  <c r="I31" i="107"/>
  <c r="I31" i="108" s="1"/>
  <c r="H31" i="107"/>
  <c r="H31" i="108" s="1"/>
  <c r="G31" i="107"/>
  <c r="G31" i="108" s="1"/>
  <c r="F31" i="107"/>
  <c r="F31" i="108" s="1"/>
  <c r="I30" i="107"/>
  <c r="I30" i="108" s="1"/>
  <c r="H30" i="107"/>
  <c r="H30" i="108" s="1"/>
  <c r="G30" i="107"/>
  <c r="G30" i="108" s="1"/>
  <c r="F30" i="107"/>
  <c r="F30" i="108" s="1"/>
  <c r="I29" i="107"/>
  <c r="I29" i="108" s="1"/>
  <c r="H29" i="107"/>
  <c r="H29" i="108" s="1"/>
  <c r="G29" i="107"/>
  <c r="G29" i="108" s="1"/>
  <c r="F29" i="107"/>
  <c r="F29" i="108" s="1"/>
  <c r="I28" i="107"/>
  <c r="I28" i="108" s="1"/>
  <c r="H28" i="107"/>
  <c r="H28" i="108" s="1"/>
  <c r="G28" i="107"/>
  <c r="G28" i="108" s="1"/>
  <c r="F28" i="107"/>
  <c r="F28" i="108" s="1"/>
  <c r="I27" i="107"/>
  <c r="I27" i="108" s="1"/>
  <c r="H27" i="107"/>
  <c r="H27" i="108" s="1"/>
  <c r="G27" i="107"/>
  <c r="G27" i="108" s="1"/>
  <c r="F27" i="107"/>
  <c r="F27" i="108" s="1"/>
  <c r="I26" i="107"/>
  <c r="I26" i="108" s="1"/>
  <c r="H26" i="107"/>
  <c r="H26" i="108" s="1"/>
  <c r="G26" i="107"/>
  <c r="G26" i="108" s="1"/>
  <c r="F26" i="107"/>
  <c r="F26" i="108" s="1"/>
  <c r="I25" i="107"/>
  <c r="I25" i="108" s="1"/>
  <c r="H25" i="107"/>
  <c r="H25" i="108" s="1"/>
  <c r="G25" i="107"/>
  <c r="G25" i="108" s="1"/>
  <c r="F25" i="107"/>
  <c r="F25" i="108" s="1"/>
  <c r="I24" i="107"/>
  <c r="I24" i="108" s="1"/>
  <c r="H24" i="107"/>
  <c r="H24" i="108" s="1"/>
  <c r="G24" i="107"/>
  <c r="G24" i="108" s="1"/>
  <c r="F24" i="107"/>
  <c r="F24" i="108" s="1"/>
  <c r="I23" i="107"/>
  <c r="I23" i="108" s="1"/>
  <c r="H23" i="107"/>
  <c r="H23" i="108" s="1"/>
  <c r="G23" i="107"/>
  <c r="G23" i="108" s="1"/>
  <c r="F23" i="107"/>
  <c r="F23" i="108" s="1"/>
  <c r="I22" i="107"/>
  <c r="I22" i="108" s="1"/>
  <c r="H22" i="107"/>
  <c r="H22" i="108" s="1"/>
  <c r="G22" i="107"/>
  <c r="G22" i="108" s="1"/>
  <c r="F22" i="107"/>
  <c r="F22" i="108" s="1"/>
  <c r="I21" i="107"/>
  <c r="I21" i="108" s="1"/>
  <c r="H21" i="107"/>
  <c r="H21" i="108" s="1"/>
  <c r="G21" i="107"/>
  <c r="G21" i="108" s="1"/>
  <c r="F21" i="107"/>
  <c r="F21" i="108" s="1"/>
  <c r="I20" i="107"/>
  <c r="I20" i="108" s="1"/>
  <c r="H20" i="107"/>
  <c r="H20" i="108" s="1"/>
  <c r="G20" i="107"/>
  <c r="G20" i="108" s="1"/>
  <c r="F20" i="107"/>
  <c r="F20" i="108" s="1"/>
  <c r="I19" i="107"/>
  <c r="I19" i="108" s="1"/>
  <c r="H19" i="107"/>
  <c r="H19" i="108" s="1"/>
  <c r="G19" i="107"/>
  <c r="G19" i="108" s="1"/>
  <c r="F19" i="107"/>
  <c r="F19" i="108" s="1"/>
  <c r="I18" i="107"/>
  <c r="I18" i="108" s="1"/>
  <c r="H18" i="107"/>
  <c r="H18" i="108" s="1"/>
  <c r="G18" i="107"/>
  <c r="G18" i="108" s="1"/>
  <c r="F18" i="107"/>
  <c r="F18" i="108" s="1"/>
  <c r="I17" i="107"/>
  <c r="I17" i="108" s="1"/>
  <c r="H17" i="107"/>
  <c r="H17" i="108" s="1"/>
  <c r="G17" i="107"/>
  <c r="G17" i="108" s="1"/>
  <c r="F17" i="107"/>
  <c r="F17" i="108" s="1"/>
  <c r="I16" i="107"/>
  <c r="I16" i="108" s="1"/>
  <c r="H16" i="107"/>
  <c r="H16" i="108" s="1"/>
  <c r="G16" i="107"/>
  <c r="G16" i="108" s="1"/>
  <c r="F16" i="107"/>
  <c r="F16" i="108" s="1"/>
  <c r="I15" i="107"/>
  <c r="I15" i="108" s="1"/>
  <c r="H15" i="107"/>
  <c r="H15" i="108" s="1"/>
  <c r="G15" i="107"/>
  <c r="G15" i="108" s="1"/>
  <c r="F15" i="107"/>
  <c r="F15" i="108" s="1"/>
  <c r="I14" i="107"/>
  <c r="I14" i="108" s="1"/>
  <c r="H14" i="107"/>
  <c r="H14" i="108" s="1"/>
  <c r="G14" i="107"/>
  <c r="G14" i="108" s="1"/>
  <c r="F14" i="107"/>
  <c r="F14" i="108" s="1"/>
  <c r="I13" i="107"/>
  <c r="I13" i="108" s="1"/>
  <c r="H13" i="107"/>
  <c r="H13" i="108" s="1"/>
  <c r="G13" i="107"/>
  <c r="G13" i="108" s="1"/>
  <c r="F13" i="107"/>
  <c r="F13" i="108" s="1"/>
  <c r="I12" i="107"/>
  <c r="I12" i="108" s="1"/>
  <c r="H12" i="107"/>
  <c r="H12" i="108" s="1"/>
  <c r="G12" i="107"/>
  <c r="G12" i="108" s="1"/>
  <c r="F12" i="107"/>
  <c r="F12" i="108" s="1"/>
  <c r="I11" i="107"/>
  <c r="I11" i="108" s="1"/>
  <c r="H11" i="107"/>
  <c r="H11" i="108" s="1"/>
  <c r="G11" i="107"/>
  <c r="G11" i="108" s="1"/>
  <c r="F11" i="107"/>
  <c r="F11" i="108" s="1"/>
  <c r="I10" i="107"/>
  <c r="I10" i="108" s="1"/>
  <c r="H10" i="107"/>
  <c r="H10" i="108" s="1"/>
  <c r="G10" i="107"/>
  <c r="G10" i="108" s="1"/>
  <c r="F10" i="107"/>
  <c r="F10" i="108" s="1"/>
  <c r="I9" i="107"/>
  <c r="I9" i="108" s="1"/>
  <c r="H9" i="107"/>
  <c r="H9" i="108" s="1"/>
  <c r="G9" i="107"/>
  <c r="G9" i="108" s="1"/>
  <c r="F9" i="107"/>
  <c r="F9" i="108" s="1"/>
  <c r="I8" i="107"/>
  <c r="I8" i="108" s="1"/>
  <c r="H8" i="107"/>
  <c r="H8" i="108" s="1"/>
  <c r="G8" i="107"/>
  <c r="G8" i="108" s="1"/>
  <c r="F8" i="107"/>
  <c r="F8" i="108" s="1"/>
  <c r="I7" i="107"/>
  <c r="I7" i="108" s="1"/>
  <c r="H7" i="107"/>
  <c r="H7" i="108" s="1"/>
  <c r="G7" i="107"/>
  <c r="G7" i="108" s="1"/>
  <c r="F7" i="107"/>
  <c r="F7" i="108" s="1"/>
  <c r="I6" i="107"/>
  <c r="I6" i="108" s="1"/>
  <c r="H6" i="107"/>
  <c r="H6" i="108" s="1"/>
  <c r="G6" i="107"/>
  <c r="G6" i="108" s="1"/>
  <c r="F6" i="107"/>
  <c r="F6" i="108" s="1"/>
  <c r="E35" i="107"/>
  <c r="E35" i="108" s="1"/>
  <c r="D35" i="107"/>
  <c r="D35" i="108" s="1"/>
  <c r="C35" i="107"/>
  <c r="C35" i="108" s="1"/>
  <c r="B35" i="107"/>
  <c r="B35" i="108" s="1"/>
  <c r="E34" i="107"/>
  <c r="E34" i="108" s="1"/>
  <c r="D34" i="107"/>
  <c r="D34" i="108" s="1"/>
  <c r="C34" i="107"/>
  <c r="C34" i="108" s="1"/>
  <c r="B34" i="107"/>
  <c r="B34" i="108" s="1"/>
  <c r="E33" i="107"/>
  <c r="E33" i="108" s="1"/>
  <c r="D33" i="107"/>
  <c r="D33" i="108" s="1"/>
  <c r="C33" i="107"/>
  <c r="C33" i="108" s="1"/>
  <c r="B33" i="107"/>
  <c r="B33" i="108" s="1"/>
  <c r="E32" i="107"/>
  <c r="E32" i="108" s="1"/>
  <c r="D32" i="107"/>
  <c r="D32" i="108" s="1"/>
  <c r="C32" i="107"/>
  <c r="C32" i="108" s="1"/>
  <c r="B32" i="107"/>
  <c r="B32" i="108" s="1"/>
  <c r="E31" i="107"/>
  <c r="E31" i="108" s="1"/>
  <c r="D31" i="107"/>
  <c r="D31" i="108" s="1"/>
  <c r="C31" i="107"/>
  <c r="C31" i="108" s="1"/>
  <c r="B31" i="107"/>
  <c r="B31" i="108" s="1"/>
  <c r="E30" i="107"/>
  <c r="E30" i="108" s="1"/>
  <c r="D30" i="107"/>
  <c r="D30" i="108" s="1"/>
  <c r="C30" i="107"/>
  <c r="C30" i="108" s="1"/>
  <c r="B30" i="107"/>
  <c r="B30" i="108" s="1"/>
  <c r="E29" i="107"/>
  <c r="E29" i="108" s="1"/>
  <c r="D29" i="107"/>
  <c r="D29" i="108" s="1"/>
  <c r="C29" i="107"/>
  <c r="C29" i="108" s="1"/>
  <c r="B29" i="107"/>
  <c r="B29" i="108" s="1"/>
  <c r="E28" i="107"/>
  <c r="E28" i="108" s="1"/>
  <c r="D28" i="107"/>
  <c r="D28" i="108" s="1"/>
  <c r="C28" i="107"/>
  <c r="C28" i="108" s="1"/>
  <c r="B28" i="107"/>
  <c r="B28" i="108" s="1"/>
  <c r="E27" i="107"/>
  <c r="E27" i="108" s="1"/>
  <c r="D27" i="107"/>
  <c r="D27" i="108" s="1"/>
  <c r="C27" i="107"/>
  <c r="C27" i="108" s="1"/>
  <c r="B27" i="107"/>
  <c r="B27" i="108" s="1"/>
  <c r="E26" i="107"/>
  <c r="E26" i="108" s="1"/>
  <c r="D26" i="107"/>
  <c r="D26" i="108" s="1"/>
  <c r="C26" i="107"/>
  <c r="C26" i="108" s="1"/>
  <c r="B26" i="107"/>
  <c r="B26" i="108" s="1"/>
  <c r="E25" i="107"/>
  <c r="E25" i="108" s="1"/>
  <c r="D25" i="107"/>
  <c r="D25" i="108" s="1"/>
  <c r="C25" i="107"/>
  <c r="C25" i="108" s="1"/>
  <c r="B25" i="107"/>
  <c r="B25" i="108" s="1"/>
  <c r="E24" i="107"/>
  <c r="E24" i="108" s="1"/>
  <c r="D24" i="107"/>
  <c r="D24" i="108" s="1"/>
  <c r="C24" i="107"/>
  <c r="C24" i="108" s="1"/>
  <c r="B24" i="107"/>
  <c r="B24" i="108" s="1"/>
  <c r="E23" i="107"/>
  <c r="E23" i="108" s="1"/>
  <c r="D23" i="107"/>
  <c r="D23" i="108" s="1"/>
  <c r="C23" i="107"/>
  <c r="C23" i="108" s="1"/>
  <c r="B23" i="107"/>
  <c r="B23" i="108" s="1"/>
  <c r="E22" i="107"/>
  <c r="E22" i="108" s="1"/>
  <c r="D22" i="107"/>
  <c r="D22" i="108" s="1"/>
  <c r="C22" i="107"/>
  <c r="C22" i="108" s="1"/>
  <c r="B22" i="107"/>
  <c r="B22" i="108" s="1"/>
  <c r="E21" i="107"/>
  <c r="E21" i="108" s="1"/>
  <c r="D21" i="107"/>
  <c r="D21" i="108" s="1"/>
  <c r="C21" i="107"/>
  <c r="C21" i="108" s="1"/>
  <c r="B21" i="107"/>
  <c r="B21" i="108" s="1"/>
  <c r="E20" i="107"/>
  <c r="E20" i="108" s="1"/>
  <c r="D20" i="107"/>
  <c r="D20" i="108" s="1"/>
  <c r="C20" i="107"/>
  <c r="C20" i="108" s="1"/>
  <c r="B20" i="107"/>
  <c r="B20" i="108" s="1"/>
  <c r="E19" i="107"/>
  <c r="E19" i="108" s="1"/>
  <c r="D19" i="107"/>
  <c r="D19" i="108" s="1"/>
  <c r="C19" i="107"/>
  <c r="C19" i="108" s="1"/>
  <c r="B19" i="107"/>
  <c r="B19" i="108" s="1"/>
  <c r="E18" i="107"/>
  <c r="E18" i="108" s="1"/>
  <c r="D18" i="107"/>
  <c r="D18" i="108" s="1"/>
  <c r="C18" i="107"/>
  <c r="C18" i="108" s="1"/>
  <c r="B18" i="107"/>
  <c r="B18" i="108" s="1"/>
  <c r="E17" i="107"/>
  <c r="E17" i="108" s="1"/>
  <c r="D17" i="107"/>
  <c r="D17" i="108" s="1"/>
  <c r="C17" i="107"/>
  <c r="C17" i="108" s="1"/>
  <c r="B17" i="107"/>
  <c r="B17" i="108" s="1"/>
  <c r="E16" i="107"/>
  <c r="E16" i="108" s="1"/>
  <c r="D16" i="107"/>
  <c r="D16" i="108" s="1"/>
  <c r="C16" i="107"/>
  <c r="C16" i="108" s="1"/>
  <c r="B16" i="107"/>
  <c r="B16" i="108" s="1"/>
  <c r="E15" i="107"/>
  <c r="E15" i="108" s="1"/>
  <c r="D15" i="107"/>
  <c r="D15" i="108" s="1"/>
  <c r="C15" i="107"/>
  <c r="C15" i="108" s="1"/>
  <c r="B15" i="107"/>
  <c r="B15" i="108" s="1"/>
  <c r="E14" i="107"/>
  <c r="E14" i="108" s="1"/>
  <c r="D14" i="107"/>
  <c r="D14" i="108" s="1"/>
  <c r="C14" i="107"/>
  <c r="C14" i="108" s="1"/>
  <c r="B14" i="107"/>
  <c r="B14" i="108" s="1"/>
  <c r="E13" i="107"/>
  <c r="E13" i="108" s="1"/>
  <c r="D13" i="107"/>
  <c r="D13" i="108" s="1"/>
  <c r="C13" i="107"/>
  <c r="C13" i="108" s="1"/>
  <c r="B13" i="107"/>
  <c r="B13" i="108" s="1"/>
  <c r="E12" i="107"/>
  <c r="E12" i="108" s="1"/>
  <c r="D12" i="107"/>
  <c r="D12" i="108" s="1"/>
  <c r="C12" i="107"/>
  <c r="C12" i="108" s="1"/>
  <c r="B12" i="107"/>
  <c r="B12" i="108" s="1"/>
  <c r="E11" i="107"/>
  <c r="E11" i="108" s="1"/>
  <c r="D11" i="107"/>
  <c r="D11" i="108" s="1"/>
  <c r="C11" i="107"/>
  <c r="C11" i="108" s="1"/>
  <c r="B11" i="107"/>
  <c r="B11" i="108" s="1"/>
  <c r="E10" i="107"/>
  <c r="E10" i="108" s="1"/>
  <c r="D10" i="107"/>
  <c r="D10" i="108" s="1"/>
  <c r="C10" i="107"/>
  <c r="C10" i="108" s="1"/>
  <c r="B10" i="107"/>
  <c r="B10" i="108" s="1"/>
  <c r="E9" i="107"/>
  <c r="E9" i="108" s="1"/>
  <c r="D9" i="107"/>
  <c r="D9" i="108" s="1"/>
  <c r="C9" i="107"/>
  <c r="C9" i="108" s="1"/>
  <c r="B9" i="107"/>
  <c r="B9" i="108" s="1"/>
  <c r="E8" i="107"/>
  <c r="E8" i="108" s="1"/>
  <c r="D8" i="107"/>
  <c r="D8" i="108" s="1"/>
  <c r="C8" i="107"/>
  <c r="C8" i="108" s="1"/>
  <c r="B8" i="107"/>
  <c r="B8" i="108" s="1"/>
  <c r="E7" i="107"/>
  <c r="E7" i="108" s="1"/>
  <c r="D7" i="107"/>
  <c r="D7" i="108" s="1"/>
  <c r="C7" i="107"/>
  <c r="C7" i="108" s="1"/>
  <c r="B7" i="107"/>
  <c r="B7" i="108" s="1"/>
  <c r="E6" i="107"/>
  <c r="E6" i="108" s="1"/>
  <c r="D6" i="107"/>
  <c r="D6" i="108" s="1"/>
  <c r="C6" i="107"/>
  <c r="C6" i="108" s="1"/>
  <c r="B6" i="107"/>
  <c r="B6" i="108" s="1"/>
  <c r="A34"/>
  <c r="A35" s="1"/>
  <c r="A34" i="107"/>
  <c r="A35" s="1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5" i="106"/>
  <c r="M35" i="105" s="1"/>
  <c r="L35" i="106"/>
  <c r="L35" i="105" s="1"/>
  <c r="K35" i="106"/>
  <c r="K35" i="105" s="1"/>
  <c r="J35" i="106"/>
  <c r="J35" i="105" s="1"/>
  <c r="M34" i="106"/>
  <c r="M34" i="105" s="1"/>
  <c r="L34" i="106"/>
  <c r="L34" i="105" s="1"/>
  <c r="K34" i="106"/>
  <c r="K34" i="105" s="1"/>
  <c r="J34" i="106"/>
  <c r="J34" i="105" s="1"/>
  <c r="M33" i="106"/>
  <c r="M33" i="105" s="1"/>
  <c r="L33" i="106"/>
  <c r="L33" i="105" s="1"/>
  <c r="K33" i="106"/>
  <c r="K33" i="105" s="1"/>
  <c r="J33" i="106"/>
  <c r="J33" i="105" s="1"/>
  <c r="M32" i="106"/>
  <c r="M32" i="105" s="1"/>
  <c r="L32" i="106"/>
  <c r="L32" i="105" s="1"/>
  <c r="K32" i="106"/>
  <c r="K32" i="105" s="1"/>
  <c r="J32" i="106"/>
  <c r="J32" i="105" s="1"/>
  <c r="M31" i="106"/>
  <c r="M31" i="105" s="1"/>
  <c r="L31" i="106"/>
  <c r="L31" i="105" s="1"/>
  <c r="K31" i="106"/>
  <c r="K31" i="105" s="1"/>
  <c r="J31" i="106"/>
  <c r="J31" i="105" s="1"/>
  <c r="M30" i="106"/>
  <c r="M30" i="105" s="1"/>
  <c r="L30" i="106"/>
  <c r="L30" i="105" s="1"/>
  <c r="K30" i="106"/>
  <c r="K30" i="105" s="1"/>
  <c r="J30" i="106"/>
  <c r="J30" i="105" s="1"/>
  <c r="M29" i="106"/>
  <c r="M29" i="105" s="1"/>
  <c r="L29" i="106"/>
  <c r="L29" i="105" s="1"/>
  <c r="K29" i="106"/>
  <c r="K29" i="105" s="1"/>
  <c r="J29" i="106"/>
  <c r="J29" i="105" s="1"/>
  <c r="M28" i="106"/>
  <c r="M28" i="105" s="1"/>
  <c r="L28" i="106"/>
  <c r="L28" i="105" s="1"/>
  <c r="K28" i="106"/>
  <c r="K28" i="105" s="1"/>
  <c r="J28" i="106"/>
  <c r="J28" i="105" s="1"/>
  <c r="M27" i="106"/>
  <c r="M27" i="105" s="1"/>
  <c r="L27" i="106"/>
  <c r="L27" i="105" s="1"/>
  <c r="K27" i="106"/>
  <c r="K27" i="105" s="1"/>
  <c r="J27" i="106"/>
  <c r="J27" i="105" s="1"/>
  <c r="M26" i="106"/>
  <c r="M26" i="105" s="1"/>
  <c r="L26" i="106"/>
  <c r="L26" i="105" s="1"/>
  <c r="K26" i="106"/>
  <c r="K26" i="105" s="1"/>
  <c r="J26" i="106"/>
  <c r="J26" i="105" s="1"/>
  <c r="M25" i="106"/>
  <c r="M25" i="105" s="1"/>
  <c r="L25" i="106"/>
  <c r="L25" i="105" s="1"/>
  <c r="K25" i="106"/>
  <c r="K25" i="105" s="1"/>
  <c r="J25" i="106"/>
  <c r="J25" i="105" s="1"/>
  <c r="M24" i="106"/>
  <c r="M24" i="105" s="1"/>
  <c r="L24" i="106"/>
  <c r="L24" i="105" s="1"/>
  <c r="K24" i="106"/>
  <c r="K24" i="105" s="1"/>
  <c r="J24" i="106"/>
  <c r="J24" i="105" s="1"/>
  <c r="M23" i="106"/>
  <c r="M23" i="105" s="1"/>
  <c r="L23" i="106"/>
  <c r="L23" i="105" s="1"/>
  <c r="K23" i="106"/>
  <c r="K23" i="105" s="1"/>
  <c r="J23" i="106"/>
  <c r="J23" i="105" s="1"/>
  <c r="M22" i="106"/>
  <c r="M22" i="105" s="1"/>
  <c r="L22" i="106"/>
  <c r="L22" i="105" s="1"/>
  <c r="K22" i="106"/>
  <c r="K22" i="105" s="1"/>
  <c r="J22" i="106"/>
  <c r="J22" i="105" s="1"/>
  <c r="M21" i="106"/>
  <c r="M21" i="105" s="1"/>
  <c r="L21" i="106"/>
  <c r="L21" i="105" s="1"/>
  <c r="K21" i="106"/>
  <c r="K21" i="105" s="1"/>
  <c r="J21" i="106"/>
  <c r="J21" i="105" s="1"/>
  <c r="M20" i="106"/>
  <c r="M20" i="105" s="1"/>
  <c r="L20" i="106"/>
  <c r="L20" i="105" s="1"/>
  <c r="K20" i="106"/>
  <c r="K20" i="105" s="1"/>
  <c r="J20" i="106"/>
  <c r="J20" i="105" s="1"/>
  <c r="M19" i="106"/>
  <c r="M19" i="105" s="1"/>
  <c r="L19" i="106"/>
  <c r="L19" i="105" s="1"/>
  <c r="K19" i="106"/>
  <c r="K19" i="105" s="1"/>
  <c r="J19" i="106"/>
  <c r="J19" i="105" s="1"/>
  <c r="M18" i="106"/>
  <c r="M18" i="105" s="1"/>
  <c r="L18" i="106"/>
  <c r="L18" i="105" s="1"/>
  <c r="K18" i="106"/>
  <c r="K18" i="105" s="1"/>
  <c r="J18" i="106"/>
  <c r="J18" i="105" s="1"/>
  <c r="M17" i="106"/>
  <c r="M17" i="105" s="1"/>
  <c r="L17" i="106"/>
  <c r="L17" i="105" s="1"/>
  <c r="K17" i="106"/>
  <c r="K17" i="105" s="1"/>
  <c r="J17" i="106"/>
  <c r="J17" i="105" s="1"/>
  <c r="M16" i="106"/>
  <c r="M16" i="105" s="1"/>
  <c r="L16" i="106"/>
  <c r="L16" i="105" s="1"/>
  <c r="K16" i="106"/>
  <c r="K16" i="105" s="1"/>
  <c r="J16" i="106"/>
  <c r="J16" i="105" s="1"/>
  <c r="M15" i="106"/>
  <c r="M15" i="105" s="1"/>
  <c r="L15" i="106"/>
  <c r="L15" i="105" s="1"/>
  <c r="K15" i="106"/>
  <c r="K15" i="105" s="1"/>
  <c r="J15" i="106"/>
  <c r="J15" i="105" s="1"/>
  <c r="M14" i="106"/>
  <c r="M14" i="105" s="1"/>
  <c r="L14" i="106"/>
  <c r="L14" i="105" s="1"/>
  <c r="K14" i="106"/>
  <c r="K14" i="105" s="1"/>
  <c r="J14" i="106"/>
  <c r="J14" i="105" s="1"/>
  <c r="M13" i="106"/>
  <c r="M13" i="105" s="1"/>
  <c r="L13" i="106"/>
  <c r="L13" i="105" s="1"/>
  <c r="K13" i="106"/>
  <c r="K13" i="105" s="1"/>
  <c r="J13" i="106"/>
  <c r="J13" i="105" s="1"/>
  <c r="M12" i="106"/>
  <c r="M12" i="105" s="1"/>
  <c r="L12" i="106"/>
  <c r="L12" i="105" s="1"/>
  <c r="K12" i="106"/>
  <c r="K12" i="105" s="1"/>
  <c r="J12" i="106"/>
  <c r="J12" i="105" s="1"/>
  <c r="M11" i="106"/>
  <c r="M11" i="105" s="1"/>
  <c r="L11" i="106"/>
  <c r="L11" i="105" s="1"/>
  <c r="K11" i="106"/>
  <c r="K11" i="105" s="1"/>
  <c r="J11" i="106"/>
  <c r="J11" i="105" s="1"/>
  <c r="M10" i="106"/>
  <c r="M10" i="105" s="1"/>
  <c r="L10" i="106"/>
  <c r="L10" i="105" s="1"/>
  <c r="K10" i="106"/>
  <c r="K10" i="105" s="1"/>
  <c r="J10" i="106"/>
  <c r="J10" i="105" s="1"/>
  <c r="M9" i="106"/>
  <c r="M9" i="105" s="1"/>
  <c r="L9" i="106"/>
  <c r="L9" i="105" s="1"/>
  <c r="K9" i="106"/>
  <c r="K9" i="105" s="1"/>
  <c r="J9" i="106"/>
  <c r="J9" i="105" s="1"/>
  <c r="M8" i="106"/>
  <c r="M8" i="105" s="1"/>
  <c r="L8" i="106"/>
  <c r="L8" i="105" s="1"/>
  <c r="K8" i="106"/>
  <c r="K8" i="105" s="1"/>
  <c r="J8" i="106"/>
  <c r="J8" i="105" s="1"/>
  <c r="M7" i="106"/>
  <c r="M7" i="105" s="1"/>
  <c r="L7" i="106"/>
  <c r="L7" i="105" s="1"/>
  <c r="K7" i="106"/>
  <c r="K7" i="105" s="1"/>
  <c r="J7" i="106"/>
  <c r="J7" i="105" s="1"/>
  <c r="M6" i="106"/>
  <c r="M6" i="105" s="1"/>
  <c r="L6" i="106"/>
  <c r="L6" i="105" s="1"/>
  <c r="K6" i="106"/>
  <c r="K6" i="105" s="1"/>
  <c r="J6" i="106"/>
  <c r="J6" i="105" s="1"/>
  <c r="I35" i="106"/>
  <c r="I35" i="105" s="1"/>
  <c r="H35" i="106"/>
  <c r="H35" i="105" s="1"/>
  <c r="G35" i="106"/>
  <c r="G35" i="105" s="1"/>
  <c r="F35" i="106"/>
  <c r="F35" i="105" s="1"/>
  <c r="I34" i="106"/>
  <c r="I34" i="105" s="1"/>
  <c r="H34" i="106"/>
  <c r="H34" i="105" s="1"/>
  <c r="G34" i="106"/>
  <c r="G34" i="105" s="1"/>
  <c r="F34" i="106"/>
  <c r="F34" i="105" s="1"/>
  <c r="I33" i="106"/>
  <c r="I33" i="105" s="1"/>
  <c r="H33" i="106"/>
  <c r="H33" i="105" s="1"/>
  <c r="G33" i="106"/>
  <c r="G33" i="105" s="1"/>
  <c r="F33" i="106"/>
  <c r="F33" i="105" s="1"/>
  <c r="I32" i="106"/>
  <c r="I32" i="105" s="1"/>
  <c r="H32" i="106"/>
  <c r="H32" i="105" s="1"/>
  <c r="G32" i="106"/>
  <c r="G32" i="105" s="1"/>
  <c r="F32" i="106"/>
  <c r="F32" i="105" s="1"/>
  <c r="I31" i="106"/>
  <c r="I31" i="105" s="1"/>
  <c r="H31" i="106"/>
  <c r="H31" i="105" s="1"/>
  <c r="G31" i="106"/>
  <c r="G31" i="105" s="1"/>
  <c r="F31" i="106"/>
  <c r="F31" i="105" s="1"/>
  <c r="I30" i="106"/>
  <c r="I30" i="105" s="1"/>
  <c r="H30" i="106"/>
  <c r="H30" i="105" s="1"/>
  <c r="G30" i="106"/>
  <c r="G30" i="105" s="1"/>
  <c r="F30" i="106"/>
  <c r="F30" i="105" s="1"/>
  <c r="I29" i="106"/>
  <c r="I29" i="105" s="1"/>
  <c r="H29" i="106"/>
  <c r="H29" i="105" s="1"/>
  <c r="G29" i="106"/>
  <c r="G29" i="105" s="1"/>
  <c r="F29" i="106"/>
  <c r="F29" i="105" s="1"/>
  <c r="I28" i="106"/>
  <c r="I28" i="105" s="1"/>
  <c r="H28" i="106"/>
  <c r="H28" i="105" s="1"/>
  <c r="G28" i="106"/>
  <c r="G28" i="105" s="1"/>
  <c r="F28" i="106"/>
  <c r="F28" i="105" s="1"/>
  <c r="I27" i="106"/>
  <c r="I27" i="105" s="1"/>
  <c r="H27" i="106"/>
  <c r="H27" i="105" s="1"/>
  <c r="G27" i="106"/>
  <c r="G27" i="105" s="1"/>
  <c r="F27" i="106"/>
  <c r="F27" i="105" s="1"/>
  <c r="I26" i="106"/>
  <c r="I26" i="105" s="1"/>
  <c r="H26" i="106"/>
  <c r="H26" i="105" s="1"/>
  <c r="G26" i="106"/>
  <c r="G26" i="105" s="1"/>
  <c r="F26" i="106"/>
  <c r="F26" i="105" s="1"/>
  <c r="I25" i="106"/>
  <c r="I25" i="105" s="1"/>
  <c r="H25" i="106"/>
  <c r="H25" i="105" s="1"/>
  <c r="G25" i="106"/>
  <c r="G25" i="105" s="1"/>
  <c r="F25" i="106"/>
  <c r="F25" i="105" s="1"/>
  <c r="I24" i="106"/>
  <c r="I24" i="105" s="1"/>
  <c r="H24" i="106"/>
  <c r="H24" i="105" s="1"/>
  <c r="G24" i="106"/>
  <c r="G24" i="105" s="1"/>
  <c r="F24" i="106"/>
  <c r="F24" i="105" s="1"/>
  <c r="I23" i="106"/>
  <c r="I23" i="105" s="1"/>
  <c r="H23" i="106"/>
  <c r="H23" i="105" s="1"/>
  <c r="G23" i="106"/>
  <c r="G23" i="105" s="1"/>
  <c r="F23" i="106"/>
  <c r="F23" i="105" s="1"/>
  <c r="I22" i="106"/>
  <c r="I22" i="105" s="1"/>
  <c r="H22" i="106"/>
  <c r="H22" i="105" s="1"/>
  <c r="G22" i="106"/>
  <c r="G22" i="105" s="1"/>
  <c r="F22" i="106"/>
  <c r="F22" i="105" s="1"/>
  <c r="I21" i="106"/>
  <c r="I21" i="105" s="1"/>
  <c r="H21" i="106"/>
  <c r="H21" i="105" s="1"/>
  <c r="G21" i="106"/>
  <c r="G21" i="105" s="1"/>
  <c r="F21" i="106"/>
  <c r="F21" i="105" s="1"/>
  <c r="I20" i="106"/>
  <c r="I20" i="105" s="1"/>
  <c r="H20" i="106"/>
  <c r="H20" i="105" s="1"/>
  <c r="G20" i="106"/>
  <c r="G20" i="105" s="1"/>
  <c r="F20" i="106"/>
  <c r="F20" i="105" s="1"/>
  <c r="I19" i="106"/>
  <c r="I19" i="105" s="1"/>
  <c r="H19" i="106"/>
  <c r="H19" i="105" s="1"/>
  <c r="G19" i="106"/>
  <c r="G19" i="105" s="1"/>
  <c r="F19" i="106"/>
  <c r="F19" i="105" s="1"/>
  <c r="I18" i="106"/>
  <c r="I18" i="105" s="1"/>
  <c r="H18" i="106"/>
  <c r="H18" i="105" s="1"/>
  <c r="G18" i="106"/>
  <c r="G18" i="105" s="1"/>
  <c r="F18" i="106"/>
  <c r="F18" i="105" s="1"/>
  <c r="I17" i="106"/>
  <c r="I17" i="105" s="1"/>
  <c r="H17" i="106"/>
  <c r="H17" i="105" s="1"/>
  <c r="G17" i="106"/>
  <c r="G17" i="105" s="1"/>
  <c r="F17" i="106"/>
  <c r="F17" i="105" s="1"/>
  <c r="I16" i="106"/>
  <c r="I16" i="105" s="1"/>
  <c r="H16" i="106"/>
  <c r="H16" i="105" s="1"/>
  <c r="G16" i="106"/>
  <c r="G16" i="105" s="1"/>
  <c r="F16" i="106"/>
  <c r="F16" i="105" s="1"/>
  <c r="I15" i="106"/>
  <c r="I15" i="105" s="1"/>
  <c r="H15" i="106"/>
  <c r="H15" i="105" s="1"/>
  <c r="G15" i="106"/>
  <c r="G15" i="105" s="1"/>
  <c r="F15" i="106"/>
  <c r="F15" i="105" s="1"/>
  <c r="I14" i="106"/>
  <c r="I14" i="105" s="1"/>
  <c r="H14" i="106"/>
  <c r="H14" i="105" s="1"/>
  <c r="G14" i="106"/>
  <c r="G14" i="105" s="1"/>
  <c r="F14" i="106"/>
  <c r="F14" i="105" s="1"/>
  <c r="I13" i="106"/>
  <c r="I13" i="105" s="1"/>
  <c r="H13" i="106"/>
  <c r="H13" i="105" s="1"/>
  <c r="G13" i="106"/>
  <c r="G13" i="105" s="1"/>
  <c r="F13" i="106"/>
  <c r="F13" i="105" s="1"/>
  <c r="I12" i="106"/>
  <c r="I12" i="105" s="1"/>
  <c r="H12" i="106"/>
  <c r="H12" i="105" s="1"/>
  <c r="G12" i="106"/>
  <c r="G12" i="105" s="1"/>
  <c r="F12" i="106"/>
  <c r="F12" i="105" s="1"/>
  <c r="I11" i="106"/>
  <c r="I11" i="105" s="1"/>
  <c r="H11" i="106"/>
  <c r="H11" i="105" s="1"/>
  <c r="G11" i="106"/>
  <c r="G11" i="105" s="1"/>
  <c r="F11" i="106"/>
  <c r="F11" i="105" s="1"/>
  <c r="I10" i="106"/>
  <c r="I10" i="105" s="1"/>
  <c r="H10" i="106"/>
  <c r="H10" i="105" s="1"/>
  <c r="G10" i="106"/>
  <c r="G10" i="105" s="1"/>
  <c r="F10" i="106"/>
  <c r="F10" i="105" s="1"/>
  <c r="I9" i="106"/>
  <c r="I9" i="105" s="1"/>
  <c r="H9" i="106"/>
  <c r="H9" i="105" s="1"/>
  <c r="G9" i="106"/>
  <c r="G9" i="105" s="1"/>
  <c r="F9" i="106"/>
  <c r="F9" i="105" s="1"/>
  <c r="I8" i="106"/>
  <c r="I8" i="105" s="1"/>
  <c r="H8" i="106"/>
  <c r="H8" i="105" s="1"/>
  <c r="G8" i="106"/>
  <c r="G8" i="105" s="1"/>
  <c r="F8" i="106"/>
  <c r="F8" i="105" s="1"/>
  <c r="I7" i="106"/>
  <c r="I7" i="105" s="1"/>
  <c r="H7" i="106"/>
  <c r="H7" i="105" s="1"/>
  <c r="G7" i="106"/>
  <c r="G7" i="105" s="1"/>
  <c r="F7" i="106"/>
  <c r="F7" i="105" s="1"/>
  <c r="I6" i="106"/>
  <c r="I6" i="105" s="1"/>
  <c r="H6" i="106"/>
  <c r="H6" i="105" s="1"/>
  <c r="G6" i="106"/>
  <c r="G6" i="105" s="1"/>
  <c r="F6" i="106"/>
  <c r="F6" i="105" s="1"/>
  <c r="E35" i="106"/>
  <c r="E35" i="105" s="1"/>
  <c r="D35" i="106"/>
  <c r="D35" i="105" s="1"/>
  <c r="C35" i="106"/>
  <c r="C35" i="105" s="1"/>
  <c r="B35" i="106"/>
  <c r="B35" i="105" s="1"/>
  <c r="E34" i="106"/>
  <c r="E34" i="105" s="1"/>
  <c r="D34" i="106"/>
  <c r="D34" i="105" s="1"/>
  <c r="C34" i="106"/>
  <c r="C34" i="105" s="1"/>
  <c r="B34" i="106"/>
  <c r="B34" i="105" s="1"/>
  <c r="E33" i="106"/>
  <c r="E33" i="105" s="1"/>
  <c r="D33" i="106"/>
  <c r="D33" i="105" s="1"/>
  <c r="C33" i="106"/>
  <c r="C33" i="105" s="1"/>
  <c r="B33" i="106"/>
  <c r="B33" i="105" s="1"/>
  <c r="E32" i="106"/>
  <c r="E32" i="105" s="1"/>
  <c r="D32" i="106"/>
  <c r="D32" i="105" s="1"/>
  <c r="C32" i="106"/>
  <c r="C32" i="105" s="1"/>
  <c r="B32" i="106"/>
  <c r="B32" i="105" s="1"/>
  <c r="E31" i="106"/>
  <c r="E31" i="105" s="1"/>
  <c r="D31" i="106"/>
  <c r="D31" i="105" s="1"/>
  <c r="C31" i="106"/>
  <c r="C31" i="105" s="1"/>
  <c r="B31" i="106"/>
  <c r="B31" i="105" s="1"/>
  <c r="E30" i="106"/>
  <c r="E30" i="105" s="1"/>
  <c r="D30" i="106"/>
  <c r="D30" i="105" s="1"/>
  <c r="C30" i="106"/>
  <c r="C30" i="105" s="1"/>
  <c r="B30" i="106"/>
  <c r="B30" i="105" s="1"/>
  <c r="E29" i="106"/>
  <c r="E29" i="105" s="1"/>
  <c r="D29" i="106"/>
  <c r="D29" i="105" s="1"/>
  <c r="C29" i="106"/>
  <c r="C29" i="105" s="1"/>
  <c r="B29" i="106"/>
  <c r="B29" i="105" s="1"/>
  <c r="E28" i="106"/>
  <c r="E28" i="105" s="1"/>
  <c r="D28" i="106"/>
  <c r="D28" i="105" s="1"/>
  <c r="C28" i="106"/>
  <c r="C28" i="105" s="1"/>
  <c r="B28" i="106"/>
  <c r="B28" i="105" s="1"/>
  <c r="E27" i="106"/>
  <c r="E27" i="105" s="1"/>
  <c r="D27" i="106"/>
  <c r="D27" i="105" s="1"/>
  <c r="C27" i="106"/>
  <c r="C27" i="105" s="1"/>
  <c r="B27" i="106"/>
  <c r="B27" i="105" s="1"/>
  <c r="E26" i="106"/>
  <c r="E26" i="105" s="1"/>
  <c r="D26" i="106"/>
  <c r="D26" i="105" s="1"/>
  <c r="C26" i="106"/>
  <c r="C26" i="105" s="1"/>
  <c r="B26" i="106"/>
  <c r="B26" i="105" s="1"/>
  <c r="E25" i="106"/>
  <c r="E25" i="105" s="1"/>
  <c r="D25" i="106"/>
  <c r="D25" i="105" s="1"/>
  <c r="C25" i="106"/>
  <c r="C25" i="105" s="1"/>
  <c r="B25" i="106"/>
  <c r="B25" i="105" s="1"/>
  <c r="E24" i="106"/>
  <c r="E24" i="105" s="1"/>
  <c r="D24" i="106"/>
  <c r="D24" i="105" s="1"/>
  <c r="C24" i="106"/>
  <c r="C24" i="105" s="1"/>
  <c r="B24" i="106"/>
  <c r="B24" i="105" s="1"/>
  <c r="E23" i="106"/>
  <c r="E23" i="105" s="1"/>
  <c r="D23" i="106"/>
  <c r="D23" i="105" s="1"/>
  <c r="C23" i="106"/>
  <c r="C23" i="105" s="1"/>
  <c r="B23" i="106"/>
  <c r="B23" i="105" s="1"/>
  <c r="E22" i="106"/>
  <c r="E22" i="105" s="1"/>
  <c r="D22" i="106"/>
  <c r="D22" i="105" s="1"/>
  <c r="C22" i="106"/>
  <c r="C22" i="105" s="1"/>
  <c r="B22" i="106"/>
  <c r="B22" i="105" s="1"/>
  <c r="E21" i="106"/>
  <c r="E21" i="105" s="1"/>
  <c r="D21" i="106"/>
  <c r="D21" i="105" s="1"/>
  <c r="C21" i="106"/>
  <c r="C21" i="105" s="1"/>
  <c r="B21" i="106"/>
  <c r="B21" i="105" s="1"/>
  <c r="E20" i="106"/>
  <c r="E20" i="105" s="1"/>
  <c r="D20" i="106"/>
  <c r="D20" i="105" s="1"/>
  <c r="C20" i="106"/>
  <c r="C20" i="105" s="1"/>
  <c r="B20" i="106"/>
  <c r="B20" i="105" s="1"/>
  <c r="E19" i="106"/>
  <c r="E19" i="105" s="1"/>
  <c r="D19" i="106"/>
  <c r="D19" i="105" s="1"/>
  <c r="C19" i="106"/>
  <c r="C19" i="105" s="1"/>
  <c r="B19" i="106"/>
  <c r="B19" i="105" s="1"/>
  <c r="E18" i="106"/>
  <c r="E18" i="105" s="1"/>
  <c r="D18" i="106"/>
  <c r="D18" i="105" s="1"/>
  <c r="C18" i="106"/>
  <c r="C18" i="105" s="1"/>
  <c r="B18" i="106"/>
  <c r="B18" i="105" s="1"/>
  <c r="E17" i="106"/>
  <c r="E17" i="105" s="1"/>
  <c r="D17" i="106"/>
  <c r="D17" i="105" s="1"/>
  <c r="C17" i="106"/>
  <c r="C17" i="105" s="1"/>
  <c r="B17" i="106"/>
  <c r="B17" i="105" s="1"/>
  <c r="E16" i="106"/>
  <c r="E16" i="105" s="1"/>
  <c r="D16" i="106"/>
  <c r="D16" i="105" s="1"/>
  <c r="C16" i="106"/>
  <c r="C16" i="105" s="1"/>
  <c r="B16" i="106"/>
  <c r="B16" i="105" s="1"/>
  <c r="E15" i="106"/>
  <c r="E15" i="105" s="1"/>
  <c r="D15" i="106"/>
  <c r="D15" i="105" s="1"/>
  <c r="C15" i="106"/>
  <c r="C15" i="105" s="1"/>
  <c r="B15" i="106"/>
  <c r="B15" i="105" s="1"/>
  <c r="E14" i="106"/>
  <c r="E14" i="105" s="1"/>
  <c r="D14" i="106"/>
  <c r="D14" i="105" s="1"/>
  <c r="C14" i="106"/>
  <c r="C14" i="105" s="1"/>
  <c r="B14" i="106"/>
  <c r="B14" i="105" s="1"/>
  <c r="E13" i="106"/>
  <c r="E13" i="105" s="1"/>
  <c r="D13" i="106"/>
  <c r="D13" i="105" s="1"/>
  <c r="C13" i="106"/>
  <c r="C13" i="105" s="1"/>
  <c r="B13" i="106"/>
  <c r="B13" i="105" s="1"/>
  <c r="E12" i="106"/>
  <c r="E12" i="105" s="1"/>
  <c r="D12" i="106"/>
  <c r="D12" i="105" s="1"/>
  <c r="C12" i="106"/>
  <c r="C12" i="105" s="1"/>
  <c r="B12" i="106"/>
  <c r="B12" i="105" s="1"/>
  <c r="E11" i="106"/>
  <c r="E11" i="105" s="1"/>
  <c r="D11" i="106"/>
  <c r="D11" i="105" s="1"/>
  <c r="C11" i="106"/>
  <c r="C11" i="105" s="1"/>
  <c r="B11" i="106"/>
  <c r="B11" i="105" s="1"/>
  <c r="E10" i="106"/>
  <c r="E10" i="105" s="1"/>
  <c r="D10" i="106"/>
  <c r="D10" i="105" s="1"/>
  <c r="C10" i="106"/>
  <c r="C10" i="105" s="1"/>
  <c r="B10" i="106"/>
  <c r="B10" i="105" s="1"/>
  <c r="E9" i="106"/>
  <c r="E9" i="105" s="1"/>
  <c r="D9" i="106"/>
  <c r="D9" i="105" s="1"/>
  <c r="C9" i="106"/>
  <c r="C9" i="105" s="1"/>
  <c r="B9" i="106"/>
  <c r="B9" i="105" s="1"/>
  <c r="E8" i="106"/>
  <c r="E8" i="105" s="1"/>
  <c r="D8" i="106"/>
  <c r="D8" i="105" s="1"/>
  <c r="C8" i="106"/>
  <c r="C8" i="105" s="1"/>
  <c r="B8" i="106"/>
  <c r="B8" i="105" s="1"/>
  <c r="E7" i="106"/>
  <c r="E7" i="105" s="1"/>
  <c r="D7" i="106"/>
  <c r="D7" i="105" s="1"/>
  <c r="C7" i="106"/>
  <c r="C7" i="105" s="1"/>
  <c r="B7" i="106"/>
  <c r="B7" i="105" s="1"/>
  <c r="E6" i="106"/>
  <c r="E6" i="105" s="1"/>
  <c r="D6" i="106"/>
  <c r="D6" i="105" s="1"/>
  <c r="C6" i="106"/>
  <c r="C6" i="105" s="1"/>
  <c r="B6" i="106"/>
  <c r="B6" i="105" s="1"/>
  <c r="A34"/>
  <c r="A35" s="1"/>
  <c r="A34" i="106"/>
  <c r="A35" s="1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5" i="104"/>
  <c r="M35" i="103" s="1"/>
  <c r="L35" i="104"/>
  <c r="L35" i="103" s="1"/>
  <c r="K35" i="104"/>
  <c r="K35" i="103" s="1"/>
  <c r="J35" i="104"/>
  <c r="J35" i="103" s="1"/>
  <c r="M34" i="104"/>
  <c r="M34" i="103" s="1"/>
  <c r="L34" i="104"/>
  <c r="L34" i="103" s="1"/>
  <c r="K34" i="104"/>
  <c r="K34" i="103" s="1"/>
  <c r="J34" i="104"/>
  <c r="J34" i="103" s="1"/>
  <c r="M33" i="104"/>
  <c r="M33" i="103" s="1"/>
  <c r="L33" i="104"/>
  <c r="L33" i="103" s="1"/>
  <c r="K33" i="104"/>
  <c r="K33" i="103" s="1"/>
  <c r="J33" i="104"/>
  <c r="J33" i="103" s="1"/>
  <c r="M32" i="104"/>
  <c r="M32" i="103" s="1"/>
  <c r="L32" i="104"/>
  <c r="L32" i="103" s="1"/>
  <c r="K32" i="104"/>
  <c r="K32" i="103" s="1"/>
  <c r="J32" i="104"/>
  <c r="J32" i="103" s="1"/>
  <c r="M31" i="104"/>
  <c r="M31" i="103" s="1"/>
  <c r="L31" i="104"/>
  <c r="L31" i="103" s="1"/>
  <c r="K31" i="104"/>
  <c r="K31" i="103" s="1"/>
  <c r="J31" i="104"/>
  <c r="J31" i="103" s="1"/>
  <c r="M30" i="104"/>
  <c r="M30" i="103" s="1"/>
  <c r="L30" i="104"/>
  <c r="L30" i="103" s="1"/>
  <c r="K30" i="104"/>
  <c r="K30" i="103" s="1"/>
  <c r="J30" i="104"/>
  <c r="J30" i="103" s="1"/>
  <c r="M29" i="104"/>
  <c r="M29" i="103" s="1"/>
  <c r="L29" i="104"/>
  <c r="L29" i="103" s="1"/>
  <c r="K29" i="104"/>
  <c r="K29" i="103" s="1"/>
  <c r="J29" i="104"/>
  <c r="J29" i="103" s="1"/>
  <c r="M28" i="104"/>
  <c r="M28" i="103" s="1"/>
  <c r="L28" i="104"/>
  <c r="L28" i="103" s="1"/>
  <c r="K28" i="104"/>
  <c r="K28" i="103" s="1"/>
  <c r="J28" i="104"/>
  <c r="J28" i="103" s="1"/>
  <c r="M27" i="104"/>
  <c r="M27" i="103" s="1"/>
  <c r="L27" i="104"/>
  <c r="L27" i="103" s="1"/>
  <c r="K27" i="104"/>
  <c r="K27" i="103" s="1"/>
  <c r="J27" i="104"/>
  <c r="J27" i="103" s="1"/>
  <c r="M26" i="104"/>
  <c r="M26" i="103" s="1"/>
  <c r="L26" i="104"/>
  <c r="L26" i="103" s="1"/>
  <c r="K26" i="104"/>
  <c r="K26" i="103" s="1"/>
  <c r="J26" i="104"/>
  <c r="J26" i="103" s="1"/>
  <c r="M25" i="104"/>
  <c r="M25" i="103" s="1"/>
  <c r="L25" i="104"/>
  <c r="L25" i="103" s="1"/>
  <c r="K25" i="104"/>
  <c r="K25" i="103" s="1"/>
  <c r="J25" i="104"/>
  <c r="J25" i="103" s="1"/>
  <c r="M24" i="104"/>
  <c r="M24" i="103" s="1"/>
  <c r="L24" i="104"/>
  <c r="L24" i="103" s="1"/>
  <c r="K24" i="104"/>
  <c r="K24" i="103" s="1"/>
  <c r="J24" i="104"/>
  <c r="J24" i="103" s="1"/>
  <c r="M23" i="104"/>
  <c r="M23" i="103" s="1"/>
  <c r="L23" i="104"/>
  <c r="L23" i="103" s="1"/>
  <c r="K23" i="104"/>
  <c r="K23" i="103" s="1"/>
  <c r="J23" i="104"/>
  <c r="J23" i="103" s="1"/>
  <c r="M22" i="104"/>
  <c r="M22" i="103" s="1"/>
  <c r="L22" i="104"/>
  <c r="L22" i="103" s="1"/>
  <c r="K22" i="104"/>
  <c r="K22" i="103" s="1"/>
  <c r="J22" i="104"/>
  <c r="J22" i="103" s="1"/>
  <c r="M21" i="104"/>
  <c r="M21" i="103" s="1"/>
  <c r="L21" i="104"/>
  <c r="L21" i="103" s="1"/>
  <c r="K21" i="104"/>
  <c r="K21" i="103" s="1"/>
  <c r="J21" i="104"/>
  <c r="J21" i="103" s="1"/>
  <c r="M20" i="104"/>
  <c r="M20" i="103" s="1"/>
  <c r="L20" i="104"/>
  <c r="L20" i="103" s="1"/>
  <c r="K20" i="104"/>
  <c r="K20" i="103" s="1"/>
  <c r="J20" i="104"/>
  <c r="J20" i="103" s="1"/>
  <c r="M19" i="104"/>
  <c r="M19" i="103" s="1"/>
  <c r="L19" i="104"/>
  <c r="L19" i="103" s="1"/>
  <c r="K19" i="104"/>
  <c r="K19" i="103" s="1"/>
  <c r="J19" i="104"/>
  <c r="J19" i="103" s="1"/>
  <c r="M18" i="104"/>
  <c r="M18" i="103" s="1"/>
  <c r="L18" i="104"/>
  <c r="L18" i="103" s="1"/>
  <c r="K18" i="104"/>
  <c r="K18" i="103" s="1"/>
  <c r="J18" i="104"/>
  <c r="J18" i="103" s="1"/>
  <c r="M17" i="104"/>
  <c r="M17" i="103" s="1"/>
  <c r="L17" i="104"/>
  <c r="L17" i="103" s="1"/>
  <c r="K17" i="104"/>
  <c r="K17" i="103" s="1"/>
  <c r="J17" i="104"/>
  <c r="J17" i="103" s="1"/>
  <c r="M16" i="104"/>
  <c r="M16" i="103" s="1"/>
  <c r="L16" i="104"/>
  <c r="L16" i="103" s="1"/>
  <c r="K16" i="104"/>
  <c r="K16" i="103" s="1"/>
  <c r="J16" i="104"/>
  <c r="J16" i="103" s="1"/>
  <c r="M15" i="104"/>
  <c r="M15" i="103" s="1"/>
  <c r="L15" i="104"/>
  <c r="L15" i="103" s="1"/>
  <c r="K15" i="104"/>
  <c r="K15" i="103" s="1"/>
  <c r="J15" i="104"/>
  <c r="J15" i="103" s="1"/>
  <c r="M14" i="104"/>
  <c r="M14" i="103" s="1"/>
  <c r="L14" i="104"/>
  <c r="L14" i="103" s="1"/>
  <c r="K14" i="104"/>
  <c r="K14" i="103" s="1"/>
  <c r="J14" i="104"/>
  <c r="J14" i="103" s="1"/>
  <c r="M13" i="104"/>
  <c r="M13" i="103" s="1"/>
  <c r="L13" i="104"/>
  <c r="L13" i="103" s="1"/>
  <c r="K13" i="104"/>
  <c r="K13" i="103" s="1"/>
  <c r="J13" i="104"/>
  <c r="J13" i="103" s="1"/>
  <c r="M12" i="104"/>
  <c r="M12" i="103" s="1"/>
  <c r="L12" i="104"/>
  <c r="L12" i="103" s="1"/>
  <c r="K12" i="104"/>
  <c r="K12" i="103" s="1"/>
  <c r="J12" i="104"/>
  <c r="J12" i="103" s="1"/>
  <c r="M11" i="104"/>
  <c r="M11" i="103" s="1"/>
  <c r="L11" i="104"/>
  <c r="L11" i="103" s="1"/>
  <c r="K11" i="104"/>
  <c r="K11" i="103" s="1"/>
  <c r="J11" i="104"/>
  <c r="J11" i="103" s="1"/>
  <c r="M10" i="104"/>
  <c r="M10" i="103" s="1"/>
  <c r="L10" i="104"/>
  <c r="L10" i="103" s="1"/>
  <c r="K10" i="104"/>
  <c r="K10" i="103" s="1"/>
  <c r="J10" i="104"/>
  <c r="J10" i="103" s="1"/>
  <c r="M9" i="104"/>
  <c r="M9" i="103" s="1"/>
  <c r="L9" i="104"/>
  <c r="L9" i="103" s="1"/>
  <c r="K9" i="104"/>
  <c r="K9" i="103" s="1"/>
  <c r="J9" i="104"/>
  <c r="J9" i="103" s="1"/>
  <c r="M8" i="104"/>
  <c r="M8" i="103" s="1"/>
  <c r="L8" i="104"/>
  <c r="L8" i="103" s="1"/>
  <c r="K8" i="104"/>
  <c r="K8" i="103" s="1"/>
  <c r="J8" i="104"/>
  <c r="J8" i="103" s="1"/>
  <c r="M7" i="104"/>
  <c r="M7" i="103" s="1"/>
  <c r="L7" i="104"/>
  <c r="L7" i="103" s="1"/>
  <c r="K7" i="104"/>
  <c r="K7" i="103" s="1"/>
  <c r="J7" i="104"/>
  <c r="J7" i="103" s="1"/>
  <c r="M6" i="104"/>
  <c r="M6" i="103" s="1"/>
  <c r="L6" i="104"/>
  <c r="L6" i="103" s="1"/>
  <c r="K6" i="104"/>
  <c r="K6" i="103" s="1"/>
  <c r="J6" i="104"/>
  <c r="J6" i="103" s="1"/>
  <c r="I35" i="104"/>
  <c r="I35" i="103" s="1"/>
  <c r="H35" i="104"/>
  <c r="H35" i="103" s="1"/>
  <c r="G35" i="104"/>
  <c r="G35" i="103" s="1"/>
  <c r="F35" i="104"/>
  <c r="F35" i="103" s="1"/>
  <c r="I34" i="104"/>
  <c r="I34" i="103" s="1"/>
  <c r="H34" i="104"/>
  <c r="H34" i="103" s="1"/>
  <c r="G34" i="104"/>
  <c r="G34" i="103" s="1"/>
  <c r="F34" i="104"/>
  <c r="F34" i="103" s="1"/>
  <c r="I33" i="104"/>
  <c r="I33" i="103" s="1"/>
  <c r="H33" i="104"/>
  <c r="H33" i="103" s="1"/>
  <c r="G33" i="104"/>
  <c r="G33" i="103" s="1"/>
  <c r="F33" i="104"/>
  <c r="F33" i="103" s="1"/>
  <c r="I32" i="104"/>
  <c r="I32" i="103" s="1"/>
  <c r="H32" i="104"/>
  <c r="H32" i="103" s="1"/>
  <c r="G32" i="104"/>
  <c r="G32" i="103" s="1"/>
  <c r="F32" i="104"/>
  <c r="F32" i="103" s="1"/>
  <c r="I31" i="104"/>
  <c r="I31" i="103" s="1"/>
  <c r="H31" i="104"/>
  <c r="H31" i="103" s="1"/>
  <c r="G31" i="104"/>
  <c r="G31" i="103" s="1"/>
  <c r="F31" i="104"/>
  <c r="F31" i="103" s="1"/>
  <c r="I30" i="104"/>
  <c r="I30" i="103" s="1"/>
  <c r="H30" i="104"/>
  <c r="H30" i="103" s="1"/>
  <c r="G30" i="104"/>
  <c r="G30" i="103" s="1"/>
  <c r="F30" i="104"/>
  <c r="F30" i="103" s="1"/>
  <c r="I29" i="104"/>
  <c r="I29" i="103" s="1"/>
  <c r="H29" i="104"/>
  <c r="H29" i="103" s="1"/>
  <c r="G29" i="104"/>
  <c r="G29" i="103" s="1"/>
  <c r="F29" i="104"/>
  <c r="F29" i="103" s="1"/>
  <c r="I28" i="104"/>
  <c r="I28" i="103" s="1"/>
  <c r="H28" i="104"/>
  <c r="H28" i="103" s="1"/>
  <c r="G28" i="104"/>
  <c r="G28" i="103" s="1"/>
  <c r="F28" i="104"/>
  <c r="F28" i="103" s="1"/>
  <c r="I27" i="104"/>
  <c r="I27" i="103" s="1"/>
  <c r="H27" i="104"/>
  <c r="H27" i="103" s="1"/>
  <c r="G27" i="104"/>
  <c r="G27" i="103" s="1"/>
  <c r="F27" i="104"/>
  <c r="F27" i="103" s="1"/>
  <c r="I26" i="104"/>
  <c r="I26" i="103" s="1"/>
  <c r="H26" i="104"/>
  <c r="H26" i="103" s="1"/>
  <c r="G26" i="104"/>
  <c r="G26" i="103" s="1"/>
  <c r="F26" i="104"/>
  <c r="F26" i="103" s="1"/>
  <c r="I25" i="104"/>
  <c r="I25" i="103" s="1"/>
  <c r="H25" i="104"/>
  <c r="H25" i="103" s="1"/>
  <c r="G25" i="104"/>
  <c r="G25" i="103" s="1"/>
  <c r="F25" i="104"/>
  <c r="F25" i="103" s="1"/>
  <c r="I24" i="104"/>
  <c r="I24" i="103" s="1"/>
  <c r="H24" i="104"/>
  <c r="H24" i="103" s="1"/>
  <c r="G24" i="104"/>
  <c r="G24" i="103" s="1"/>
  <c r="F24" i="104"/>
  <c r="F24" i="103" s="1"/>
  <c r="I23" i="104"/>
  <c r="I23" i="103" s="1"/>
  <c r="H23" i="104"/>
  <c r="H23" i="103" s="1"/>
  <c r="G23" i="104"/>
  <c r="G23" i="103" s="1"/>
  <c r="F23" i="104"/>
  <c r="F23" i="103" s="1"/>
  <c r="I22" i="104"/>
  <c r="I22" i="103" s="1"/>
  <c r="H22" i="104"/>
  <c r="H22" i="103" s="1"/>
  <c r="G22" i="104"/>
  <c r="G22" i="103" s="1"/>
  <c r="F22" i="104"/>
  <c r="F22" i="103" s="1"/>
  <c r="I21" i="104"/>
  <c r="I21" i="103" s="1"/>
  <c r="H21" i="104"/>
  <c r="H21" i="103" s="1"/>
  <c r="G21" i="104"/>
  <c r="G21" i="103" s="1"/>
  <c r="F21" i="104"/>
  <c r="F21" i="103" s="1"/>
  <c r="I20" i="104"/>
  <c r="I20" i="103" s="1"/>
  <c r="H20" i="104"/>
  <c r="H20" i="103" s="1"/>
  <c r="G20" i="104"/>
  <c r="G20" i="103" s="1"/>
  <c r="F20" i="104"/>
  <c r="F20" i="103" s="1"/>
  <c r="I19" i="104"/>
  <c r="I19" i="103" s="1"/>
  <c r="H19" i="104"/>
  <c r="H19" i="103" s="1"/>
  <c r="G19" i="104"/>
  <c r="G19" i="103" s="1"/>
  <c r="F19" i="104"/>
  <c r="F19" i="103" s="1"/>
  <c r="I18" i="104"/>
  <c r="I18" i="103" s="1"/>
  <c r="H18" i="104"/>
  <c r="H18" i="103" s="1"/>
  <c r="G18" i="104"/>
  <c r="G18" i="103" s="1"/>
  <c r="F18" i="104"/>
  <c r="F18" i="103" s="1"/>
  <c r="I17" i="104"/>
  <c r="I17" i="103" s="1"/>
  <c r="H17" i="104"/>
  <c r="H17" i="103" s="1"/>
  <c r="G17" i="104"/>
  <c r="G17" i="103" s="1"/>
  <c r="F17" i="104"/>
  <c r="F17" i="103" s="1"/>
  <c r="I16" i="104"/>
  <c r="I16" i="103" s="1"/>
  <c r="H16" i="104"/>
  <c r="H16" i="103" s="1"/>
  <c r="G16" i="104"/>
  <c r="G16" i="103" s="1"/>
  <c r="F16" i="104"/>
  <c r="F16" i="103" s="1"/>
  <c r="I15" i="104"/>
  <c r="I15" i="103" s="1"/>
  <c r="H15" i="104"/>
  <c r="H15" i="103" s="1"/>
  <c r="G15" i="104"/>
  <c r="G15" i="103" s="1"/>
  <c r="F15" i="104"/>
  <c r="F15" i="103" s="1"/>
  <c r="I14" i="104"/>
  <c r="I14" i="103" s="1"/>
  <c r="H14" i="104"/>
  <c r="H14" i="103" s="1"/>
  <c r="G14" i="104"/>
  <c r="G14" i="103" s="1"/>
  <c r="F14" i="104"/>
  <c r="F14" i="103" s="1"/>
  <c r="I13" i="104"/>
  <c r="I13" i="103" s="1"/>
  <c r="H13" i="104"/>
  <c r="H13" i="103" s="1"/>
  <c r="G13" i="104"/>
  <c r="G13" i="103" s="1"/>
  <c r="F13" i="104"/>
  <c r="F13" i="103" s="1"/>
  <c r="I12" i="104"/>
  <c r="I12" i="103" s="1"/>
  <c r="H12" i="104"/>
  <c r="H12" i="103" s="1"/>
  <c r="G12" i="104"/>
  <c r="G12" i="103" s="1"/>
  <c r="F12" i="104"/>
  <c r="F12" i="103" s="1"/>
  <c r="I11" i="104"/>
  <c r="I11" i="103" s="1"/>
  <c r="H11" i="104"/>
  <c r="H11" i="103" s="1"/>
  <c r="G11" i="104"/>
  <c r="G11" i="103" s="1"/>
  <c r="F11" i="104"/>
  <c r="F11" i="103" s="1"/>
  <c r="I10" i="104"/>
  <c r="I10" i="103" s="1"/>
  <c r="H10" i="104"/>
  <c r="H10" i="103" s="1"/>
  <c r="G10" i="104"/>
  <c r="G10" i="103" s="1"/>
  <c r="F10" i="104"/>
  <c r="F10" i="103" s="1"/>
  <c r="I9" i="104"/>
  <c r="I9" i="103" s="1"/>
  <c r="H9" i="104"/>
  <c r="H9" i="103" s="1"/>
  <c r="G9" i="104"/>
  <c r="G9" i="103" s="1"/>
  <c r="F9" i="104"/>
  <c r="F9" i="103" s="1"/>
  <c r="I8" i="104"/>
  <c r="I8" i="103" s="1"/>
  <c r="H8" i="104"/>
  <c r="H8" i="103" s="1"/>
  <c r="G8" i="104"/>
  <c r="G8" i="103" s="1"/>
  <c r="F8" i="104"/>
  <c r="F8" i="103" s="1"/>
  <c r="I7" i="104"/>
  <c r="I7" i="103" s="1"/>
  <c r="H7" i="104"/>
  <c r="H7" i="103" s="1"/>
  <c r="G7" i="104"/>
  <c r="G7" i="103" s="1"/>
  <c r="F7" i="104"/>
  <c r="F7" i="103" s="1"/>
  <c r="I6" i="104"/>
  <c r="I6" i="103" s="1"/>
  <c r="H6" i="104"/>
  <c r="H6" i="103" s="1"/>
  <c r="G6" i="104"/>
  <c r="G6" i="103" s="1"/>
  <c r="F6" i="104"/>
  <c r="F6" i="103" s="1"/>
  <c r="E35" i="104"/>
  <c r="E35" i="103" s="1"/>
  <c r="D35" i="104"/>
  <c r="D35" i="103" s="1"/>
  <c r="C35" i="104"/>
  <c r="C35" i="103" s="1"/>
  <c r="B35" i="104"/>
  <c r="B35" i="103" s="1"/>
  <c r="E34" i="104"/>
  <c r="E34" i="103" s="1"/>
  <c r="D34" i="104"/>
  <c r="D34" i="103" s="1"/>
  <c r="C34" i="104"/>
  <c r="C34" i="103" s="1"/>
  <c r="B34" i="104"/>
  <c r="B34" i="103" s="1"/>
  <c r="E33" i="104"/>
  <c r="E33" i="103" s="1"/>
  <c r="D33" i="104"/>
  <c r="D33" i="103" s="1"/>
  <c r="C33" i="104"/>
  <c r="C33" i="103" s="1"/>
  <c r="B33" i="104"/>
  <c r="B33" i="103" s="1"/>
  <c r="E32" i="104"/>
  <c r="E32" i="103" s="1"/>
  <c r="D32" i="104"/>
  <c r="D32" i="103" s="1"/>
  <c r="C32" i="104"/>
  <c r="C32" i="103" s="1"/>
  <c r="B32" i="104"/>
  <c r="B32" i="103" s="1"/>
  <c r="E31" i="104"/>
  <c r="E31" i="103" s="1"/>
  <c r="D31" i="104"/>
  <c r="D31" i="103" s="1"/>
  <c r="C31" i="104"/>
  <c r="C31" i="103" s="1"/>
  <c r="B31" i="104"/>
  <c r="B31" i="103" s="1"/>
  <c r="E30" i="104"/>
  <c r="E30" i="103" s="1"/>
  <c r="D30" i="104"/>
  <c r="D30" i="103" s="1"/>
  <c r="C30" i="104"/>
  <c r="C30" i="103" s="1"/>
  <c r="B30" i="104"/>
  <c r="B30" i="103" s="1"/>
  <c r="E29" i="104"/>
  <c r="E29" i="103" s="1"/>
  <c r="D29" i="104"/>
  <c r="D29" i="103" s="1"/>
  <c r="C29" i="104"/>
  <c r="C29" i="103" s="1"/>
  <c r="B29" i="104"/>
  <c r="B29" i="103" s="1"/>
  <c r="E28" i="104"/>
  <c r="E28" i="103" s="1"/>
  <c r="D28" i="104"/>
  <c r="D28" i="103" s="1"/>
  <c r="C28" i="104"/>
  <c r="C28" i="103" s="1"/>
  <c r="B28" i="104"/>
  <c r="B28" i="103" s="1"/>
  <c r="E27" i="104"/>
  <c r="E27" i="103" s="1"/>
  <c r="D27" i="104"/>
  <c r="D27" i="103" s="1"/>
  <c r="C27" i="104"/>
  <c r="C27" i="103" s="1"/>
  <c r="B27" i="104"/>
  <c r="B27" i="103" s="1"/>
  <c r="E26" i="104"/>
  <c r="E26" i="103" s="1"/>
  <c r="D26" i="104"/>
  <c r="D26" i="103" s="1"/>
  <c r="C26" i="104"/>
  <c r="C26" i="103" s="1"/>
  <c r="B26" i="104"/>
  <c r="B26" i="103" s="1"/>
  <c r="E25" i="104"/>
  <c r="E25" i="103" s="1"/>
  <c r="D25" i="104"/>
  <c r="D25" i="103" s="1"/>
  <c r="C25" i="104"/>
  <c r="C25" i="103" s="1"/>
  <c r="B25" i="104"/>
  <c r="B25" i="103" s="1"/>
  <c r="E24" i="104"/>
  <c r="E24" i="103" s="1"/>
  <c r="D24" i="104"/>
  <c r="D24" i="103" s="1"/>
  <c r="C24" i="104"/>
  <c r="C24" i="103" s="1"/>
  <c r="B24" i="104"/>
  <c r="B24" i="103" s="1"/>
  <c r="E23" i="104"/>
  <c r="E23" i="103" s="1"/>
  <c r="D23" i="104"/>
  <c r="D23" i="103" s="1"/>
  <c r="C23" i="104"/>
  <c r="C23" i="103" s="1"/>
  <c r="B23" i="104"/>
  <c r="B23" i="103" s="1"/>
  <c r="E22" i="104"/>
  <c r="E22" i="103" s="1"/>
  <c r="D22" i="104"/>
  <c r="D22" i="103" s="1"/>
  <c r="C22" i="104"/>
  <c r="C22" i="103" s="1"/>
  <c r="B22" i="104"/>
  <c r="B22" i="103" s="1"/>
  <c r="E21" i="104"/>
  <c r="E21" i="103" s="1"/>
  <c r="D21" i="104"/>
  <c r="D21" i="103" s="1"/>
  <c r="C21" i="104"/>
  <c r="C21" i="103" s="1"/>
  <c r="B21" i="104"/>
  <c r="B21" i="103" s="1"/>
  <c r="E20" i="104"/>
  <c r="E20" i="103" s="1"/>
  <c r="D20" i="104"/>
  <c r="D20" i="103" s="1"/>
  <c r="C20" i="104"/>
  <c r="C20" i="103" s="1"/>
  <c r="B20" i="104"/>
  <c r="B20" i="103" s="1"/>
  <c r="E19" i="104"/>
  <c r="E19" i="103" s="1"/>
  <c r="D19" i="104"/>
  <c r="D19" i="103" s="1"/>
  <c r="C19" i="104"/>
  <c r="C19" i="103" s="1"/>
  <c r="B19" i="104"/>
  <c r="B19" i="103" s="1"/>
  <c r="E18" i="104"/>
  <c r="E18" i="103" s="1"/>
  <c r="D18" i="104"/>
  <c r="D18" i="103" s="1"/>
  <c r="C18" i="104"/>
  <c r="C18" i="103" s="1"/>
  <c r="B18" i="104"/>
  <c r="B18" i="103" s="1"/>
  <c r="E17" i="104"/>
  <c r="E17" i="103" s="1"/>
  <c r="D17" i="104"/>
  <c r="D17" i="103" s="1"/>
  <c r="C17" i="104"/>
  <c r="C17" i="103" s="1"/>
  <c r="B17" i="104"/>
  <c r="B17" i="103" s="1"/>
  <c r="E16" i="104"/>
  <c r="E16" i="103" s="1"/>
  <c r="D16" i="104"/>
  <c r="D16" i="103" s="1"/>
  <c r="C16" i="104"/>
  <c r="C16" i="103" s="1"/>
  <c r="B16" i="104"/>
  <c r="B16" i="103" s="1"/>
  <c r="E15" i="104"/>
  <c r="E15" i="103" s="1"/>
  <c r="D15" i="104"/>
  <c r="D15" i="103" s="1"/>
  <c r="C15" i="104"/>
  <c r="C15" i="103" s="1"/>
  <c r="B15" i="104"/>
  <c r="B15" i="103" s="1"/>
  <c r="E14" i="104"/>
  <c r="E14" i="103" s="1"/>
  <c r="D14" i="104"/>
  <c r="D14" i="103" s="1"/>
  <c r="C14" i="104"/>
  <c r="C14" i="103" s="1"/>
  <c r="B14" i="104"/>
  <c r="B14" i="103" s="1"/>
  <c r="E13" i="104"/>
  <c r="E13" i="103" s="1"/>
  <c r="D13" i="104"/>
  <c r="D13" i="103" s="1"/>
  <c r="C13" i="104"/>
  <c r="C13" i="103" s="1"/>
  <c r="B13" i="104"/>
  <c r="B13" i="103" s="1"/>
  <c r="E12" i="104"/>
  <c r="E12" i="103" s="1"/>
  <c r="D12" i="104"/>
  <c r="D12" i="103" s="1"/>
  <c r="C12" i="104"/>
  <c r="C12" i="103" s="1"/>
  <c r="B12" i="104"/>
  <c r="B12" i="103" s="1"/>
  <c r="E11" i="104"/>
  <c r="E11" i="103" s="1"/>
  <c r="D11" i="104"/>
  <c r="D11" i="103" s="1"/>
  <c r="C11" i="104"/>
  <c r="C11" i="103" s="1"/>
  <c r="B11" i="104"/>
  <c r="B11" i="103" s="1"/>
  <c r="E10" i="104"/>
  <c r="E10" i="103" s="1"/>
  <c r="D10" i="104"/>
  <c r="D10" i="103" s="1"/>
  <c r="C10" i="104"/>
  <c r="C10" i="103" s="1"/>
  <c r="B10" i="104"/>
  <c r="B10" i="103" s="1"/>
  <c r="E9" i="104"/>
  <c r="E9" i="103" s="1"/>
  <c r="D9" i="104"/>
  <c r="D9" i="103" s="1"/>
  <c r="C9" i="104"/>
  <c r="C9" i="103" s="1"/>
  <c r="B9" i="104"/>
  <c r="B9" i="103" s="1"/>
  <c r="E8" i="104"/>
  <c r="E8" i="103" s="1"/>
  <c r="D8" i="104"/>
  <c r="D8" i="103" s="1"/>
  <c r="C8" i="104"/>
  <c r="C8" i="103" s="1"/>
  <c r="B8" i="104"/>
  <c r="B8" i="103" s="1"/>
  <c r="E7" i="104"/>
  <c r="E7" i="103" s="1"/>
  <c r="D7" i="104"/>
  <c r="D7" i="103" s="1"/>
  <c r="C7" i="104"/>
  <c r="C7" i="103" s="1"/>
  <c r="B7" i="104"/>
  <c r="B7" i="103" s="1"/>
  <c r="E6" i="104"/>
  <c r="E6" i="103" s="1"/>
  <c r="D6" i="104"/>
  <c r="D6" i="103" s="1"/>
  <c r="C6" i="104"/>
  <c r="C6" i="103" s="1"/>
  <c r="B6" i="104"/>
  <c r="B6" i="103" s="1"/>
  <c r="A34"/>
  <c r="A35" s="1"/>
  <c r="A34" i="104"/>
  <c r="A35" s="1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5" i="102"/>
  <c r="M35" i="101" s="1"/>
  <c r="L35" i="102"/>
  <c r="L35" i="101" s="1"/>
  <c r="K35" i="102"/>
  <c r="K35" i="101" s="1"/>
  <c r="J35" i="102"/>
  <c r="J35" i="101" s="1"/>
  <c r="M34" i="102"/>
  <c r="M34" i="101" s="1"/>
  <c r="L34" i="102"/>
  <c r="L34" i="101" s="1"/>
  <c r="K34" i="102"/>
  <c r="K34" i="101" s="1"/>
  <c r="J34" i="102"/>
  <c r="J34" i="101" s="1"/>
  <c r="M33" i="102"/>
  <c r="M33" i="101" s="1"/>
  <c r="L33" i="102"/>
  <c r="L33" i="101" s="1"/>
  <c r="K33" i="102"/>
  <c r="K33" i="101" s="1"/>
  <c r="J33" i="102"/>
  <c r="J33" i="101" s="1"/>
  <c r="M32" i="102"/>
  <c r="M32" i="101" s="1"/>
  <c r="L32" i="102"/>
  <c r="L32" i="101" s="1"/>
  <c r="K32" i="102"/>
  <c r="K32" i="101" s="1"/>
  <c r="J32" i="102"/>
  <c r="J32" i="101" s="1"/>
  <c r="M31" i="102"/>
  <c r="M31" i="101" s="1"/>
  <c r="L31" i="102"/>
  <c r="L31" i="101" s="1"/>
  <c r="K31" i="102"/>
  <c r="K31" i="101" s="1"/>
  <c r="J31" i="102"/>
  <c r="J31" i="101" s="1"/>
  <c r="M30" i="102"/>
  <c r="M30" i="101" s="1"/>
  <c r="L30" i="102"/>
  <c r="L30" i="101" s="1"/>
  <c r="K30" i="102"/>
  <c r="K30" i="101" s="1"/>
  <c r="J30" i="102"/>
  <c r="J30" i="101" s="1"/>
  <c r="M29" i="102"/>
  <c r="M29" i="101" s="1"/>
  <c r="L29" i="102"/>
  <c r="L29" i="101" s="1"/>
  <c r="K29" i="102"/>
  <c r="K29" i="101" s="1"/>
  <c r="J29" i="102"/>
  <c r="J29" i="101" s="1"/>
  <c r="M28" i="102"/>
  <c r="M28" i="101" s="1"/>
  <c r="L28" i="102"/>
  <c r="L28" i="101" s="1"/>
  <c r="K28" i="102"/>
  <c r="K28" i="101" s="1"/>
  <c r="J28" i="102"/>
  <c r="J28" i="101" s="1"/>
  <c r="M27" i="102"/>
  <c r="M27" i="101" s="1"/>
  <c r="L27" i="102"/>
  <c r="L27" i="101" s="1"/>
  <c r="K27" i="102"/>
  <c r="K27" i="101" s="1"/>
  <c r="J27" i="102"/>
  <c r="J27" i="101" s="1"/>
  <c r="M26" i="102"/>
  <c r="M26" i="101" s="1"/>
  <c r="L26" i="102"/>
  <c r="L26" i="101" s="1"/>
  <c r="K26" i="102"/>
  <c r="K26" i="101" s="1"/>
  <c r="J26" i="102"/>
  <c r="J26" i="101" s="1"/>
  <c r="M25" i="102"/>
  <c r="M25" i="101" s="1"/>
  <c r="L25" i="102"/>
  <c r="L25" i="101" s="1"/>
  <c r="K25" i="102"/>
  <c r="K25" i="101" s="1"/>
  <c r="J25" i="102"/>
  <c r="J25" i="101" s="1"/>
  <c r="M24" i="102"/>
  <c r="M24" i="101" s="1"/>
  <c r="L24" i="102"/>
  <c r="L24" i="101" s="1"/>
  <c r="K24" i="102"/>
  <c r="K24" i="101" s="1"/>
  <c r="J24" i="102"/>
  <c r="J24" i="101" s="1"/>
  <c r="M23" i="102"/>
  <c r="M23" i="101" s="1"/>
  <c r="L23" i="102"/>
  <c r="L23" i="101" s="1"/>
  <c r="K23" i="102"/>
  <c r="K23" i="101" s="1"/>
  <c r="J23" i="102"/>
  <c r="J23" i="101" s="1"/>
  <c r="M22" i="102"/>
  <c r="M22" i="101" s="1"/>
  <c r="L22" i="102"/>
  <c r="L22" i="101" s="1"/>
  <c r="K22" i="102"/>
  <c r="K22" i="101" s="1"/>
  <c r="J22" i="102"/>
  <c r="J22" i="101" s="1"/>
  <c r="M21" i="102"/>
  <c r="M21" i="101" s="1"/>
  <c r="L21" i="102"/>
  <c r="L21" i="101" s="1"/>
  <c r="K21" i="102"/>
  <c r="K21" i="101" s="1"/>
  <c r="J21" i="102"/>
  <c r="J21" i="101" s="1"/>
  <c r="M20" i="102"/>
  <c r="M20" i="101" s="1"/>
  <c r="L20" i="102"/>
  <c r="L20" i="101" s="1"/>
  <c r="K20" i="102"/>
  <c r="K20" i="101" s="1"/>
  <c r="J20" i="102"/>
  <c r="J20" i="101" s="1"/>
  <c r="M19" i="102"/>
  <c r="M19" i="101" s="1"/>
  <c r="L19" i="102"/>
  <c r="L19" i="101" s="1"/>
  <c r="K19" i="102"/>
  <c r="K19" i="101" s="1"/>
  <c r="J19" i="102"/>
  <c r="J19" i="101" s="1"/>
  <c r="M18" i="102"/>
  <c r="M18" i="101" s="1"/>
  <c r="L18" i="102"/>
  <c r="L18" i="101" s="1"/>
  <c r="K18" i="102"/>
  <c r="K18" i="101" s="1"/>
  <c r="J18" i="102"/>
  <c r="J18" i="101" s="1"/>
  <c r="M17" i="102"/>
  <c r="M17" i="101" s="1"/>
  <c r="L17" i="102"/>
  <c r="L17" i="101" s="1"/>
  <c r="K17" i="102"/>
  <c r="K17" i="101" s="1"/>
  <c r="J17" i="102"/>
  <c r="J17" i="101" s="1"/>
  <c r="M16" i="102"/>
  <c r="M16" i="101" s="1"/>
  <c r="L16" i="102"/>
  <c r="L16" i="101" s="1"/>
  <c r="K16" i="102"/>
  <c r="K16" i="101" s="1"/>
  <c r="J16" i="102"/>
  <c r="J16" i="101" s="1"/>
  <c r="M15" i="102"/>
  <c r="M15" i="101" s="1"/>
  <c r="L15" i="102"/>
  <c r="L15" i="101" s="1"/>
  <c r="K15" i="102"/>
  <c r="K15" i="101" s="1"/>
  <c r="J15" i="102"/>
  <c r="J15" i="101" s="1"/>
  <c r="M14" i="102"/>
  <c r="M14" i="101" s="1"/>
  <c r="L14" i="102"/>
  <c r="L14" i="101" s="1"/>
  <c r="K14" i="102"/>
  <c r="K14" i="101" s="1"/>
  <c r="J14" i="102"/>
  <c r="J14" i="101" s="1"/>
  <c r="M13" i="102"/>
  <c r="M13" i="101" s="1"/>
  <c r="L13" i="102"/>
  <c r="L13" i="101" s="1"/>
  <c r="K13" i="102"/>
  <c r="K13" i="101" s="1"/>
  <c r="J13" i="102"/>
  <c r="J13" i="101" s="1"/>
  <c r="M12" i="102"/>
  <c r="M12" i="101" s="1"/>
  <c r="L12" i="102"/>
  <c r="L12" i="101" s="1"/>
  <c r="K12" i="102"/>
  <c r="K12" i="101" s="1"/>
  <c r="J12" i="102"/>
  <c r="J12" i="101" s="1"/>
  <c r="M11" i="102"/>
  <c r="M11" i="101" s="1"/>
  <c r="L11" i="102"/>
  <c r="L11" i="101" s="1"/>
  <c r="K11" i="102"/>
  <c r="K11" i="101" s="1"/>
  <c r="J11" i="102"/>
  <c r="J11" i="101" s="1"/>
  <c r="M10" i="102"/>
  <c r="M10" i="101" s="1"/>
  <c r="L10" i="102"/>
  <c r="L10" i="101" s="1"/>
  <c r="K10" i="102"/>
  <c r="K10" i="101" s="1"/>
  <c r="J10" i="102"/>
  <c r="J10" i="101" s="1"/>
  <c r="M9" i="102"/>
  <c r="M9" i="101" s="1"/>
  <c r="L9" i="102"/>
  <c r="L9" i="101" s="1"/>
  <c r="K9" i="102"/>
  <c r="K9" i="101" s="1"/>
  <c r="J9" i="102"/>
  <c r="J9" i="101" s="1"/>
  <c r="M8" i="102"/>
  <c r="M8" i="101" s="1"/>
  <c r="L8" i="102"/>
  <c r="L8" i="101" s="1"/>
  <c r="K8" i="102"/>
  <c r="K8" i="101" s="1"/>
  <c r="J8" i="102"/>
  <c r="J8" i="101" s="1"/>
  <c r="M7" i="102"/>
  <c r="M7" i="101" s="1"/>
  <c r="L7" i="102"/>
  <c r="L7" i="101" s="1"/>
  <c r="K7" i="102"/>
  <c r="K7" i="101" s="1"/>
  <c r="J7" i="102"/>
  <c r="J7" i="101" s="1"/>
  <c r="M6" i="102"/>
  <c r="M6" i="101" s="1"/>
  <c r="L6" i="102"/>
  <c r="L6" i="101" s="1"/>
  <c r="K6" i="102"/>
  <c r="K6" i="101" s="1"/>
  <c r="J6" i="102"/>
  <c r="J6" i="101" s="1"/>
  <c r="I35" i="102"/>
  <c r="I35" i="101" s="1"/>
  <c r="H35" i="102"/>
  <c r="H35" i="101" s="1"/>
  <c r="G35" i="102"/>
  <c r="G35" i="101" s="1"/>
  <c r="F35" i="102"/>
  <c r="F35" i="101" s="1"/>
  <c r="I34" i="102"/>
  <c r="I34" i="101" s="1"/>
  <c r="H34" i="102"/>
  <c r="H34" i="101" s="1"/>
  <c r="G34" i="102"/>
  <c r="G34" i="101" s="1"/>
  <c r="F34" i="102"/>
  <c r="F34" i="101" s="1"/>
  <c r="I33" i="102"/>
  <c r="I33" i="101" s="1"/>
  <c r="H33" i="102"/>
  <c r="H33" i="101" s="1"/>
  <c r="G33" i="102"/>
  <c r="G33" i="101" s="1"/>
  <c r="F33" i="102"/>
  <c r="F33" i="101" s="1"/>
  <c r="I32" i="102"/>
  <c r="I32" i="101" s="1"/>
  <c r="H32" i="102"/>
  <c r="H32" i="101" s="1"/>
  <c r="G32" i="102"/>
  <c r="G32" i="101" s="1"/>
  <c r="F32" i="102"/>
  <c r="F32" i="101" s="1"/>
  <c r="I31" i="102"/>
  <c r="I31" i="101" s="1"/>
  <c r="H31" i="102"/>
  <c r="H31" i="101" s="1"/>
  <c r="G31" i="102"/>
  <c r="G31" i="101" s="1"/>
  <c r="F31" i="102"/>
  <c r="F31" i="101" s="1"/>
  <c r="I30" i="102"/>
  <c r="I30" i="101" s="1"/>
  <c r="H30" i="102"/>
  <c r="H30" i="101" s="1"/>
  <c r="G30" i="102"/>
  <c r="G30" i="101" s="1"/>
  <c r="F30" i="102"/>
  <c r="F30" i="101" s="1"/>
  <c r="I29" i="102"/>
  <c r="I29" i="101" s="1"/>
  <c r="H29" i="102"/>
  <c r="H29" i="101" s="1"/>
  <c r="G29" i="102"/>
  <c r="G29" i="101" s="1"/>
  <c r="F29" i="102"/>
  <c r="F29" i="101" s="1"/>
  <c r="I28" i="102"/>
  <c r="I28" i="101" s="1"/>
  <c r="H28" i="102"/>
  <c r="H28" i="101" s="1"/>
  <c r="G28" i="102"/>
  <c r="G28" i="101" s="1"/>
  <c r="F28" i="102"/>
  <c r="F28" i="101" s="1"/>
  <c r="I27" i="102"/>
  <c r="I27" i="101" s="1"/>
  <c r="H27" i="102"/>
  <c r="H27" i="101" s="1"/>
  <c r="G27" i="102"/>
  <c r="G27" i="101" s="1"/>
  <c r="F27" i="102"/>
  <c r="F27" i="101" s="1"/>
  <c r="I26" i="102"/>
  <c r="I26" i="101" s="1"/>
  <c r="H26" i="102"/>
  <c r="H26" i="101" s="1"/>
  <c r="G26" i="102"/>
  <c r="G26" i="101" s="1"/>
  <c r="F26" i="102"/>
  <c r="F26" i="101" s="1"/>
  <c r="I25" i="102"/>
  <c r="I25" i="101" s="1"/>
  <c r="H25" i="102"/>
  <c r="H25" i="101" s="1"/>
  <c r="G25" i="102"/>
  <c r="G25" i="101" s="1"/>
  <c r="F25" i="102"/>
  <c r="F25" i="101" s="1"/>
  <c r="I24" i="102"/>
  <c r="I24" i="101" s="1"/>
  <c r="H24" i="102"/>
  <c r="H24" i="101" s="1"/>
  <c r="G24" i="102"/>
  <c r="G24" i="101" s="1"/>
  <c r="F24" i="102"/>
  <c r="F24" i="101" s="1"/>
  <c r="I23" i="102"/>
  <c r="I23" i="101" s="1"/>
  <c r="H23" i="102"/>
  <c r="H23" i="101" s="1"/>
  <c r="G23" i="102"/>
  <c r="G23" i="101" s="1"/>
  <c r="F23" i="102"/>
  <c r="F23" i="101" s="1"/>
  <c r="I22" i="102"/>
  <c r="I22" i="101" s="1"/>
  <c r="H22" i="102"/>
  <c r="H22" i="101" s="1"/>
  <c r="G22" i="102"/>
  <c r="G22" i="101" s="1"/>
  <c r="F22" i="102"/>
  <c r="F22" i="101" s="1"/>
  <c r="I21" i="102"/>
  <c r="I21" i="101" s="1"/>
  <c r="H21" i="102"/>
  <c r="H21" i="101" s="1"/>
  <c r="G21" i="102"/>
  <c r="G21" i="101" s="1"/>
  <c r="F21" i="102"/>
  <c r="F21" i="101" s="1"/>
  <c r="I20" i="102"/>
  <c r="I20" i="101" s="1"/>
  <c r="H20" i="102"/>
  <c r="H20" i="101" s="1"/>
  <c r="G20" i="102"/>
  <c r="G20" i="101" s="1"/>
  <c r="F20" i="102"/>
  <c r="F20" i="101" s="1"/>
  <c r="I19" i="102"/>
  <c r="I19" i="101" s="1"/>
  <c r="H19" i="102"/>
  <c r="H19" i="101" s="1"/>
  <c r="G19" i="102"/>
  <c r="G19" i="101" s="1"/>
  <c r="F19" i="102"/>
  <c r="F19" i="101" s="1"/>
  <c r="I18" i="102"/>
  <c r="I18" i="101" s="1"/>
  <c r="H18" i="102"/>
  <c r="H18" i="101" s="1"/>
  <c r="G18" i="102"/>
  <c r="G18" i="101" s="1"/>
  <c r="F18" i="102"/>
  <c r="F18" i="101" s="1"/>
  <c r="I17" i="102"/>
  <c r="I17" i="101" s="1"/>
  <c r="H17" i="102"/>
  <c r="H17" i="101" s="1"/>
  <c r="G17" i="102"/>
  <c r="G17" i="101" s="1"/>
  <c r="F17" i="102"/>
  <c r="F17" i="101" s="1"/>
  <c r="I16" i="102"/>
  <c r="I16" i="101" s="1"/>
  <c r="H16" i="102"/>
  <c r="H16" i="101" s="1"/>
  <c r="G16" i="102"/>
  <c r="G16" i="101" s="1"/>
  <c r="F16" i="102"/>
  <c r="F16" i="101" s="1"/>
  <c r="I15" i="102"/>
  <c r="I15" i="101" s="1"/>
  <c r="H15" i="102"/>
  <c r="H15" i="101" s="1"/>
  <c r="G15" i="102"/>
  <c r="G15" i="101" s="1"/>
  <c r="F15" i="102"/>
  <c r="F15" i="101" s="1"/>
  <c r="I14" i="102"/>
  <c r="I14" i="101" s="1"/>
  <c r="H14" i="102"/>
  <c r="H14" i="101" s="1"/>
  <c r="G14" i="102"/>
  <c r="G14" i="101" s="1"/>
  <c r="F14" i="102"/>
  <c r="F14" i="101" s="1"/>
  <c r="I13" i="102"/>
  <c r="I13" i="101" s="1"/>
  <c r="H13" i="102"/>
  <c r="H13" i="101" s="1"/>
  <c r="G13" i="102"/>
  <c r="G13" i="101" s="1"/>
  <c r="F13" i="102"/>
  <c r="F13" i="101" s="1"/>
  <c r="I12" i="102"/>
  <c r="I12" i="101" s="1"/>
  <c r="H12" i="102"/>
  <c r="H12" i="101" s="1"/>
  <c r="G12" i="102"/>
  <c r="G12" i="101" s="1"/>
  <c r="F12" i="102"/>
  <c r="F12" i="101" s="1"/>
  <c r="I11" i="102"/>
  <c r="I11" i="101" s="1"/>
  <c r="H11" i="102"/>
  <c r="H11" i="101" s="1"/>
  <c r="G11" i="102"/>
  <c r="G11" i="101" s="1"/>
  <c r="F11" i="102"/>
  <c r="F11" i="101" s="1"/>
  <c r="I10" i="102"/>
  <c r="I10" i="101" s="1"/>
  <c r="H10" i="102"/>
  <c r="H10" i="101" s="1"/>
  <c r="G10" i="102"/>
  <c r="G10" i="101" s="1"/>
  <c r="F10" i="102"/>
  <c r="F10" i="101" s="1"/>
  <c r="I9" i="102"/>
  <c r="I9" i="101" s="1"/>
  <c r="H9" i="102"/>
  <c r="H9" i="101" s="1"/>
  <c r="G9" i="102"/>
  <c r="G9" i="101" s="1"/>
  <c r="F9" i="102"/>
  <c r="F9" i="101" s="1"/>
  <c r="I8" i="102"/>
  <c r="I8" i="101" s="1"/>
  <c r="H8" i="102"/>
  <c r="H8" i="101" s="1"/>
  <c r="G8" i="102"/>
  <c r="G8" i="101" s="1"/>
  <c r="F8" i="102"/>
  <c r="F8" i="101" s="1"/>
  <c r="I7" i="102"/>
  <c r="I7" i="101" s="1"/>
  <c r="H7" i="102"/>
  <c r="H7" i="101" s="1"/>
  <c r="G7" i="102"/>
  <c r="G7" i="101" s="1"/>
  <c r="F7" i="102"/>
  <c r="F7" i="101" s="1"/>
  <c r="I6" i="102"/>
  <c r="I6" i="101" s="1"/>
  <c r="H6" i="102"/>
  <c r="H6" i="101" s="1"/>
  <c r="G6" i="102"/>
  <c r="G6" i="101" s="1"/>
  <c r="F6" i="102"/>
  <c r="F6" i="101" s="1"/>
  <c r="E35" i="102"/>
  <c r="E35" i="101" s="1"/>
  <c r="D35" i="102"/>
  <c r="D35" i="101" s="1"/>
  <c r="C35" i="102"/>
  <c r="C35" i="101" s="1"/>
  <c r="B35" i="102"/>
  <c r="B35" i="101" s="1"/>
  <c r="E34" i="102"/>
  <c r="E34" i="101" s="1"/>
  <c r="D34" i="102"/>
  <c r="D34" i="101" s="1"/>
  <c r="C34" i="102"/>
  <c r="C34" i="101" s="1"/>
  <c r="B34" i="102"/>
  <c r="B34" i="101" s="1"/>
  <c r="E33" i="102"/>
  <c r="E33" i="101" s="1"/>
  <c r="D33" i="102"/>
  <c r="D33" i="101" s="1"/>
  <c r="C33" i="102"/>
  <c r="C33" i="101" s="1"/>
  <c r="B33" i="102"/>
  <c r="B33" i="101" s="1"/>
  <c r="E32" i="102"/>
  <c r="E32" i="101" s="1"/>
  <c r="D32" i="102"/>
  <c r="D32" i="101" s="1"/>
  <c r="C32" i="102"/>
  <c r="C32" i="101" s="1"/>
  <c r="B32" i="102"/>
  <c r="B32" i="101" s="1"/>
  <c r="E31" i="102"/>
  <c r="E31" i="101" s="1"/>
  <c r="D31" i="102"/>
  <c r="D31" i="101" s="1"/>
  <c r="C31" i="102"/>
  <c r="C31" i="101" s="1"/>
  <c r="B31" i="102"/>
  <c r="B31" i="101" s="1"/>
  <c r="E30" i="102"/>
  <c r="E30" i="101" s="1"/>
  <c r="D30" i="102"/>
  <c r="D30" i="101" s="1"/>
  <c r="C30" i="102"/>
  <c r="C30" i="101" s="1"/>
  <c r="B30" i="102"/>
  <c r="B30" i="101" s="1"/>
  <c r="E29" i="102"/>
  <c r="E29" i="101" s="1"/>
  <c r="D29" i="102"/>
  <c r="D29" i="101" s="1"/>
  <c r="C29" i="102"/>
  <c r="C29" i="101" s="1"/>
  <c r="B29" i="102"/>
  <c r="B29" i="101" s="1"/>
  <c r="E28" i="102"/>
  <c r="E28" i="101" s="1"/>
  <c r="D28" i="102"/>
  <c r="D28" i="101" s="1"/>
  <c r="C28" i="102"/>
  <c r="C28" i="101" s="1"/>
  <c r="B28" i="102"/>
  <c r="B28" i="101" s="1"/>
  <c r="E27" i="102"/>
  <c r="E27" i="101" s="1"/>
  <c r="D27" i="102"/>
  <c r="D27" i="101" s="1"/>
  <c r="C27" i="102"/>
  <c r="C27" i="101" s="1"/>
  <c r="B27" i="102"/>
  <c r="B27" i="101" s="1"/>
  <c r="E26" i="102"/>
  <c r="E26" i="101" s="1"/>
  <c r="D26" i="102"/>
  <c r="D26" i="101" s="1"/>
  <c r="C26" i="102"/>
  <c r="C26" i="101" s="1"/>
  <c r="B26" i="102"/>
  <c r="B26" i="101" s="1"/>
  <c r="E25" i="102"/>
  <c r="E25" i="101" s="1"/>
  <c r="D25" i="102"/>
  <c r="D25" i="101" s="1"/>
  <c r="C25" i="102"/>
  <c r="C25" i="101" s="1"/>
  <c r="B25" i="102"/>
  <c r="B25" i="101" s="1"/>
  <c r="E24" i="102"/>
  <c r="E24" i="101" s="1"/>
  <c r="D24" i="102"/>
  <c r="D24" i="101" s="1"/>
  <c r="C24" i="102"/>
  <c r="C24" i="101" s="1"/>
  <c r="B24" i="102"/>
  <c r="B24" i="101" s="1"/>
  <c r="E23" i="102"/>
  <c r="E23" i="101" s="1"/>
  <c r="D23" i="102"/>
  <c r="D23" i="101" s="1"/>
  <c r="C23" i="102"/>
  <c r="C23" i="101" s="1"/>
  <c r="B23" i="102"/>
  <c r="B23" i="101" s="1"/>
  <c r="E22" i="102"/>
  <c r="E22" i="101" s="1"/>
  <c r="D22" i="102"/>
  <c r="D22" i="101" s="1"/>
  <c r="C22" i="102"/>
  <c r="C22" i="101" s="1"/>
  <c r="B22" i="102"/>
  <c r="B22" i="101" s="1"/>
  <c r="E21" i="102"/>
  <c r="E21" i="101" s="1"/>
  <c r="D21" i="102"/>
  <c r="D21" i="101" s="1"/>
  <c r="C21" i="102"/>
  <c r="C21" i="101" s="1"/>
  <c r="B21" i="102"/>
  <c r="B21" i="101" s="1"/>
  <c r="E20" i="102"/>
  <c r="E20" i="101" s="1"/>
  <c r="D20" i="102"/>
  <c r="D20" i="101" s="1"/>
  <c r="C20" i="102"/>
  <c r="C20" i="101" s="1"/>
  <c r="B20" i="102"/>
  <c r="B20" i="101" s="1"/>
  <c r="E19" i="102"/>
  <c r="E19" i="101" s="1"/>
  <c r="D19" i="102"/>
  <c r="D19" i="101" s="1"/>
  <c r="C19" i="102"/>
  <c r="C19" i="101" s="1"/>
  <c r="B19" i="102"/>
  <c r="B19" i="101" s="1"/>
  <c r="E18" i="102"/>
  <c r="E18" i="101" s="1"/>
  <c r="D18" i="102"/>
  <c r="D18" i="101" s="1"/>
  <c r="C18" i="102"/>
  <c r="C18" i="101" s="1"/>
  <c r="B18" i="102"/>
  <c r="B18" i="101" s="1"/>
  <c r="E17" i="102"/>
  <c r="E17" i="101" s="1"/>
  <c r="D17" i="102"/>
  <c r="D17" i="101" s="1"/>
  <c r="C17" i="102"/>
  <c r="C17" i="101" s="1"/>
  <c r="B17" i="102"/>
  <c r="B17" i="101" s="1"/>
  <c r="E16" i="102"/>
  <c r="E16" i="101" s="1"/>
  <c r="D16" i="102"/>
  <c r="D16" i="101" s="1"/>
  <c r="C16" i="102"/>
  <c r="C16" i="101" s="1"/>
  <c r="B16" i="102"/>
  <c r="B16" i="101" s="1"/>
  <c r="E15" i="102"/>
  <c r="E15" i="101" s="1"/>
  <c r="D15" i="102"/>
  <c r="D15" i="101" s="1"/>
  <c r="C15" i="102"/>
  <c r="C15" i="101" s="1"/>
  <c r="B15" i="102"/>
  <c r="B15" i="101" s="1"/>
  <c r="E14" i="102"/>
  <c r="E14" i="101" s="1"/>
  <c r="D14" i="102"/>
  <c r="D14" i="101" s="1"/>
  <c r="C14" i="102"/>
  <c r="C14" i="101" s="1"/>
  <c r="B14" i="102"/>
  <c r="B14" i="101" s="1"/>
  <c r="E13" i="102"/>
  <c r="E13" i="101" s="1"/>
  <c r="D13" i="102"/>
  <c r="D13" i="101" s="1"/>
  <c r="C13" i="102"/>
  <c r="C13" i="101" s="1"/>
  <c r="B13" i="102"/>
  <c r="B13" i="101" s="1"/>
  <c r="E12" i="102"/>
  <c r="E12" i="101" s="1"/>
  <c r="D12" i="102"/>
  <c r="D12" i="101" s="1"/>
  <c r="C12" i="102"/>
  <c r="C12" i="101" s="1"/>
  <c r="B12" i="102"/>
  <c r="B12" i="101" s="1"/>
  <c r="E11" i="102"/>
  <c r="E11" i="101" s="1"/>
  <c r="D11" i="102"/>
  <c r="D11" i="101" s="1"/>
  <c r="C11" i="102"/>
  <c r="C11" i="101" s="1"/>
  <c r="B11" i="102"/>
  <c r="B11" i="101" s="1"/>
  <c r="E10" i="102"/>
  <c r="E10" i="101" s="1"/>
  <c r="D10" i="102"/>
  <c r="D10" i="101" s="1"/>
  <c r="C10" i="102"/>
  <c r="C10" i="101" s="1"/>
  <c r="B10" i="102"/>
  <c r="B10" i="101" s="1"/>
  <c r="E9" i="102"/>
  <c r="E9" i="101" s="1"/>
  <c r="D9" i="102"/>
  <c r="D9" i="101" s="1"/>
  <c r="C9" i="102"/>
  <c r="C9" i="101" s="1"/>
  <c r="B9" i="102"/>
  <c r="B9" i="101" s="1"/>
  <c r="E8" i="102"/>
  <c r="E8" i="101" s="1"/>
  <c r="D8" i="102"/>
  <c r="D8" i="101" s="1"/>
  <c r="C8" i="102"/>
  <c r="C8" i="101" s="1"/>
  <c r="B8" i="102"/>
  <c r="B8" i="101" s="1"/>
  <c r="E7" i="102"/>
  <c r="E7" i="101" s="1"/>
  <c r="D7" i="102"/>
  <c r="D7" i="101" s="1"/>
  <c r="C7" i="102"/>
  <c r="C7" i="101" s="1"/>
  <c r="B7" i="102"/>
  <c r="B7" i="101" s="1"/>
  <c r="E6" i="102"/>
  <c r="E6" i="101" s="1"/>
  <c r="D6" i="102"/>
  <c r="D6" i="101" s="1"/>
  <c r="C6" i="102"/>
  <c r="C6" i="101" s="1"/>
  <c r="B6" i="102"/>
  <c r="B6" i="101" s="1"/>
  <c r="A34"/>
  <c r="A35" s="1"/>
  <c r="A34" i="102"/>
  <c r="A35" s="1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A34" i="95"/>
  <c r="A35" s="1"/>
  <c r="M35" i="96"/>
  <c r="M35" i="95" s="1"/>
  <c r="L35" i="96"/>
  <c r="L35" i="95" s="1"/>
  <c r="K35" i="96"/>
  <c r="K35" i="95" s="1"/>
  <c r="J35" i="96"/>
  <c r="J35" i="95" s="1"/>
  <c r="M34" i="96"/>
  <c r="M34" i="95" s="1"/>
  <c r="L34" i="96"/>
  <c r="L34" i="95" s="1"/>
  <c r="K34" i="96"/>
  <c r="K34" i="95" s="1"/>
  <c r="J34" i="96"/>
  <c r="J34" i="95" s="1"/>
  <c r="M33" i="96"/>
  <c r="M33" i="95" s="1"/>
  <c r="L33" i="96"/>
  <c r="L33" i="95" s="1"/>
  <c r="K33" i="96"/>
  <c r="K33" i="95" s="1"/>
  <c r="J33" i="96"/>
  <c r="J33" i="95" s="1"/>
  <c r="M32" i="96"/>
  <c r="M32" i="95" s="1"/>
  <c r="L32" i="96"/>
  <c r="L32" i="95" s="1"/>
  <c r="K32" i="96"/>
  <c r="K32" i="95" s="1"/>
  <c r="J32" i="96"/>
  <c r="J32" i="95" s="1"/>
  <c r="M31" i="96"/>
  <c r="M31" i="95" s="1"/>
  <c r="L31" i="96"/>
  <c r="L31" i="95" s="1"/>
  <c r="K31" i="96"/>
  <c r="K31" i="95" s="1"/>
  <c r="J31" i="96"/>
  <c r="J31" i="95" s="1"/>
  <c r="M30" i="96"/>
  <c r="M30" i="95" s="1"/>
  <c r="L30" i="96"/>
  <c r="L30" i="95" s="1"/>
  <c r="K30" i="96"/>
  <c r="K30" i="95" s="1"/>
  <c r="J30" i="96"/>
  <c r="J30" i="95" s="1"/>
  <c r="M29" i="96"/>
  <c r="M29" i="95" s="1"/>
  <c r="L29" i="96"/>
  <c r="L29" i="95" s="1"/>
  <c r="K29" i="96"/>
  <c r="K29" i="95" s="1"/>
  <c r="J29" i="96"/>
  <c r="J29" i="95" s="1"/>
  <c r="M28" i="96"/>
  <c r="M28" i="95" s="1"/>
  <c r="L28" i="96"/>
  <c r="L28" i="95" s="1"/>
  <c r="K28" i="96"/>
  <c r="K28" i="95" s="1"/>
  <c r="J28" i="96"/>
  <c r="J28" i="95" s="1"/>
  <c r="M27" i="96"/>
  <c r="M27" i="95" s="1"/>
  <c r="L27" i="96"/>
  <c r="L27" i="95" s="1"/>
  <c r="K27" i="96"/>
  <c r="K27" i="95" s="1"/>
  <c r="J27" i="96"/>
  <c r="J27" i="95" s="1"/>
  <c r="M26" i="96"/>
  <c r="M26" i="95" s="1"/>
  <c r="L26" i="96"/>
  <c r="L26" i="95" s="1"/>
  <c r="K26" i="96"/>
  <c r="K26" i="95" s="1"/>
  <c r="J26" i="96"/>
  <c r="J26" i="95" s="1"/>
  <c r="M25" i="96"/>
  <c r="M25" i="95" s="1"/>
  <c r="L25" i="96"/>
  <c r="L25" i="95" s="1"/>
  <c r="K25" i="96"/>
  <c r="K25" i="95" s="1"/>
  <c r="J25" i="96"/>
  <c r="J25" i="95" s="1"/>
  <c r="M24" i="96"/>
  <c r="M24" i="95" s="1"/>
  <c r="L24" i="96"/>
  <c r="L24" i="95" s="1"/>
  <c r="K24" i="96"/>
  <c r="K24" i="95" s="1"/>
  <c r="J24" i="96"/>
  <c r="J24" i="95" s="1"/>
  <c r="M23" i="96"/>
  <c r="M23" i="95" s="1"/>
  <c r="L23" i="96"/>
  <c r="L23" i="95" s="1"/>
  <c r="K23" i="96"/>
  <c r="K23" i="95" s="1"/>
  <c r="J23" i="96"/>
  <c r="J23" i="95" s="1"/>
  <c r="M22" i="96"/>
  <c r="M22" i="95" s="1"/>
  <c r="L22" i="96"/>
  <c r="L22" i="95" s="1"/>
  <c r="K22" i="96"/>
  <c r="K22" i="95" s="1"/>
  <c r="J22" i="96"/>
  <c r="J22" i="95" s="1"/>
  <c r="M21" i="96"/>
  <c r="M21" i="95" s="1"/>
  <c r="L21" i="96"/>
  <c r="L21" i="95" s="1"/>
  <c r="K21" i="96"/>
  <c r="K21" i="95" s="1"/>
  <c r="J21" i="96"/>
  <c r="J21" i="95" s="1"/>
  <c r="M20" i="96"/>
  <c r="M20" i="95" s="1"/>
  <c r="L20" i="96"/>
  <c r="L20" i="95" s="1"/>
  <c r="K20" i="96"/>
  <c r="K20" i="95" s="1"/>
  <c r="J20" i="96"/>
  <c r="J20" i="95" s="1"/>
  <c r="M19" i="96"/>
  <c r="M19" i="95" s="1"/>
  <c r="L19" i="96"/>
  <c r="L19" i="95" s="1"/>
  <c r="K19" i="96"/>
  <c r="K19" i="95" s="1"/>
  <c r="J19" i="96"/>
  <c r="J19" i="95" s="1"/>
  <c r="M18" i="96"/>
  <c r="M18" i="95" s="1"/>
  <c r="L18" i="96"/>
  <c r="L18" i="95" s="1"/>
  <c r="K18" i="96"/>
  <c r="K18" i="95" s="1"/>
  <c r="J18" i="96"/>
  <c r="J18" i="95" s="1"/>
  <c r="M17" i="96"/>
  <c r="M17" i="95" s="1"/>
  <c r="L17" i="96"/>
  <c r="L17" i="95" s="1"/>
  <c r="K17" i="96"/>
  <c r="K17" i="95" s="1"/>
  <c r="J17" i="96"/>
  <c r="J17" i="95" s="1"/>
  <c r="M16" i="96"/>
  <c r="M16" i="95" s="1"/>
  <c r="L16" i="96"/>
  <c r="L16" i="95" s="1"/>
  <c r="K16" i="96"/>
  <c r="K16" i="95" s="1"/>
  <c r="J16" i="96"/>
  <c r="J16" i="95" s="1"/>
  <c r="M15" i="96"/>
  <c r="M15" i="95" s="1"/>
  <c r="L15" i="96"/>
  <c r="L15" i="95" s="1"/>
  <c r="K15" i="96"/>
  <c r="K15" i="95" s="1"/>
  <c r="J15" i="96"/>
  <c r="J15" i="95" s="1"/>
  <c r="M14" i="96"/>
  <c r="M14" i="95" s="1"/>
  <c r="L14" i="96"/>
  <c r="L14" i="95" s="1"/>
  <c r="K14" i="96"/>
  <c r="K14" i="95" s="1"/>
  <c r="J14" i="96"/>
  <c r="J14" i="95" s="1"/>
  <c r="M13" i="96"/>
  <c r="M13" i="95" s="1"/>
  <c r="L13" i="96"/>
  <c r="L13" i="95" s="1"/>
  <c r="K13" i="96"/>
  <c r="K13" i="95" s="1"/>
  <c r="J13" i="96"/>
  <c r="J13" i="95" s="1"/>
  <c r="M12" i="96"/>
  <c r="M12" i="95" s="1"/>
  <c r="L12" i="96"/>
  <c r="L12" i="95" s="1"/>
  <c r="K12" i="96"/>
  <c r="K12" i="95" s="1"/>
  <c r="J12" i="96"/>
  <c r="J12" i="95" s="1"/>
  <c r="M11" i="96"/>
  <c r="M11" i="95" s="1"/>
  <c r="L11" i="96"/>
  <c r="L11" i="95" s="1"/>
  <c r="K11" i="96"/>
  <c r="K11" i="95" s="1"/>
  <c r="J11" i="96"/>
  <c r="J11" i="95" s="1"/>
  <c r="M10" i="96"/>
  <c r="M10" i="95" s="1"/>
  <c r="L10" i="96"/>
  <c r="L10" i="95" s="1"/>
  <c r="K10" i="96"/>
  <c r="K10" i="95" s="1"/>
  <c r="J10" i="96"/>
  <c r="J10" i="95" s="1"/>
  <c r="M9" i="96"/>
  <c r="M9" i="95" s="1"/>
  <c r="L9" i="96"/>
  <c r="L9" i="95" s="1"/>
  <c r="K9" i="96"/>
  <c r="K9" i="95" s="1"/>
  <c r="J9" i="96"/>
  <c r="J9" i="95" s="1"/>
  <c r="M8" i="96"/>
  <c r="M8" i="95" s="1"/>
  <c r="L8" i="96"/>
  <c r="L8" i="95" s="1"/>
  <c r="K8" i="96"/>
  <c r="K8" i="95" s="1"/>
  <c r="J8" i="96"/>
  <c r="J8" i="95" s="1"/>
  <c r="M7" i="96"/>
  <c r="M7" i="95" s="1"/>
  <c r="L7" i="96"/>
  <c r="L7" i="95" s="1"/>
  <c r="K7" i="96"/>
  <c r="K7" i="95" s="1"/>
  <c r="J7" i="96"/>
  <c r="J7" i="95" s="1"/>
  <c r="M6" i="96"/>
  <c r="M6" i="95" s="1"/>
  <c r="L6" i="96"/>
  <c r="L6" i="95" s="1"/>
  <c r="K6" i="96"/>
  <c r="K6" i="95" s="1"/>
  <c r="J6" i="96"/>
  <c r="J6" i="95" s="1"/>
  <c r="I35" i="96"/>
  <c r="I35" i="95" s="1"/>
  <c r="H35" i="96"/>
  <c r="H35" i="95" s="1"/>
  <c r="G35" i="96"/>
  <c r="G35" i="95" s="1"/>
  <c r="F35" i="96"/>
  <c r="F35" i="95" s="1"/>
  <c r="I34" i="96"/>
  <c r="I34" i="95" s="1"/>
  <c r="H34" i="96"/>
  <c r="H34" i="95" s="1"/>
  <c r="G34" i="96"/>
  <c r="G34" i="95" s="1"/>
  <c r="F34" i="96"/>
  <c r="F34" i="95" s="1"/>
  <c r="I33" i="96"/>
  <c r="I33" i="95" s="1"/>
  <c r="H33" i="96"/>
  <c r="H33" i="95" s="1"/>
  <c r="G33" i="96"/>
  <c r="G33" i="95" s="1"/>
  <c r="F33" i="96"/>
  <c r="F33" i="95" s="1"/>
  <c r="I32" i="96"/>
  <c r="I32" i="95" s="1"/>
  <c r="H32" i="96"/>
  <c r="H32" i="95" s="1"/>
  <c r="G32" i="96"/>
  <c r="G32" i="95" s="1"/>
  <c r="F32" i="96"/>
  <c r="F32" i="95" s="1"/>
  <c r="I31" i="96"/>
  <c r="I31" i="95" s="1"/>
  <c r="H31" i="96"/>
  <c r="H31" i="95" s="1"/>
  <c r="G31" i="96"/>
  <c r="G31" i="95" s="1"/>
  <c r="F31" i="96"/>
  <c r="F31" i="95" s="1"/>
  <c r="I30" i="96"/>
  <c r="I30" i="95" s="1"/>
  <c r="H30" i="96"/>
  <c r="H30" i="95" s="1"/>
  <c r="G30" i="96"/>
  <c r="G30" i="95" s="1"/>
  <c r="F30" i="96"/>
  <c r="F30" i="95" s="1"/>
  <c r="I29" i="96"/>
  <c r="I29" i="95" s="1"/>
  <c r="H29" i="96"/>
  <c r="H29" i="95" s="1"/>
  <c r="G29" i="96"/>
  <c r="G29" i="95" s="1"/>
  <c r="F29" i="96"/>
  <c r="F29" i="95" s="1"/>
  <c r="I28" i="96"/>
  <c r="I28" i="95" s="1"/>
  <c r="H28" i="96"/>
  <c r="H28" i="95" s="1"/>
  <c r="G28" i="96"/>
  <c r="G28" i="95" s="1"/>
  <c r="F28" i="96"/>
  <c r="F28" i="95" s="1"/>
  <c r="I27" i="96"/>
  <c r="I27" i="95" s="1"/>
  <c r="H27" i="96"/>
  <c r="H27" i="95" s="1"/>
  <c r="G27" i="96"/>
  <c r="G27" i="95" s="1"/>
  <c r="F27" i="96"/>
  <c r="F27" i="95" s="1"/>
  <c r="I26" i="96"/>
  <c r="I26" i="95" s="1"/>
  <c r="H26" i="96"/>
  <c r="H26" i="95" s="1"/>
  <c r="G26" i="96"/>
  <c r="G26" i="95" s="1"/>
  <c r="F26" i="96"/>
  <c r="F26" i="95" s="1"/>
  <c r="I25" i="96"/>
  <c r="I25" i="95" s="1"/>
  <c r="H25" i="96"/>
  <c r="H25" i="95" s="1"/>
  <c r="G25" i="96"/>
  <c r="G25" i="95" s="1"/>
  <c r="F25" i="96"/>
  <c r="F25" i="95" s="1"/>
  <c r="I24" i="96"/>
  <c r="I24" i="95" s="1"/>
  <c r="H24" i="96"/>
  <c r="H24" i="95" s="1"/>
  <c r="G24" i="96"/>
  <c r="G24" i="95" s="1"/>
  <c r="F24" i="96"/>
  <c r="F24" i="95" s="1"/>
  <c r="I23" i="96"/>
  <c r="I23" i="95" s="1"/>
  <c r="H23" i="96"/>
  <c r="H23" i="95" s="1"/>
  <c r="G23" i="96"/>
  <c r="G23" i="95" s="1"/>
  <c r="F23" i="96"/>
  <c r="F23" i="95" s="1"/>
  <c r="I22" i="96"/>
  <c r="I22" i="95" s="1"/>
  <c r="H22" i="96"/>
  <c r="H22" i="95" s="1"/>
  <c r="G22" i="96"/>
  <c r="G22" i="95" s="1"/>
  <c r="F22" i="96"/>
  <c r="F22" i="95" s="1"/>
  <c r="I21" i="96"/>
  <c r="I21" i="95" s="1"/>
  <c r="H21" i="96"/>
  <c r="H21" i="95" s="1"/>
  <c r="G21" i="96"/>
  <c r="G21" i="95" s="1"/>
  <c r="F21" i="96"/>
  <c r="F21" i="95" s="1"/>
  <c r="I20" i="96"/>
  <c r="I20" i="95" s="1"/>
  <c r="H20" i="96"/>
  <c r="H20" i="95" s="1"/>
  <c r="G20" i="96"/>
  <c r="G20" i="95" s="1"/>
  <c r="F20" i="96"/>
  <c r="F20" i="95" s="1"/>
  <c r="I19" i="96"/>
  <c r="I19" i="95" s="1"/>
  <c r="H19" i="96"/>
  <c r="H19" i="95" s="1"/>
  <c r="G19" i="96"/>
  <c r="G19" i="95" s="1"/>
  <c r="F19" i="96"/>
  <c r="F19" i="95" s="1"/>
  <c r="I18" i="96"/>
  <c r="I18" i="95" s="1"/>
  <c r="H18" i="96"/>
  <c r="H18" i="95" s="1"/>
  <c r="G18" i="96"/>
  <c r="G18" i="95" s="1"/>
  <c r="F18" i="96"/>
  <c r="F18" i="95" s="1"/>
  <c r="I17" i="96"/>
  <c r="I17" i="95" s="1"/>
  <c r="H17" i="96"/>
  <c r="H17" i="95" s="1"/>
  <c r="G17" i="96"/>
  <c r="G17" i="95" s="1"/>
  <c r="F17" i="96"/>
  <c r="F17" i="95" s="1"/>
  <c r="I16" i="96"/>
  <c r="I16" i="95" s="1"/>
  <c r="H16" i="96"/>
  <c r="H16" i="95" s="1"/>
  <c r="G16" i="96"/>
  <c r="G16" i="95" s="1"/>
  <c r="F16" i="96"/>
  <c r="F16" i="95" s="1"/>
  <c r="I15" i="96"/>
  <c r="I15" i="95" s="1"/>
  <c r="H15" i="96"/>
  <c r="H15" i="95" s="1"/>
  <c r="G15" i="96"/>
  <c r="G15" i="95" s="1"/>
  <c r="F15" i="96"/>
  <c r="F15" i="95" s="1"/>
  <c r="I14" i="96"/>
  <c r="I14" i="95" s="1"/>
  <c r="H14" i="96"/>
  <c r="H14" i="95" s="1"/>
  <c r="G14" i="96"/>
  <c r="G14" i="95" s="1"/>
  <c r="F14" i="96"/>
  <c r="F14" i="95" s="1"/>
  <c r="I13" i="96"/>
  <c r="I13" i="95" s="1"/>
  <c r="H13" i="96"/>
  <c r="H13" i="95" s="1"/>
  <c r="G13" i="96"/>
  <c r="G13" i="95" s="1"/>
  <c r="F13" i="96"/>
  <c r="F13" i="95" s="1"/>
  <c r="I12" i="96"/>
  <c r="I12" i="95" s="1"/>
  <c r="H12" i="96"/>
  <c r="H12" i="95" s="1"/>
  <c r="G12" i="96"/>
  <c r="G12" i="95" s="1"/>
  <c r="F12" i="96"/>
  <c r="F12" i="95" s="1"/>
  <c r="I11" i="96"/>
  <c r="I11" i="95" s="1"/>
  <c r="H11" i="96"/>
  <c r="H11" i="95" s="1"/>
  <c r="G11" i="96"/>
  <c r="G11" i="95" s="1"/>
  <c r="F11" i="96"/>
  <c r="F11" i="95" s="1"/>
  <c r="I10" i="96"/>
  <c r="I10" i="95" s="1"/>
  <c r="H10" i="96"/>
  <c r="H10" i="95" s="1"/>
  <c r="G10" i="96"/>
  <c r="G10" i="95" s="1"/>
  <c r="F10" i="96"/>
  <c r="F10" i="95" s="1"/>
  <c r="I9" i="96"/>
  <c r="I9" i="95" s="1"/>
  <c r="H9" i="96"/>
  <c r="H9" i="95" s="1"/>
  <c r="G9" i="96"/>
  <c r="G9" i="95" s="1"/>
  <c r="F9" i="96"/>
  <c r="F9" i="95" s="1"/>
  <c r="I8" i="96"/>
  <c r="I8" i="95" s="1"/>
  <c r="H8" i="96"/>
  <c r="H8" i="95" s="1"/>
  <c r="G8" i="96"/>
  <c r="G8" i="95" s="1"/>
  <c r="F8" i="96"/>
  <c r="F8" i="95" s="1"/>
  <c r="I7" i="96"/>
  <c r="I7" i="95" s="1"/>
  <c r="H7" i="96"/>
  <c r="H7" i="95" s="1"/>
  <c r="G7" i="96"/>
  <c r="G7" i="95" s="1"/>
  <c r="F7" i="96"/>
  <c r="F7" i="95" s="1"/>
  <c r="I6" i="96"/>
  <c r="I6" i="95" s="1"/>
  <c r="H6" i="96"/>
  <c r="H6" i="95" s="1"/>
  <c r="G6" i="96"/>
  <c r="G6" i="95" s="1"/>
  <c r="F6" i="96"/>
  <c r="F6" i="95" s="1"/>
  <c r="E35" i="96"/>
  <c r="E35" i="95" s="1"/>
  <c r="D35" i="96"/>
  <c r="D35" i="95" s="1"/>
  <c r="C35" i="96"/>
  <c r="C35" i="95" s="1"/>
  <c r="B35" i="96"/>
  <c r="B35" i="95" s="1"/>
  <c r="E34" i="96"/>
  <c r="E34" i="95" s="1"/>
  <c r="D34" i="96"/>
  <c r="D34" i="95" s="1"/>
  <c r="C34" i="96"/>
  <c r="C34" i="95" s="1"/>
  <c r="B34" i="96"/>
  <c r="B34" i="95" s="1"/>
  <c r="E33" i="96"/>
  <c r="E33" i="95" s="1"/>
  <c r="D33" i="96"/>
  <c r="D33" i="95" s="1"/>
  <c r="C33" i="96"/>
  <c r="C33" i="95" s="1"/>
  <c r="B33" i="96"/>
  <c r="B33" i="95" s="1"/>
  <c r="E32" i="96"/>
  <c r="E32" i="95" s="1"/>
  <c r="D32" i="96"/>
  <c r="D32" i="95" s="1"/>
  <c r="C32" i="96"/>
  <c r="C32" i="95" s="1"/>
  <c r="B32" i="96"/>
  <c r="B32" i="95" s="1"/>
  <c r="E31" i="96"/>
  <c r="E31" i="95" s="1"/>
  <c r="D31" i="96"/>
  <c r="D31" i="95" s="1"/>
  <c r="C31" i="96"/>
  <c r="C31" i="95" s="1"/>
  <c r="B31" i="96"/>
  <c r="B31" i="95" s="1"/>
  <c r="E30" i="96"/>
  <c r="E30" i="95" s="1"/>
  <c r="D30" i="96"/>
  <c r="D30" i="95" s="1"/>
  <c r="C30" i="96"/>
  <c r="C30" i="95" s="1"/>
  <c r="B30" i="96"/>
  <c r="B30" i="95" s="1"/>
  <c r="E29" i="96"/>
  <c r="E29" i="95" s="1"/>
  <c r="D29" i="96"/>
  <c r="D29" i="95" s="1"/>
  <c r="C29" i="96"/>
  <c r="C29" i="95" s="1"/>
  <c r="B29" i="96"/>
  <c r="B29" i="95" s="1"/>
  <c r="E28" i="96"/>
  <c r="E28" i="95" s="1"/>
  <c r="D28" i="96"/>
  <c r="D28" i="95" s="1"/>
  <c r="C28" i="96"/>
  <c r="C28" i="95" s="1"/>
  <c r="B28" i="96"/>
  <c r="B28" i="95" s="1"/>
  <c r="E27" i="96"/>
  <c r="E27" i="95" s="1"/>
  <c r="D27" i="96"/>
  <c r="D27" i="95" s="1"/>
  <c r="C27" i="96"/>
  <c r="C27" i="95" s="1"/>
  <c r="B27" i="96"/>
  <c r="B27" i="95" s="1"/>
  <c r="E26" i="96"/>
  <c r="E26" i="95" s="1"/>
  <c r="D26" i="96"/>
  <c r="D26" i="95" s="1"/>
  <c r="C26" i="96"/>
  <c r="C26" i="95" s="1"/>
  <c r="B26" i="96"/>
  <c r="B26" i="95" s="1"/>
  <c r="E25" i="96"/>
  <c r="E25" i="95" s="1"/>
  <c r="D25" i="96"/>
  <c r="D25" i="95" s="1"/>
  <c r="C25" i="96"/>
  <c r="C25" i="95" s="1"/>
  <c r="B25" i="96"/>
  <c r="B25" i="95" s="1"/>
  <c r="E24" i="96"/>
  <c r="E24" i="95" s="1"/>
  <c r="D24" i="96"/>
  <c r="D24" i="95" s="1"/>
  <c r="C24" i="96"/>
  <c r="C24" i="95" s="1"/>
  <c r="B24" i="96"/>
  <c r="B24" i="95" s="1"/>
  <c r="E23" i="96"/>
  <c r="E23" i="95" s="1"/>
  <c r="D23" i="96"/>
  <c r="D23" i="95" s="1"/>
  <c r="C23" i="96"/>
  <c r="C23" i="95" s="1"/>
  <c r="B23" i="96"/>
  <c r="B23" i="95" s="1"/>
  <c r="E22" i="96"/>
  <c r="E22" i="95" s="1"/>
  <c r="D22" i="96"/>
  <c r="D22" i="95" s="1"/>
  <c r="C22" i="96"/>
  <c r="C22" i="95" s="1"/>
  <c r="B22" i="96"/>
  <c r="B22" i="95" s="1"/>
  <c r="E21" i="96"/>
  <c r="E21" i="95" s="1"/>
  <c r="D21" i="96"/>
  <c r="D21" i="95" s="1"/>
  <c r="C21" i="96"/>
  <c r="C21" i="95" s="1"/>
  <c r="B21" i="96"/>
  <c r="B21" i="95" s="1"/>
  <c r="E20" i="96"/>
  <c r="E20" i="95" s="1"/>
  <c r="D20" i="96"/>
  <c r="D20" i="95" s="1"/>
  <c r="C20" i="96"/>
  <c r="C20" i="95" s="1"/>
  <c r="B20" i="96"/>
  <c r="B20" i="95" s="1"/>
  <c r="E19" i="96"/>
  <c r="E19" i="95" s="1"/>
  <c r="D19" i="96"/>
  <c r="D19" i="95" s="1"/>
  <c r="C19" i="96"/>
  <c r="C19" i="95" s="1"/>
  <c r="B19" i="96"/>
  <c r="B19" i="95" s="1"/>
  <c r="E18" i="96"/>
  <c r="E18" i="95" s="1"/>
  <c r="D18" i="96"/>
  <c r="D18" i="95" s="1"/>
  <c r="C18" i="96"/>
  <c r="C18" i="95" s="1"/>
  <c r="B18" i="96"/>
  <c r="B18" i="95" s="1"/>
  <c r="E17" i="96"/>
  <c r="E17" i="95" s="1"/>
  <c r="D17" i="96"/>
  <c r="D17" i="95" s="1"/>
  <c r="C17" i="96"/>
  <c r="C17" i="95" s="1"/>
  <c r="B17" i="96"/>
  <c r="B17" i="95" s="1"/>
  <c r="E16" i="96"/>
  <c r="E16" i="95" s="1"/>
  <c r="D16" i="96"/>
  <c r="D16" i="95" s="1"/>
  <c r="C16" i="96"/>
  <c r="C16" i="95" s="1"/>
  <c r="B16" i="96"/>
  <c r="B16" i="95" s="1"/>
  <c r="E15" i="96"/>
  <c r="E15" i="95" s="1"/>
  <c r="D15" i="96"/>
  <c r="D15" i="95" s="1"/>
  <c r="C15" i="96"/>
  <c r="C15" i="95" s="1"/>
  <c r="B15" i="96"/>
  <c r="B15" i="95" s="1"/>
  <c r="E14" i="96"/>
  <c r="E14" i="95" s="1"/>
  <c r="D14" i="96"/>
  <c r="D14" i="95" s="1"/>
  <c r="C14" i="96"/>
  <c r="C14" i="95" s="1"/>
  <c r="B14" i="96"/>
  <c r="B14" i="95" s="1"/>
  <c r="E13" i="96"/>
  <c r="E13" i="95" s="1"/>
  <c r="D13" i="96"/>
  <c r="D13" i="95" s="1"/>
  <c r="C13" i="96"/>
  <c r="C13" i="95" s="1"/>
  <c r="B13" i="96"/>
  <c r="B13" i="95" s="1"/>
  <c r="E12" i="96"/>
  <c r="E12" i="95" s="1"/>
  <c r="D12" i="96"/>
  <c r="D12" i="95" s="1"/>
  <c r="C12" i="96"/>
  <c r="C12" i="95" s="1"/>
  <c r="B12" i="96"/>
  <c r="B12" i="95" s="1"/>
  <c r="E11" i="96"/>
  <c r="E11" i="95" s="1"/>
  <c r="D11" i="96"/>
  <c r="D11" i="95" s="1"/>
  <c r="C11" i="96"/>
  <c r="C11" i="95" s="1"/>
  <c r="B11" i="96"/>
  <c r="B11" i="95" s="1"/>
  <c r="E10" i="96"/>
  <c r="E10" i="95" s="1"/>
  <c r="D10" i="96"/>
  <c r="D10" i="95" s="1"/>
  <c r="C10" i="96"/>
  <c r="C10" i="95" s="1"/>
  <c r="B10" i="96"/>
  <c r="B10" i="95" s="1"/>
  <c r="E9" i="96"/>
  <c r="E9" i="95" s="1"/>
  <c r="D9" i="96"/>
  <c r="D9" i="95" s="1"/>
  <c r="C9" i="96"/>
  <c r="C9" i="95" s="1"/>
  <c r="B9" i="96"/>
  <c r="B9" i="95" s="1"/>
  <c r="E8" i="96"/>
  <c r="E8" i="95" s="1"/>
  <c r="D8" i="96"/>
  <c r="D8" i="95" s="1"/>
  <c r="C8" i="96"/>
  <c r="C8" i="95" s="1"/>
  <c r="B8" i="96"/>
  <c r="B8" i="95" s="1"/>
  <c r="E7" i="96"/>
  <c r="E7" i="95" s="1"/>
  <c r="D7" i="96"/>
  <c r="D7" i="95" s="1"/>
  <c r="C7" i="96"/>
  <c r="C7" i="95" s="1"/>
  <c r="B7" i="96"/>
  <c r="B7" i="95" s="1"/>
  <c r="E6" i="96"/>
  <c r="E6" i="95" s="1"/>
  <c r="D6" i="96"/>
  <c r="D6" i="95" s="1"/>
  <c r="C6" i="96"/>
  <c r="C6" i="95" s="1"/>
  <c r="B6" i="96"/>
  <c r="B6" i="95" s="1"/>
  <c r="A34" i="96"/>
  <c r="A35" s="1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B38"/>
  <c r="M35" i="98"/>
  <c r="M35" i="97" s="1"/>
  <c r="L35" i="98"/>
  <c r="L35" i="97" s="1"/>
  <c r="K35" i="98"/>
  <c r="K35" i="97" s="1"/>
  <c r="J35" i="98"/>
  <c r="J35" i="97" s="1"/>
  <c r="M34" i="98"/>
  <c r="M34" i="97" s="1"/>
  <c r="L34" i="98"/>
  <c r="L34" i="97" s="1"/>
  <c r="K34" i="98"/>
  <c r="K34" i="97" s="1"/>
  <c r="J34" i="98"/>
  <c r="J34" i="97" s="1"/>
  <c r="M33" i="98"/>
  <c r="M33" i="97" s="1"/>
  <c r="L33" i="98"/>
  <c r="L33" i="97" s="1"/>
  <c r="K33" i="98"/>
  <c r="K33" i="97" s="1"/>
  <c r="J33" i="98"/>
  <c r="J33" i="97" s="1"/>
  <c r="M32" i="98"/>
  <c r="M32" i="97" s="1"/>
  <c r="L32" i="98"/>
  <c r="L32" i="97" s="1"/>
  <c r="K32" i="98"/>
  <c r="K32" i="97" s="1"/>
  <c r="J32" i="98"/>
  <c r="J32" i="97" s="1"/>
  <c r="M31" i="98"/>
  <c r="M31" i="97" s="1"/>
  <c r="L31" i="98"/>
  <c r="L31" i="97" s="1"/>
  <c r="K31" i="98"/>
  <c r="K31" i="97" s="1"/>
  <c r="J31" i="98"/>
  <c r="J31" i="97" s="1"/>
  <c r="M30" i="98"/>
  <c r="M30" i="97" s="1"/>
  <c r="L30" i="98"/>
  <c r="L30" i="97" s="1"/>
  <c r="K30" i="98"/>
  <c r="K30" i="97" s="1"/>
  <c r="J30" i="98"/>
  <c r="J30" i="97" s="1"/>
  <c r="M29" i="98"/>
  <c r="M29" i="97" s="1"/>
  <c r="L29" i="98"/>
  <c r="L29" i="97" s="1"/>
  <c r="K29" i="98"/>
  <c r="K29" i="97" s="1"/>
  <c r="J29" i="98"/>
  <c r="J29" i="97" s="1"/>
  <c r="M28" i="98"/>
  <c r="M28" i="97" s="1"/>
  <c r="L28" i="98"/>
  <c r="L28" i="97" s="1"/>
  <c r="K28" i="98"/>
  <c r="K28" i="97" s="1"/>
  <c r="J28" i="98"/>
  <c r="J28" i="97" s="1"/>
  <c r="M27" i="98"/>
  <c r="M27" i="97" s="1"/>
  <c r="L27" i="98"/>
  <c r="L27" i="97" s="1"/>
  <c r="K27" i="98"/>
  <c r="K27" i="97" s="1"/>
  <c r="J27" i="98"/>
  <c r="J27" i="97" s="1"/>
  <c r="M26" i="98"/>
  <c r="M26" i="97" s="1"/>
  <c r="L26" i="98"/>
  <c r="L26" i="97" s="1"/>
  <c r="K26" i="98"/>
  <c r="K26" i="97" s="1"/>
  <c r="J26" i="98"/>
  <c r="J26" i="97" s="1"/>
  <c r="M25" i="98"/>
  <c r="M25" i="97" s="1"/>
  <c r="L25" i="98"/>
  <c r="L25" i="97" s="1"/>
  <c r="K25" i="98"/>
  <c r="K25" i="97" s="1"/>
  <c r="J25" i="98"/>
  <c r="J25" i="97" s="1"/>
  <c r="M24" i="98"/>
  <c r="M24" i="97" s="1"/>
  <c r="L24" i="98"/>
  <c r="L24" i="97" s="1"/>
  <c r="K24" i="98"/>
  <c r="K24" i="97" s="1"/>
  <c r="J24" i="98"/>
  <c r="J24" i="97" s="1"/>
  <c r="M23" i="98"/>
  <c r="M23" i="97" s="1"/>
  <c r="L23" i="98"/>
  <c r="L23" i="97" s="1"/>
  <c r="K23" i="98"/>
  <c r="K23" i="97" s="1"/>
  <c r="J23" i="98"/>
  <c r="J23" i="97" s="1"/>
  <c r="M22" i="98"/>
  <c r="M22" i="97" s="1"/>
  <c r="L22" i="98"/>
  <c r="L22" i="97" s="1"/>
  <c r="K22" i="98"/>
  <c r="K22" i="97" s="1"/>
  <c r="J22" i="98"/>
  <c r="J22" i="97" s="1"/>
  <c r="M21" i="98"/>
  <c r="M21" i="97" s="1"/>
  <c r="L21" i="98"/>
  <c r="L21" i="97" s="1"/>
  <c r="K21" i="98"/>
  <c r="K21" i="97" s="1"/>
  <c r="J21" i="98"/>
  <c r="J21" i="97" s="1"/>
  <c r="M20" i="98"/>
  <c r="M20" i="97" s="1"/>
  <c r="L20" i="98"/>
  <c r="L20" i="97" s="1"/>
  <c r="K20" i="98"/>
  <c r="K20" i="97" s="1"/>
  <c r="J20" i="98"/>
  <c r="J20" i="97" s="1"/>
  <c r="M19" i="98"/>
  <c r="M19" i="97" s="1"/>
  <c r="L19" i="98"/>
  <c r="L19" i="97" s="1"/>
  <c r="K19" i="98"/>
  <c r="K19" i="97" s="1"/>
  <c r="J19" i="98"/>
  <c r="J19" i="97" s="1"/>
  <c r="M18" i="98"/>
  <c r="M18" i="97" s="1"/>
  <c r="L18" i="98"/>
  <c r="L18" i="97" s="1"/>
  <c r="K18" i="98"/>
  <c r="K18" i="97" s="1"/>
  <c r="J18" i="98"/>
  <c r="J18" i="97" s="1"/>
  <c r="M17" i="98"/>
  <c r="M17" i="97" s="1"/>
  <c r="L17" i="98"/>
  <c r="L17" i="97" s="1"/>
  <c r="K17" i="98"/>
  <c r="K17" i="97" s="1"/>
  <c r="J17" i="98"/>
  <c r="J17" i="97" s="1"/>
  <c r="M16" i="98"/>
  <c r="M16" i="97" s="1"/>
  <c r="L16" i="98"/>
  <c r="L16" i="97" s="1"/>
  <c r="K16" i="98"/>
  <c r="K16" i="97" s="1"/>
  <c r="J16" i="98"/>
  <c r="J16" i="97" s="1"/>
  <c r="M15" i="98"/>
  <c r="M15" i="97" s="1"/>
  <c r="L15" i="98"/>
  <c r="L15" i="97" s="1"/>
  <c r="K15" i="98"/>
  <c r="K15" i="97" s="1"/>
  <c r="J15" i="98"/>
  <c r="J15" i="97" s="1"/>
  <c r="M14" i="98"/>
  <c r="M14" i="97" s="1"/>
  <c r="L14" i="98"/>
  <c r="L14" i="97" s="1"/>
  <c r="K14" i="98"/>
  <c r="K14" i="97" s="1"/>
  <c r="J14" i="98"/>
  <c r="J14" i="97" s="1"/>
  <c r="M13" i="98"/>
  <c r="M13" i="97" s="1"/>
  <c r="L13" i="98"/>
  <c r="L13" i="97" s="1"/>
  <c r="K13" i="98"/>
  <c r="K13" i="97" s="1"/>
  <c r="J13" i="98"/>
  <c r="J13" i="97" s="1"/>
  <c r="M12" i="98"/>
  <c r="M12" i="97" s="1"/>
  <c r="L12" i="98"/>
  <c r="L12" i="97" s="1"/>
  <c r="K12" i="98"/>
  <c r="K12" i="97" s="1"/>
  <c r="J12" i="98"/>
  <c r="J12" i="97" s="1"/>
  <c r="M11" i="98"/>
  <c r="M11" i="97" s="1"/>
  <c r="L11" i="98"/>
  <c r="L11" i="97" s="1"/>
  <c r="K11" i="98"/>
  <c r="K11" i="97" s="1"/>
  <c r="J11" i="98"/>
  <c r="J11" i="97" s="1"/>
  <c r="M10" i="98"/>
  <c r="M10" i="97" s="1"/>
  <c r="L10" i="98"/>
  <c r="L10" i="97" s="1"/>
  <c r="K10" i="98"/>
  <c r="K10" i="97" s="1"/>
  <c r="J10" i="98"/>
  <c r="J10" i="97" s="1"/>
  <c r="M9" i="98"/>
  <c r="M9" i="97" s="1"/>
  <c r="L9" i="98"/>
  <c r="L9" i="97" s="1"/>
  <c r="K9" i="98"/>
  <c r="K9" i="97" s="1"/>
  <c r="J9" i="98"/>
  <c r="J9" i="97" s="1"/>
  <c r="M8" i="98"/>
  <c r="M8" i="97" s="1"/>
  <c r="L8" i="98"/>
  <c r="L8" i="97" s="1"/>
  <c r="K8" i="98"/>
  <c r="K8" i="97" s="1"/>
  <c r="J8" i="98"/>
  <c r="J8" i="97" s="1"/>
  <c r="M7" i="98"/>
  <c r="M7" i="97" s="1"/>
  <c r="L7" i="98"/>
  <c r="L7" i="97" s="1"/>
  <c r="K7" i="98"/>
  <c r="K7" i="97" s="1"/>
  <c r="J7" i="98"/>
  <c r="J7" i="97" s="1"/>
  <c r="M6" i="98"/>
  <c r="M6" i="97" s="1"/>
  <c r="L6" i="98"/>
  <c r="L6" i="97" s="1"/>
  <c r="K6" i="98"/>
  <c r="K6" i="97" s="1"/>
  <c r="J6" i="98"/>
  <c r="J6" i="97" s="1"/>
  <c r="I35" i="98"/>
  <c r="I35" i="97" s="1"/>
  <c r="H35" i="98"/>
  <c r="H35" i="97" s="1"/>
  <c r="G35" i="98"/>
  <c r="G35" i="97" s="1"/>
  <c r="F35" i="98"/>
  <c r="F35" i="97" s="1"/>
  <c r="I34" i="98"/>
  <c r="I34" i="97" s="1"/>
  <c r="H34" i="98"/>
  <c r="H34" i="97" s="1"/>
  <c r="G34" i="98"/>
  <c r="G34" i="97" s="1"/>
  <c r="F34" i="98"/>
  <c r="F34" i="97" s="1"/>
  <c r="I33" i="98"/>
  <c r="I33" i="97" s="1"/>
  <c r="H33" i="98"/>
  <c r="H33" i="97" s="1"/>
  <c r="G33" i="98"/>
  <c r="G33" i="97" s="1"/>
  <c r="F33" i="98"/>
  <c r="F33" i="97" s="1"/>
  <c r="I32" i="98"/>
  <c r="I32" i="97" s="1"/>
  <c r="H32" i="98"/>
  <c r="H32" i="97" s="1"/>
  <c r="G32" i="98"/>
  <c r="G32" i="97" s="1"/>
  <c r="F32" i="98"/>
  <c r="F32" i="97" s="1"/>
  <c r="I31" i="98"/>
  <c r="I31" i="97" s="1"/>
  <c r="H31" i="98"/>
  <c r="H31" i="97" s="1"/>
  <c r="G31" i="98"/>
  <c r="G31" i="97" s="1"/>
  <c r="F31" i="98"/>
  <c r="F31" i="97" s="1"/>
  <c r="I30" i="98"/>
  <c r="I30" i="97" s="1"/>
  <c r="H30" i="98"/>
  <c r="H30" i="97" s="1"/>
  <c r="G30" i="98"/>
  <c r="G30" i="97" s="1"/>
  <c r="F30" i="98"/>
  <c r="F30" i="97" s="1"/>
  <c r="I29" i="98"/>
  <c r="I29" i="97" s="1"/>
  <c r="H29" i="98"/>
  <c r="H29" i="97" s="1"/>
  <c r="G29" i="98"/>
  <c r="G29" i="97" s="1"/>
  <c r="F29" i="98"/>
  <c r="F29" i="97" s="1"/>
  <c r="I28" i="98"/>
  <c r="I28" i="97" s="1"/>
  <c r="H28" i="98"/>
  <c r="H28" i="97" s="1"/>
  <c r="G28" i="98"/>
  <c r="G28" i="97" s="1"/>
  <c r="F28" i="98"/>
  <c r="F28" i="97" s="1"/>
  <c r="I27" i="98"/>
  <c r="I27" i="97" s="1"/>
  <c r="H27" i="98"/>
  <c r="H27" i="97" s="1"/>
  <c r="G27" i="98"/>
  <c r="G27" i="97" s="1"/>
  <c r="F27" i="98"/>
  <c r="F27" i="97" s="1"/>
  <c r="I26" i="98"/>
  <c r="I26" i="97" s="1"/>
  <c r="H26" i="98"/>
  <c r="H26" i="97" s="1"/>
  <c r="G26" i="98"/>
  <c r="G26" i="97" s="1"/>
  <c r="F26" i="98"/>
  <c r="F26" i="97" s="1"/>
  <c r="I25" i="98"/>
  <c r="I25" i="97" s="1"/>
  <c r="H25" i="98"/>
  <c r="H25" i="97" s="1"/>
  <c r="G25" i="98"/>
  <c r="G25" i="97" s="1"/>
  <c r="F25" i="98"/>
  <c r="F25" i="97" s="1"/>
  <c r="I24" i="98"/>
  <c r="I24" i="97" s="1"/>
  <c r="H24" i="98"/>
  <c r="H24" i="97" s="1"/>
  <c r="G24" i="98"/>
  <c r="G24" i="97" s="1"/>
  <c r="F24" i="98"/>
  <c r="F24" i="97" s="1"/>
  <c r="I23" i="98"/>
  <c r="I23" i="97" s="1"/>
  <c r="H23" i="98"/>
  <c r="H23" i="97" s="1"/>
  <c r="G23" i="98"/>
  <c r="G23" i="97" s="1"/>
  <c r="F23" i="98"/>
  <c r="F23" i="97" s="1"/>
  <c r="I22" i="98"/>
  <c r="I22" i="97" s="1"/>
  <c r="H22" i="98"/>
  <c r="H22" i="97" s="1"/>
  <c r="G22" i="98"/>
  <c r="G22" i="97" s="1"/>
  <c r="F22" i="98"/>
  <c r="F22" i="97" s="1"/>
  <c r="I21" i="98"/>
  <c r="I21" i="97" s="1"/>
  <c r="H21" i="98"/>
  <c r="H21" i="97" s="1"/>
  <c r="G21" i="98"/>
  <c r="G21" i="97" s="1"/>
  <c r="F21" i="98"/>
  <c r="F21" i="97" s="1"/>
  <c r="I20" i="98"/>
  <c r="I20" i="97" s="1"/>
  <c r="H20" i="98"/>
  <c r="H20" i="97" s="1"/>
  <c r="G20" i="98"/>
  <c r="G20" i="97" s="1"/>
  <c r="F20" i="98"/>
  <c r="F20" i="97" s="1"/>
  <c r="I19" i="98"/>
  <c r="I19" i="97" s="1"/>
  <c r="H19" i="98"/>
  <c r="H19" i="97" s="1"/>
  <c r="G19" i="98"/>
  <c r="G19" i="97" s="1"/>
  <c r="F19" i="98"/>
  <c r="F19" i="97" s="1"/>
  <c r="I18" i="98"/>
  <c r="I18" i="97" s="1"/>
  <c r="H18" i="98"/>
  <c r="H18" i="97" s="1"/>
  <c r="G18" i="98"/>
  <c r="G18" i="97" s="1"/>
  <c r="F18" i="98"/>
  <c r="F18" i="97" s="1"/>
  <c r="I17" i="98"/>
  <c r="I17" i="97" s="1"/>
  <c r="H17" i="98"/>
  <c r="H17" i="97" s="1"/>
  <c r="G17" i="98"/>
  <c r="G17" i="97" s="1"/>
  <c r="F17" i="98"/>
  <c r="F17" i="97" s="1"/>
  <c r="I16" i="98"/>
  <c r="I16" i="97" s="1"/>
  <c r="H16" i="98"/>
  <c r="H16" i="97" s="1"/>
  <c r="G16" i="98"/>
  <c r="G16" i="97" s="1"/>
  <c r="F16" i="98"/>
  <c r="F16" i="97" s="1"/>
  <c r="I15" i="98"/>
  <c r="I15" i="97" s="1"/>
  <c r="H15" i="98"/>
  <c r="H15" i="97" s="1"/>
  <c r="G15" i="98"/>
  <c r="G15" i="97" s="1"/>
  <c r="F15" i="98"/>
  <c r="F15" i="97" s="1"/>
  <c r="I14" i="98"/>
  <c r="I14" i="97" s="1"/>
  <c r="H14" i="98"/>
  <c r="H14" i="97" s="1"/>
  <c r="G14" i="98"/>
  <c r="G14" i="97" s="1"/>
  <c r="F14" i="98"/>
  <c r="F14" i="97" s="1"/>
  <c r="I13" i="98"/>
  <c r="I13" i="97" s="1"/>
  <c r="H13" i="98"/>
  <c r="H13" i="97" s="1"/>
  <c r="G13" i="98"/>
  <c r="G13" i="97" s="1"/>
  <c r="F13" i="98"/>
  <c r="F13" i="97" s="1"/>
  <c r="I12" i="98"/>
  <c r="I12" i="97" s="1"/>
  <c r="H12" i="98"/>
  <c r="H12" i="97" s="1"/>
  <c r="G12" i="98"/>
  <c r="G12" i="97" s="1"/>
  <c r="F12" i="98"/>
  <c r="F12" i="97" s="1"/>
  <c r="I11" i="98"/>
  <c r="I11" i="97" s="1"/>
  <c r="H11" i="98"/>
  <c r="H11" i="97" s="1"/>
  <c r="G11" i="98"/>
  <c r="G11" i="97" s="1"/>
  <c r="F11" i="98"/>
  <c r="F11" i="97" s="1"/>
  <c r="I10" i="98"/>
  <c r="I10" i="97" s="1"/>
  <c r="H10" i="98"/>
  <c r="H10" i="97" s="1"/>
  <c r="G10" i="98"/>
  <c r="G10" i="97" s="1"/>
  <c r="F10" i="98"/>
  <c r="F10" i="97" s="1"/>
  <c r="I9" i="98"/>
  <c r="I9" i="97" s="1"/>
  <c r="H9" i="98"/>
  <c r="H9" i="97" s="1"/>
  <c r="G9" i="98"/>
  <c r="G9" i="97" s="1"/>
  <c r="F9" i="98"/>
  <c r="F9" i="97" s="1"/>
  <c r="I8" i="98"/>
  <c r="I8" i="97" s="1"/>
  <c r="H8" i="98"/>
  <c r="H8" i="97" s="1"/>
  <c r="G8" i="98"/>
  <c r="G8" i="97" s="1"/>
  <c r="F8" i="98"/>
  <c r="F8" i="97" s="1"/>
  <c r="I7" i="98"/>
  <c r="I7" i="97" s="1"/>
  <c r="H7" i="98"/>
  <c r="H7" i="97" s="1"/>
  <c r="G7" i="98"/>
  <c r="G7" i="97" s="1"/>
  <c r="F7" i="98"/>
  <c r="F7" i="97" s="1"/>
  <c r="I6" i="98"/>
  <c r="I6" i="97" s="1"/>
  <c r="H6" i="98"/>
  <c r="H6" i="97" s="1"/>
  <c r="G6" i="98"/>
  <c r="G6" i="97" s="1"/>
  <c r="F6" i="98"/>
  <c r="F6" i="97" s="1"/>
  <c r="E35" i="98"/>
  <c r="E35" i="97" s="1"/>
  <c r="D35" i="98"/>
  <c r="D35" i="97" s="1"/>
  <c r="C35" i="98"/>
  <c r="C35" i="97" s="1"/>
  <c r="B35" i="98"/>
  <c r="B35" i="97" s="1"/>
  <c r="E34" i="98"/>
  <c r="E34" i="97" s="1"/>
  <c r="D34" i="98"/>
  <c r="D34" i="97" s="1"/>
  <c r="C34" i="98"/>
  <c r="C34" i="97" s="1"/>
  <c r="B34" i="98"/>
  <c r="B34" i="97" s="1"/>
  <c r="E33" i="98"/>
  <c r="E33" i="97" s="1"/>
  <c r="D33" i="98"/>
  <c r="D33" i="97" s="1"/>
  <c r="C33" i="98"/>
  <c r="C33" i="97" s="1"/>
  <c r="B33" i="98"/>
  <c r="B33" i="97" s="1"/>
  <c r="E32" i="98"/>
  <c r="E32" i="97" s="1"/>
  <c r="D32" i="98"/>
  <c r="D32" i="97" s="1"/>
  <c r="C32" i="98"/>
  <c r="C32" i="97" s="1"/>
  <c r="B32" i="98"/>
  <c r="B32" i="97" s="1"/>
  <c r="E31" i="98"/>
  <c r="E31" i="97" s="1"/>
  <c r="D31" i="98"/>
  <c r="D31" i="97" s="1"/>
  <c r="C31" i="98"/>
  <c r="C31" i="97" s="1"/>
  <c r="B31" i="98"/>
  <c r="B31" i="97" s="1"/>
  <c r="E30" i="98"/>
  <c r="E30" i="97" s="1"/>
  <c r="D30" i="98"/>
  <c r="D30" i="97" s="1"/>
  <c r="C30" i="98"/>
  <c r="C30" i="97" s="1"/>
  <c r="B30" i="98"/>
  <c r="B30" i="97" s="1"/>
  <c r="E29" i="98"/>
  <c r="E29" i="97" s="1"/>
  <c r="D29" i="98"/>
  <c r="D29" i="97" s="1"/>
  <c r="C29" i="98"/>
  <c r="C29" i="97" s="1"/>
  <c r="B29" i="98"/>
  <c r="B29" i="97" s="1"/>
  <c r="E28" i="98"/>
  <c r="E28" i="97" s="1"/>
  <c r="D28" i="98"/>
  <c r="D28" i="97" s="1"/>
  <c r="C28" i="98"/>
  <c r="C28" i="97" s="1"/>
  <c r="B28" i="98"/>
  <c r="B28" i="97" s="1"/>
  <c r="E27" i="98"/>
  <c r="E27" i="97" s="1"/>
  <c r="D27" i="98"/>
  <c r="D27" i="97" s="1"/>
  <c r="C27" i="98"/>
  <c r="C27" i="97" s="1"/>
  <c r="B27" i="98"/>
  <c r="B27" i="97" s="1"/>
  <c r="E26" i="98"/>
  <c r="E26" i="97" s="1"/>
  <c r="D26" i="98"/>
  <c r="D26" i="97" s="1"/>
  <c r="C26" i="98"/>
  <c r="C26" i="97" s="1"/>
  <c r="B26" i="98"/>
  <c r="B26" i="97" s="1"/>
  <c r="E25" i="98"/>
  <c r="E25" i="97" s="1"/>
  <c r="D25" i="98"/>
  <c r="D25" i="97" s="1"/>
  <c r="C25" i="98"/>
  <c r="C25" i="97" s="1"/>
  <c r="B25" i="98"/>
  <c r="B25" i="97" s="1"/>
  <c r="E24" i="98"/>
  <c r="E24" i="97" s="1"/>
  <c r="D24" i="98"/>
  <c r="D24" i="97" s="1"/>
  <c r="C24" i="98"/>
  <c r="C24" i="97" s="1"/>
  <c r="B24" i="98"/>
  <c r="B24" i="97" s="1"/>
  <c r="E23" i="98"/>
  <c r="E23" i="97" s="1"/>
  <c r="D23" i="98"/>
  <c r="D23" i="97" s="1"/>
  <c r="C23" i="98"/>
  <c r="C23" i="97" s="1"/>
  <c r="B23" i="98"/>
  <c r="B23" i="97" s="1"/>
  <c r="E22" i="98"/>
  <c r="E22" i="97" s="1"/>
  <c r="D22" i="98"/>
  <c r="D22" i="97" s="1"/>
  <c r="C22" i="98"/>
  <c r="C22" i="97" s="1"/>
  <c r="B22" i="98"/>
  <c r="B22" i="97" s="1"/>
  <c r="E21" i="98"/>
  <c r="E21" i="97" s="1"/>
  <c r="D21" i="98"/>
  <c r="D21" i="97" s="1"/>
  <c r="C21" i="98"/>
  <c r="C21" i="97" s="1"/>
  <c r="B21" i="98"/>
  <c r="B21" i="97" s="1"/>
  <c r="E20" i="98"/>
  <c r="E20" i="97" s="1"/>
  <c r="D20" i="98"/>
  <c r="D20" i="97" s="1"/>
  <c r="C20" i="98"/>
  <c r="C20" i="97" s="1"/>
  <c r="B20" i="98"/>
  <c r="B20" i="97" s="1"/>
  <c r="E19" i="98"/>
  <c r="E19" i="97" s="1"/>
  <c r="D19" i="98"/>
  <c r="D19" i="97" s="1"/>
  <c r="C19" i="98"/>
  <c r="C19" i="97" s="1"/>
  <c r="B19" i="98"/>
  <c r="B19" i="97" s="1"/>
  <c r="E18" i="98"/>
  <c r="E18" i="97" s="1"/>
  <c r="D18" i="98"/>
  <c r="D18" i="97" s="1"/>
  <c r="C18" i="98"/>
  <c r="C18" i="97" s="1"/>
  <c r="B18" i="98"/>
  <c r="B18" i="97" s="1"/>
  <c r="E17" i="98"/>
  <c r="E17" i="97" s="1"/>
  <c r="D17" i="98"/>
  <c r="D17" i="97" s="1"/>
  <c r="C17" i="98"/>
  <c r="C17" i="97" s="1"/>
  <c r="B17" i="98"/>
  <c r="B17" i="97" s="1"/>
  <c r="E16" i="98"/>
  <c r="E16" i="97" s="1"/>
  <c r="D16" i="98"/>
  <c r="D16" i="97" s="1"/>
  <c r="C16" i="98"/>
  <c r="C16" i="97" s="1"/>
  <c r="B16" i="98"/>
  <c r="B16" i="97" s="1"/>
  <c r="E15" i="98"/>
  <c r="E15" i="97" s="1"/>
  <c r="D15" i="98"/>
  <c r="D15" i="97" s="1"/>
  <c r="C15" i="98"/>
  <c r="C15" i="97" s="1"/>
  <c r="B15" i="98"/>
  <c r="B15" i="97" s="1"/>
  <c r="E14" i="98"/>
  <c r="E14" i="97" s="1"/>
  <c r="D14" i="98"/>
  <c r="D14" i="97" s="1"/>
  <c r="C14" i="98"/>
  <c r="C14" i="97" s="1"/>
  <c r="B14" i="98"/>
  <c r="B14" i="97" s="1"/>
  <c r="E13" i="98"/>
  <c r="E13" i="97" s="1"/>
  <c r="D13" i="98"/>
  <c r="D13" i="97" s="1"/>
  <c r="C13" i="98"/>
  <c r="C13" i="97" s="1"/>
  <c r="B13" i="98"/>
  <c r="B13" i="97" s="1"/>
  <c r="E12" i="98"/>
  <c r="E12" i="97" s="1"/>
  <c r="D12" i="98"/>
  <c r="D12" i="97" s="1"/>
  <c r="C12" i="98"/>
  <c r="C12" i="97" s="1"/>
  <c r="B12" i="98"/>
  <c r="B12" i="97" s="1"/>
  <c r="E11" i="98"/>
  <c r="E11" i="97" s="1"/>
  <c r="D11" i="98"/>
  <c r="D11" i="97" s="1"/>
  <c r="C11" i="98"/>
  <c r="C11" i="97" s="1"/>
  <c r="B11" i="98"/>
  <c r="B11" i="97" s="1"/>
  <c r="E10" i="98"/>
  <c r="E10" i="97" s="1"/>
  <c r="D10" i="98"/>
  <c r="D10" i="97" s="1"/>
  <c r="C10" i="98"/>
  <c r="C10" i="97" s="1"/>
  <c r="B10" i="98"/>
  <c r="B10" i="97" s="1"/>
  <c r="E9" i="98"/>
  <c r="E9" i="97" s="1"/>
  <c r="D9" i="98"/>
  <c r="D9" i="97" s="1"/>
  <c r="C9" i="98"/>
  <c r="C9" i="97" s="1"/>
  <c r="B9" i="98"/>
  <c r="B9" i="97" s="1"/>
  <c r="E8" i="98"/>
  <c r="E8" i="97" s="1"/>
  <c r="D8" i="98"/>
  <c r="D8" i="97" s="1"/>
  <c r="C8" i="98"/>
  <c r="C8" i="97" s="1"/>
  <c r="B8" i="98"/>
  <c r="B8" i="97" s="1"/>
  <c r="E7" i="98"/>
  <c r="E7" i="97" s="1"/>
  <c r="D7" i="98"/>
  <c r="D7" i="97" s="1"/>
  <c r="C7" i="98"/>
  <c r="C7" i="97" s="1"/>
  <c r="B7" i="98"/>
  <c r="B7" i="97" s="1"/>
  <c r="E6" i="98"/>
  <c r="E6" i="97" s="1"/>
  <c r="D6" i="98"/>
  <c r="D6" i="97" s="1"/>
  <c r="C6" i="98"/>
  <c r="C6" i="97" s="1"/>
  <c r="B38" i="1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35"/>
  <c r="I34"/>
  <c r="I33"/>
  <c r="I32"/>
  <c r="I31"/>
  <c r="I30"/>
  <c r="I29"/>
  <c r="I28"/>
  <c r="I27"/>
  <c r="I26"/>
  <c r="I25"/>
  <c r="I24"/>
  <c r="I23"/>
  <c r="I22"/>
  <c r="I21"/>
  <c r="I15"/>
  <c r="I14"/>
  <c r="I13"/>
  <c r="I12"/>
  <c r="I11"/>
  <c r="I10"/>
  <c r="I9"/>
  <c r="I8"/>
  <c r="I7"/>
  <c r="I6"/>
  <c r="I5"/>
  <c r="E35"/>
  <c r="E34"/>
  <c r="E33"/>
  <c r="E32"/>
  <c r="E31"/>
  <c r="E30"/>
  <c r="E29"/>
  <c r="E28"/>
  <c r="E27"/>
  <c r="E26"/>
  <c r="E25"/>
  <c r="E24"/>
  <c r="E23"/>
  <c r="E22"/>
  <c r="E21"/>
  <c r="E20"/>
  <c r="E18"/>
  <c r="E15"/>
  <c r="E14"/>
  <c r="E13"/>
  <c r="E12"/>
  <c r="E11"/>
  <c r="E10"/>
  <c r="E9"/>
  <c r="E8"/>
  <c r="E7"/>
  <c r="E6"/>
  <c r="E5"/>
  <c r="B5" i="83"/>
  <c r="A34" i="97"/>
  <c r="A35" s="1"/>
  <c r="A34" i="98"/>
  <c r="A35" s="1"/>
  <c r="M39"/>
  <c r="L39"/>
  <c r="K39"/>
  <c r="J39"/>
  <c r="I39"/>
  <c r="H39"/>
  <c r="G39"/>
  <c r="F39"/>
  <c r="D39"/>
  <c r="B39"/>
  <c r="M38"/>
  <c r="L38"/>
  <c r="K38"/>
  <c r="J38"/>
  <c r="I38"/>
  <c r="H38"/>
  <c r="G38"/>
  <c r="F38"/>
  <c r="D38"/>
  <c r="B38"/>
  <c r="A34" i="94"/>
  <c r="A35" s="1"/>
  <c r="M35" i="93"/>
  <c r="M35" i="94" s="1"/>
  <c r="L35" i="93"/>
  <c r="L35" i="94" s="1"/>
  <c r="K35" i="93"/>
  <c r="K35" i="94" s="1"/>
  <c r="J35" i="93"/>
  <c r="J35" i="94" s="1"/>
  <c r="M34" i="93"/>
  <c r="M34" i="94" s="1"/>
  <c r="L34" i="93"/>
  <c r="L34" i="94" s="1"/>
  <c r="K34" i="93"/>
  <c r="K34" i="94" s="1"/>
  <c r="J34" i="93"/>
  <c r="J34" i="94" s="1"/>
  <c r="M33" i="93"/>
  <c r="M33" i="94" s="1"/>
  <c r="L33" i="93"/>
  <c r="L33" i="94" s="1"/>
  <c r="K33" i="93"/>
  <c r="K33" i="94" s="1"/>
  <c r="J33" i="93"/>
  <c r="J33" i="94" s="1"/>
  <c r="M32" i="93"/>
  <c r="M32" i="94" s="1"/>
  <c r="L32" i="93"/>
  <c r="L32" i="94" s="1"/>
  <c r="K32" i="93"/>
  <c r="K32" i="94" s="1"/>
  <c r="J32" i="93"/>
  <c r="J32" i="94" s="1"/>
  <c r="M31" i="93"/>
  <c r="M31" i="94" s="1"/>
  <c r="L31" i="93"/>
  <c r="L31" i="94" s="1"/>
  <c r="K31" i="93"/>
  <c r="K31" i="94" s="1"/>
  <c r="J31" i="93"/>
  <c r="J31" i="94" s="1"/>
  <c r="M30" i="93"/>
  <c r="M30" i="94" s="1"/>
  <c r="L30" i="93"/>
  <c r="L30" i="94" s="1"/>
  <c r="K30" i="93"/>
  <c r="K30" i="94" s="1"/>
  <c r="J30" i="93"/>
  <c r="J30" i="94" s="1"/>
  <c r="M29" i="93"/>
  <c r="M29" i="94" s="1"/>
  <c r="L29" i="93"/>
  <c r="L29" i="94" s="1"/>
  <c r="K29" i="93"/>
  <c r="K29" i="94" s="1"/>
  <c r="J29" i="93"/>
  <c r="J29" i="94" s="1"/>
  <c r="M28" i="93"/>
  <c r="M28" i="94" s="1"/>
  <c r="L28" i="93"/>
  <c r="L28" i="94" s="1"/>
  <c r="K28" i="93"/>
  <c r="K28" i="94" s="1"/>
  <c r="J28" i="93"/>
  <c r="J28" i="94" s="1"/>
  <c r="M27" i="93"/>
  <c r="M27" i="94" s="1"/>
  <c r="L27" i="93"/>
  <c r="L27" i="94" s="1"/>
  <c r="K27" i="93"/>
  <c r="K27" i="94" s="1"/>
  <c r="J27" i="93"/>
  <c r="J27" i="94" s="1"/>
  <c r="M26" i="93"/>
  <c r="M26" i="94" s="1"/>
  <c r="L26" i="93"/>
  <c r="L26" i="94" s="1"/>
  <c r="K26" i="93"/>
  <c r="K26" i="94" s="1"/>
  <c r="J26" i="93"/>
  <c r="J26" i="94" s="1"/>
  <c r="M25" i="93"/>
  <c r="M25" i="94" s="1"/>
  <c r="L25" i="93"/>
  <c r="L25" i="94" s="1"/>
  <c r="K25" i="93"/>
  <c r="K25" i="94" s="1"/>
  <c r="J25" i="93"/>
  <c r="J25" i="94" s="1"/>
  <c r="M24" i="93"/>
  <c r="M24" i="94" s="1"/>
  <c r="L24" i="93"/>
  <c r="L24" i="94" s="1"/>
  <c r="K24" i="93"/>
  <c r="K24" i="94" s="1"/>
  <c r="J24" i="93"/>
  <c r="J24" i="94" s="1"/>
  <c r="M23" i="93"/>
  <c r="M23" i="94" s="1"/>
  <c r="L23" i="93"/>
  <c r="L23" i="94" s="1"/>
  <c r="K23" i="93"/>
  <c r="K23" i="94" s="1"/>
  <c r="J23" i="93"/>
  <c r="J23" i="94" s="1"/>
  <c r="M22" i="93"/>
  <c r="M22" i="94" s="1"/>
  <c r="L22" i="93"/>
  <c r="L22" i="94" s="1"/>
  <c r="K22" i="93"/>
  <c r="K22" i="94" s="1"/>
  <c r="J22" i="93"/>
  <c r="J22" i="94" s="1"/>
  <c r="M21" i="93"/>
  <c r="M21" i="94" s="1"/>
  <c r="L21" i="93"/>
  <c r="L21" i="94" s="1"/>
  <c r="K21" i="93"/>
  <c r="K21" i="94" s="1"/>
  <c r="J21" i="93"/>
  <c r="J21" i="94" s="1"/>
  <c r="M20" i="93"/>
  <c r="M20" i="94" s="1"/>
  <c r="L20" i="93"/>
  <c r="L20" i="94" s="1"/>
  <c r="K20" i="93"/>
  <c r="K20" i="94" s="1"/>
  <c r="J20" i="93"/>
  <c r="J20" i="94" s="1"/>
  <c r="M19" i="93"/>
  <c r="M19" i="94" s="1"/>
  <c r="L19" i="93"/>
  <c r="L19" i="94" s="1"/>
  <c r="K19" i="93"/>
  <c r="K19" i="94" s="1"/>
  <c r="J19" i="93"/>
  <c r="J19" i="94" s="1"/>
  <c r="M18" i="93"/>
  <c r="M18" i="94" s="1"/>
  <c r="L18" i="93"/>
  <c r="L18" i="94" s="1"/>
  <c r="K18" i="93"/>
  <c r="K18" i="94" s="1"/>
  <c r="J18" i="93"/>
  <c r="J18" i="94" s="1"/>
  <c r="M17" i="93"/>
  <c r="M17" i="94" s="1"/>
  <c r="L17" i="93"/>
  <c r="L17" i="94" s="1"/>
  <c r="K17" i="93"/>
  <c r="K17" i="94" s="1"/>
  <c r="J17" i="93"/>
  <c r="J17" i="94" s="1"/>
  <c r="M16" i="93"/>
  <c r="M16" i="94" s="1"/>
  <c r="L16" i="93"/>
  <c r="L16" i="94" s="1"/>
  <c r="K16" i="93"/>
  <c r="K16" i="94" s="1"/>
  <c r="J16" i="93"/>
  <c r="J16" i="94" s="1"/>
  <c r="M15" i="93"/>
  <c r="M15" i="94" s="1"/>
  <c r="L15" i="93"/>
  <c r="L15" i="94" s="1"/>
  <c r="K15" i="93"/>
  <c r="K15" i="94" s="1"/>
  <c r="J15" i="93"/>
  <c r="J15" i="94" s="1"/>
  <c r="M14" i="93"/>
  <c r="M14" i="94" s="1"/>
  <c r="L14" i="93"/>
  <c r="L14" i="94" s="1"/>
  <c r="K14" i="93"/>
  <c r="K14" i="94" s="1"/>
  <c r="J14" i="93"/>
  <c r="J14" i="94" s="1"/>
  <c r="M13" i="93"/>
  <c r="M13" i="94" s="1"/>
  <c r="L13" i="93"/>
  <c r="L13" i="94" s="1"/>
  <c r="K13" i="93"/>
  <c r="K13" i="94" s="1"/>
  <c r="J13" i="93"/>
  <c r="J13" i="94" s="1"/>
  <c r="M12" i="93"/>
  <c r="M12" i="94" s="1"/>
  <c r="L12" i="93"/>
  <c r="L12" i="94" s="1"/>
  <c r="K12" i="93"/>
  <c r="K12" i="94" s="1"/>
  <c r="J12" i="93"/>
  <c r="J12" i="94" s="1"/>
  <c r="M11" i="93"/>
  <c r="M11" i="94" s="1"/>
  <c r="L11" i="93"/>
  <c r="L11" i="94" s="1"/>
  <c r="K11" i="93"/>
  <c r="K11" i="94" s="1"/>
  <c r="J11" i="93"/>
  <c r="J11" i="94" s="1"/>
  <c r="M10" i="93"/>
  <c r="M10" i="94" s="1"/>
  <c r="L10" i="93"/>
  <c r="L10" i="94" s="1"/>
  <c r="K10" i="93"/>
  <c r="K10" i="94" s="1"/>
  <c r="J10" i="93"/>
  <c r="J10" i="94" s="1"/>
  <c r="M9" i="93"/>
  <c r="M9" i="94" s="1"/>
  <c r="L9" i="93"/>
  <c r="L9" i="94" s="1"/>
  <c r="K9" i="93"/>
  <c r="K9" i="94" s="1"/>
  <c r="J9" i="93"/>
  <c r="J9" i="94" s="1"/>
  <c r="M8" i="93"/>
  <c r="M8" i="94" s="1"/>
  <c r="L8" i="93"/>
  <c r="L8" i="94" s="1"/>
  <c r="K8" i="93"/>
  <c r="K8" i="94" s="1"/>
  <c r="J8" i="93"/>
  <c r="J8" i="94" s="1"/>
  <c r="M7" i="93"/>
  <c r="M7" i="94" s="1"/>
  <c r="L7" i="93"/>
  <c r="L7" i="94" s="1"/>
  <c r="K7" i="93"/>
  <c r="K7" i="94" s="1"/>
  <c r="J7" i="93"/>
  <c r="J7" i="94" s="1"/>
  <c r="M6" i="93"/>
  <c r="M6" i="94" s="1"/>
  <c r="L6" i="93"/>
  <c r="L6" i="94" s="1"/>
  <c r="K6" i="93"/>
  <c r="K6" i="94" s="1"/>
  <c r="J6" i="93"/>
  <c r="J6" i="94" s="1"/>
  <c r="I35" i="93"/>
  <c r="I35" i="94" s="1"/>
  <c r="H35" i="93"/>
  <c r="H35" i="94" s="1"/>
  <c r="G35" i="93"/>
  <c r="G35" i="94" s="1"/>
  <c r="F35" i="93"/>
  <c r="F35" i="94" s="1"/>
  <c r="I34" i="93"/>
  <c r="I34" i="94" s="1"/>
  <c r="H34" i="93"/>
  <c r="H34" i="94" s="1"/>
  <c r="G34" i="93"/>
  <c r="G34" i="94" s="1"/>
  <c r="F34" i="93"/>
  <c r="F34" i="94" s="1"/>
  <c r="I33" i="93"/>
  <c r="I33" i="94" s="1"/>
  <c r="H33" i="93"/>
  <c r="H33" i="94" s="1"/>
  <c r="G33" i="93"/>
  <c r="G33" i="94" s="1"/>
  <c r="F33" i="93"/>
  <c r="F33" i="94" s="1"/>
  <c r="I32" i="93"/>
  <c r="I32" i="94" s="1"/>
  <c r="H32" i="93"/>
  <c r="H32" i="94" s="1"/>
  <c r="G32" i="93"/>
  <c r="G32" i="94" s="1"/>
  <c r="F32" i="93"/>
  <c r="F32" i="94" s="1"/>
  <c r="I31" i="93"/>
  <c r="I31" i="94" s="1"/>
  <c r="H31" i="93"/>
  <c r="H31" i="94" s="1"/>
  <c r="G31" i="93"/>
  <c r="G31" i="94" s="1"/>
  <c r="F31" i="93"/>
  <c r="F31" i="94" s="1"/>
  <c r="I30" i="93"/>
  <c r="I30" i="94" s="1"/>
  <c r="H30" i="93"/>
  <c r="H30" i="94" s="1"/>
  <c r="G30" i="93"/>
  <c r="G30" i="94" s="1"/>
  <c r="F30" i="93"/>
  <c r="F30" i="94" s="1"/>
  <c r="I29" i="93"/>
  <c r="I29" i="94" s="1"/>
  <c r="H29" i="93"/>
  <c r="H29" i="94" s="1"/>
  <c r="G29" i="93"/>
  <c r="G29" i="94" s="1"/>
  <c r="F29" i="93"/>
  <c r="F29" i="94" s="1"/>
  <c r="I28" i="93"/>
  <c r="I28" i="94" s="1"/>
  <c r="H28" i="93"/>
  <c r="H28" i="94" s="1"/>
  <c r="G28" i="93"/>
  <c r="G28" i="94" s="1"/>
  <c r="F28" i="93"/>
  <c r="F28" i="94" s="1"/>
  <c r="I27" i="93"/>
  <c r="I27" i="94" s="1"/>
  <c r="H27" i="93"/>
  <c r="H27" i="94" s="1"/>
  <c r="G27" i="93"/>
  <c r="G27" i="94" s="1"/>
  <c r="F27" i="93"/>
  <c r="F27" i="94" s="1"/>
  <c r="I26" i="93"/>
  <c r="I26" i="94" s="1"/>
  <c r="H26" i="93"/>
  <c r="H26" i="94" s="1"/>
  <c r="G26" i="93"/>
  <c r="G26" i="94" s="1"/>
  <c r="F26" i="93"/>
  <c r="F26" i="94" s="1"/>
  <c r="I25" i="93"/>
  <c r="I25" i="94" s="1"/>
  <c r="H25" i="93"/>
  <c r="H25" i="94" s="1"/>
  <c r="G25" i="93"/>
  <c r="G25" i="94" s="1"/>
  <c r="F25" i="93"/>
  <c r="F25" i="94" s="1"/>
  <c r="I24" i="93"/>
  <c r="I24" i="94" s="1"/>
  <c r="H24" i="93"/>
  <c r="H24" i="94" s="1"/>
  <c r="G24" i="93"/>
  <c r="G24" i="94" s="1"/>
  <c r="F24" i="93"/>
  <c r="F24" i="94" s="1"/>
  <c r="I23" i="93"/>
  <c r="I23" i="94" s="1"/>
  <c r="H23" i="93"/>
  <c r="H23" i="94" s="1"/>
  <c r="G23" i="93"/>
  <c r="G23" i="94" s="1"/>
  <c r="F23" i="93"/>
  <c r="F23" i="94" s="1"/>
  <c r="I22" i="93"/>
  <c r="I22" i="94" s="1"/>
  <c r="H22" i="93"/>
  <c r="H22" i="94" s="1"/>
  <c r="G22" i="93"/>
  <c r="G22" i="94" s="1"/>
  <c r="F22" i="93"/>
  <c r="F22" i="94" s="1"/>
  <c r="I21" i="93"/>
  <c r="I21" i="94" s="1"/>
  <c r="H21" i="93"/>
  <c r="H21" i="94" s="1"/>
  <c r="G21" i="93"/>
  <c r="G21" i="94" s="1"/>
  <c r="F21" i="93"/>
  <c r="F21" i="94" s="1"/>
  <c r="I20" i="93"/>
  <c r="I20" i="94" s="1"/>
  <c r="H20" i="93"/>
  <c r="H20" i="94" s="1"/>
  <c r="G20" i="93"/>
  <c r="G20" i="94" s="1"/>
  <c r="F20" i="93"/>
  <c r="F20" i="94" s="1"/>
  <c r="I19" i="93"/>
  <c r="I19" i="94" s="1"/>
  <c r="H19" i="93"/>
  <c r="H19" i="94" s="1"/>
  <c r="G19" i="93"/>
  <c r="G19" i="94" s="1"/>
  <c r="F19" i="93"/>
  <c r="F19" i="94" s="1"/>
  <c r="I18" i="93"/>
  <c r="I18" i="94" s="1"/>
  <c r="H18" i="93"/>
  <c r="H18" i="94" s="1"/>
  <c r="G18" i="93"/>
  <c r="G18" i="94" s="1"/>
  <c r="F18" i="93"/>
  <c r="F18" i="94" s="1"/>
  <c r="I17" i="93"/>
  <c r="I17" i="94" s="1"/>
  <c r="H17" i="93"/>
  <c r="H17" i="94" s="1"/>
  <c r="G17" i="93"/>
  <c r="G17" i="94" s="1"/>
  <c r="F17" i="93"/>
  <c r="F17" i="94" s="1"/>
  <c r="I16" i="93"/>
  <c r="I16" i="94" s="1"/>
  <c r="H16" i="93"/>
  <c r="H16" i="94" s="1"/>
  <c r="G16" i="93"/>
  <c r="G16" i="94" s="1"/>
  <c r="F16" i="93"/>
  <c r="F16" i="94" s="1"/>
  <c r="I15" i="93"/>
  <c r="I15" i="94" s="1"/>
  <c r="H15" i="93"/>
  <c r="H15" i="94" s="1"/>
  <c r="G15" i="93"/>
  <c r="G15" i="94" s="1"/>
  <c r="F15" i="93"/>
  <c r="F15" i="94" s="1"/>
  <c r="I14" i="93"/>
  <c r="I14" i="94" s="1"/>
  <c r="H14" i="93"/>
  <c r="H14" i="94" s="1"/>
  <c r="G14" i="93"/>
  <c r="G14" i="94" s="1"/>
  <c r="F14" i="93"/>
  <c r="F14" i="94" s="1"/>
  <c r="I13" i="93"/>
  <c r="I13" i="94" s="1"/>
  <c r="H13" i="93"/>
  <c r="H13" i="94" s="1"/>
  <c r="G13" i="93"/>
  <c r="G13" i="94" s="1"/>
  <c r="F13" i="93"/>
  <c r="F13" i="94" s="1"/>
  <c r="I12" i="93"/>
  <c r="I12" i="94" s="1"/>
  <c r="H12" i="93"/>
  <c r="H12" i="94" s="1"/>
  <c r="G12" i="93"/>
  <c r="G12" i="94" s="1"/>
  <c r="F12" i="93"/>
  <c r="F12" i="94" s="1"/>
  <c r="I11" i="93"/>
  <c r="I11" i="94" s="1"/>
  <c r="H11" i="93"/>
  <c r="H11" i="94" s="1"/>
  <c r="G11" i="93"/>
  <c r="G11" i="94" s="1"/>
  <c r="F11" i="93"/>
  <c r="F11" i="94" s="1"/>
  <c r="I10" i="93"/>
  <c r="I10" i="94" s="1"/>
  <c r="H10" i="93"/>
  <c r="H10" i="94" s="1"/>
  <c r="G10" i="93"/>
  <c r="G10" i="94" s="1"/>
  <c r="F10" i="93"/>
  <c r="F10" i="94" s="1"/>
  <c r="I9" i="93"/>
  <c r="I9" i="94" s="1"/>
  <c r="H9" i="93"/>
  <c r="H9" i="94" s="1"/>
  <c r="G9" i="93"/>
  <c r="G9" i="94" s="1"/>
  <c r="F9" i="93"/>
  <c r="F9" i="94" s="1"/>
  <c r="I8" i="93"/>
  <c r="I8" i="94" s="1"/>
  <c r="H8" i="93"/>
  <c r="H8" i="94" s="1"/>
  <c r="G8" i="93"/>
  <c r="G8" i="94" s="1"/>
  <c r="F8" i="93"/>
  <c r="F8" i="94" s="1"/>
  <c r="I7" i="93"/>
  <c r="I7" i="94" s="1"/>
  <c r="H7" i="93"/>
  <c r="H7" i="94" s="1"/>
  <c r="G7" i="93"/>
  <c r="G7" i="94" s="1"/>
  <c r="F7" i="93"/>
  <c r="F7" i="94" s="1"/>
  <c r="I6" i="93"/>
  <c r="I6" i="94" s="1"/>
  <c r="H6" i="93"/>
  <c r="H6" i="94" s="1"/>
  <c r="G6" i="93"/>
  <c r="G6" i="94" s="1"/>
  <c r="F6" i="93"/>
  <c r="F6" i="94" s="1"/>
  <c r="E35" i="93"/>
  <c r="E35" i="94" s="1"/>
  <c r="D35" i="93"/>
  <c r="D35" i="94" s="1"/>
  <c r="C35" i="93"/>
  <c r="C35" i="94" s="1"/>
  <c r="B35" i="93"/>
  <c r="B35" i="94" s="1"/>
  <c r="E34" i="93"/>
  <c r="E34" i="94" s="1"/>
  <c r="D34" i="93"/>
  <c r="D34" i="94" s="1"/>
  <c r="C34" i="93"/>
  <c r="C34" i="94" s="1"/>
  <c r="B34" i="93"/>
  <c r="B34" i="94" s="1"/>
  <c r="E33" i="93"/>
  <c r="E33" i="94" s="1"/>
  <c r="D33" i="93"/>
  <c r="D33" i="94" s="1"/>
  <c r="C33" i="93"/>
  <c r="C33" i="94" s="1"/>
  <c r="B33" i="93"/>
  <c r="B33" i="94" s="1"/>
  <c r="E32" i="93"/>
  <c r="E32" i="94" s="1"/>
  <c r="D32" i="93"/>
  <c r="D32" i="94" s="1"/>
  <c r="C32" i="93"/>
  <c r="C32" i="94" s="1"/>
  <c r="B32" i="93"/>
  <c r="B32" i="94" s="1"/>
  <c r="E31" i="93"/>
  <c r="E31" i="94" s="1"/>
  <c r="D31" i="93"/>
  <c r="D31" i="94" s="1"/>
  <c r="C31" i="93"/>
  <c r="C31" i="94" s="1"/>
  <c r="B31" i="93"/>
  <c r="B31" i="94" s="1"/>
  <c r="E30" i="93"/>
  <c r="E30" i="94" s="1"/>
  <c r="D30" i="93"/>
  <c r="D30" i="94" s="1"/>
  <c r="C30" i="93"/>
  <c r="C30" i="94" s="1"/>
  <c r="B30" i="93"/>
  <c r="B30" i="94" s="1"/>
  <c r="E29" i="93"/>
  <c r="E29" i="94" s="1"/>
  <c r="D29" i="93"/>
  <c r="D29" i="94" s="1"/>
  <c r="C29" i="93"/>
  <c r="C29" i="94" s="1"/>
  <c r="B29" i="93"/>
  <c r="B29" i="94" s="1"/>
  <c r="E28" i="93"/>
  <c r="E28" i="94" s="1"/>
  <c r="D28" i="93"/>
  <c r="D28" i="94" s="1"/>
  <c r="C28" i="93"/>
  <c r="C28" i="94" s="1"/>
  <c r="B28" i="93"/>
  <c r="B28" i="94" s="1"/>
  <c r="E27" i="93"/>
  <c r="E27" i="94" s="1"/>
  <c r="D27" i="93"/>
  <c r="D27" i="94" s="1"/>
  <c r="C27" i="93"/>
  <c r="C27" i="94" s="1"/>
  <c r="B27" i="93"/>
  <c r="B27" i="94" s="1"/>
  <c r="E26" i="93"/>
  <c r="E26" i="94" s="1"/>
  <c r="D26" i="93"/>
  <c r="D26" i="94" s="1"/>
  <c r="C26" i="93"/>
  <c r="C26" i="94" s="1"/>
  <c r="B26" i="93"/>
  <c r="B26" i="94" s="1"/>
  <c r="E25" i="93"/>
  <c r="E25" i="94" s="1"/>
  <c r="D25" i="93"/>
  <c r="D25" i="94" s="1"/>
  <c r="C25" i="93"/>
  <c r="C25" i="94" s="1"/>
  <c r="B25" i="93"/>
  <c r="B25" i="94" s="1"/>
  <c r="E24" i="93"/>
  <c r="E24" i="94" s="1"/>
  <c r="D24" i="93"/>
  <c r="D24" i="94" s="1"/>
  <c r="C24" i="93"/>
  <c r="C24" i="94" s="1"/>
  <c r="B24" i="93"/>
  <c r="B24" i="94" s="1"/>
  <c r="E23" i="93"/>
  <c r="E23" i="94" s="1"/>
  <c r="D23" i="93"/>
  <c r="D23" i="94" s="1"/>
  <c r="C23" i="93"/>
  <c r="C23" i="94" s="1"/>
  <c r="B23" i="93"/>
  <c r="B23" i="94" s="1"/>
  <c r="E22" i="93"/>
  <c r="E22" i="94" s="1"/>
  <c r="D22" i="93"/>
  <c r="D22" i="94" s="1"/>
  <c r="C22" i="93"/>
  <c r="C22" i="94" s="1"/>
  <c r="B22" i="93"/>
  <c r="B22" i="94" s="1"/>
  <c r="E21" i="93"/>
  <c r="E21" i="94" s="1"/>
  <c r="D21" i="93"/>
  <c r="D21" i="94" s="1"/>
  <c r="C21" i="93"/>
  <c r="C21" i="94" s="1"/>
  <c r="B21" i="93"/>
  <c r="B21" i="94" s="1"/>
  <c r="E20" i="93"/>
  <c r="E20" i="94" s="1"/>
  <c r="D20" i="93"/>
  <c r="D20" i="94" s="1"/>
  <c r="C20" i="93"/>
  <c r="C20" i="94" s="1"/>
  <c r="B20" i="93"/>
  <c r="B20" i="94" s="1"/>
  <c r="E19" i="93"/>
  <c r="E19" i="94" s="1"/>
  <c r="D19" i="93"/>
  <c r="D19" i="94" s="1"/>
  <c r="C19" i="93"/>
  <c r="C19" i="94" s="1"/>
  <c r="B19" i="93"/>
  <c r="B19" i="94" s="1"/>
  <c r="E18" i="93"/>
  <c r="E18" i="94" s="1"/>
  <c r="D18" i="93"/>
  <c r="D18" i="94" s="1"/>
  <c r="C18" i="93"/>
  <c r="C18" i="94" s="1"/>
  <c r="B18" i="93"/>
  <c r="B18" i="94" s="1"/>
  <c r="E17" i="93"/>
  <c r="E17" i="94" s="1"/>
  <c r="D17" i="93"/>
  <c r="D17" i="94" s="1"/>
  <c r="C17" i="93"/>
  <c r="C17" i="94" s="1"/>
  <c r="B17" i="93"/>
  <c r="B17" i="94" s="1"/>
  <c r="E16" i="93"/>
  <c r="E16" i="94" s="1"/>
  <c r="D16" i="93"/>
  <c r="D16" i="94" s="1"/>
  <c r="C16" i="93"/>
  <c r="C16" i="94" s="1"/>
  <c r="B16" i="93"/>
  <c r="B16" i="94" s="1"/>
  <c r="E15" i="93"/>
  <c r="E15" i="94" s="1"/>
  <c r="D15" i="93"/>
  <c r="D15" i="94" s="1"/>
  <c r="C15" i="93"/>
  <c r="C15" i="94" s="1"/>
  <c r="B15" i="93"/>
  <c r="B15" i="94" s="1"/>
  <c r="E14" i="93"/>
  <c r="E14" i="94" s="1"/>
  <c r="D14" i="93"/>
  <c r="D14" i="94" s="1"/>
  <c r="C14" i="93"/>
  <c r="C14" i="94" s="1"/>
  <c r="B14" i="93"/>
  <c r="B14" i="94" s="1"/>
  <c r="E13" i="93"/>
  <c r="E13" i="94" s="1"/>
  <c r="D13" i="93"/>
  <c r="D13" i="94" s="1"/>
  <c r="C13" i="93"/>
  <c r="C13" i="94" s="1"/>
  <c r="B13" i="93"/>
  <c r="B13" i="94" s="1"/>
  <c r="E12" i="93"/>
  <c r="E12" i="94" s="1"/>
  <c r="D12" i="93"/>
  <c r="D12" i="94" s="1"/>
  <c r="C12" i="93"/>
  <c r="C12" i="94" s="1"/>
  <c r="B12" i="93"/>
  <c r="B12" i="94" s="1"/>
  <c r="E11" i="93"/>
  <c r="E11" i="94" s="1"/>
  <c r="D11" i="93"/>
  <c r="D11" i="94" s="1"/>
  <c r="C11" i="93"/>
  <c r="C11" i="94" s="1"/>
  <c r="B11" i="93"/>
  <c r="B11" i="94" s="1"/>
  <c r="E10" i="93"/>
  <c r="E10" i="94" s="1"/>
  <c r="D10" i="93"/>
  <c r="D10" i="94" s="1"/>
  <c r="C10" i="93"/>
  <c r="C10" i="94" s="1"/>
  <c r="B10" i="93"/>
  <c r="B10" i="94" s="1"/>
  <c r="E9" i="93"/>
  <c r="E9" i="94" s="1"/>
  <c r="D9" i="93"/>
  <c r="D9" i="94" s="1"/>
  <c r="C9" i="93"/>
  <c r="C9" i="94" s="1"/>
  <c r="B9" i="93"/>
  <c r="B9" i="94" s="1"/>
  <c r="E8" i="93"/>
  <c r="E8" i="94" s="1"/>
  <c r="D8" i="93"/>
  <c r="D8" i="94" s="1"/>
  <c r="C8" i="93"/>
  <c r="C8" i="94" s="1"/>
  <c r="B8" i="93"/>
  <c r="B8" i="94" s="1"/>
  <c r="E7" i="93"/>
  <c r="E7" i="94" s="1"/>
  <c r="D7" i="93"/>
  <c r="D7" i="94" s="1"/>
  <c r="C7" i="93"/>
  <c r="C7" i="94" s="1"/>
  <c r="B7" i="93"/>
  <c r="B7" i="94" s="1"/>
  <c r="E6" i="93"/>
  <c r="E6" i="94" s="1"/>
  <c r="D6" i="93"/>
  <c r="D6" i="94" s="1"/>
  <c r="C6" i="93"/>
  <c r="C6" i="94" s="1"/>
  <c r="B6" i="93"/>
  <c r="B6" i="94" s="1"/>
  <c r="A34" i="93"/>
  <c r="A35" s="1"/>
  <c r="M39"/>
  <c r="L39"/>
  <c r="K39"/>
  <c r="J39"/>
  <c r="I39"/>
  <c r="H39"/>
  <c r="G39"/>
  <c r="F39"/>
  <c r="D39"/>
  <c r="B39"/>
  <c r="M38"/>
  <c r="L38"/>
  <c r="K38"/>
  <c r="J38"/>
  <c r="I38"/>
  <c r="H38"/>
  <c r="G38"/>
  <c r="F38"/>
  <c r="D38"/>
  <c r="B38"/>
  <c r="A13" i="92"/>
  <c r="A14" s="1"/>
  <c r="A15" s="1"/>
  <c r="A11"/>
  <c r="A10"/>
  <c r="A9" s="1"/>
  <c r="A8" s="1"/>
  <c r="A7" s="1"/>
  <c r="A6" s="1"/>
  <c r="P22" i="91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21"/>
  <c r="Q21" s="1"/>
  <c r="A10"/>
  <c r="A9" s="1"/>
  <c r="A8" s="1"/>
  <c r="A7" s="1"/>
  <c r="A6" s="1"/>
  <c r="A5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40" s="1"/>
  <c r="A34" i="89"/>
  <c r="A35" s="1"/>
  <c r="K40" i="90"/>
  <c r="B39"/>
  <c r="B38"/>
  <c r="A34"/>
  <c r="A35" s="1"/>
  <c r="M39"/>
  <c r="L39"/>
  <c r="K39"/>
  <c r="J39"/>
  <c r="H39"/>
  <c r="G39"/>
  <c r="F39"/>
  <c r="D39"/>
  <c r="C39"/>
  <c r="M38"/>
  <c r="L38"/>
  <c r="K38"/>
  <c r="J38"/>
  <c r="H38"/>
  <c r="G38"/>
  <c r="F38"/>
  <c r="D38"/>
  <c r="C38"/>
  <c r="B38" i="87"/>
  <c r="M41" i="77"/>
  <c r="L41"/>
  <c r="K41"/>
  <c r="J41"/>
  <c r="I41"/>
  <c r="H41"/>
  <c r="G41"/>
  <c r="F41"/>
  <c r="E41"/>
  <c r="D41"/>
  <c r="C41"/>
  <c r="M40"/>
  <c r="L40"/>
  <c r="K40"/>
  <c r="J40"/>
  <c r="I40"/>
  <c r="H40"/>
  <c r="G40"/>
  <c r="F40"/>
  <c r="E40"/>
  <c r="D40"/>
  <c r="C40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B41"/>
  <c r="B40"/>
  <c r="B39"/>
  <c r="B38"/>
  <c r="A34" i="85"/>
  <c r="A35" s="1"/>
  <c r="M38" i="86"/>
  <c r="I40"/>
  <c r="M41"/>
  <c r="L41"/>
  <c r="K41"/>
  <c r="J41"/>
  <c r="I41"/>
  <c r="H41"/>
  <c r="G41"/>
  <c r="M40"/>
  <c r="L40"/>
  <c r="K40"/>
  <c r="J40"/>
  <c r="H40"/>
  <c r="G40"/>
  <c r="F40"/>
  <c r="M39"/>
  <c r="L39"/>
  <c r="K39"/>
  <c r="J39"/>
  <c r="H39"/>
  <c r="G39"/>
  <c r="F39"/>
  <c r="L38"/>
  <c r="K38"/>
  <c r="J38"/>
  <c r="H38"/>
  <c r="E40"/>
  <c r="E41"/>
  <c r="A34"/>
  <c r="A35" s="1"/>
  <c r="M35" i="84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1"/>
  <c r="L41"/>
  <c r="K41"/>
  <c r="J41"/>
  <c r="I41"/>
  <c r="H41"/>
  <c r="G41"/>
  <c r="F41"/>
  <c r="E41"/>
  <c r="D41"/>
  <c r="C41"/>
  <c r="B41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F38"/>
  <c r="E38"/>
  <c r="D38"/>
  <c r="C38"/>
  <c r="B38"/>
  <c r="M35" i="83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H39" s="1"/>
  <c r="G14"/>
  <c r="F14"/>
  <c r="F39" s="1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L41" s="1"/>
  <c r="K5"/>
  <c r="J5"/>
  <c r="J41" s="1"/>
  <c r="I5"/>
  <c r="I41" s="1"/>
  <c r="H5"/>
  <c r="G5"/>
  <c r="F5"/>
  <c r="E5"/>
  <c r="E38" s="1"/>
  <c r="D5"/>
  <c r="C5"/>
  <c r="B41"/>
  <c r="K41"/>
  <c r="H41"/>
  <c r="G41"/>
  <c r="F41"/>
  <c r="C41"/>
  <c r="L40"/>
  <c r="K40"/>
  <c r="J40"/>
  <c r="H40"/>
  <c r="G40"/>
  <c r="F40"/>
  <c r="D40"/>
  <c r="C40"/>
  <c r="B40"/>
  <c r="L39"/>
  <c r="K39"/>
  <c r="J39"/>
  <c r="G39"/>
  <c r="D39"/>
  <c r="C39"/>
  <c r="B39"/>
  <c r="K38"/>
  <c r="H38"/>
  <c r="G38"/>
  <c r="F38"/>
  <c r="C38"/>
  <c r="M41"/>
  <c r="E41"/>
  <c r="M39"/>
  <c r="I39"/>
  <c r="M38"/>
  <c r="I38"/>
  <c r="D41" i="82"/>
  <c r="C41"/>
  <c r="B41"/>
  <c r="D40"/>
  <c r="C40"/>
  <c r="B40"/>
  <c r="D39"/>
  <c r="C39"/>
  <c r="B39"/>
  <c r="D38"/>
  <c r="C38"/>
  <c r="B38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C39" i="81"/>
  <c r="C38"/>
  <c r="E37"/>
  <c r="D40"/>
  <c r="C40"/>
  <c r="B40"/>
  <c r="D39"/>
  <c r="B39"/>
  <c r="D38"/>
  <c r="B38"/>
  <c r="D37"/>
  <c r="C37"/>
  <c r="B37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E9" i="21"/>
  <c r="B39"/>
  <c r="B37"/>
  <c r="C37"/>
  <c r="D37"/>
  <c r="B38"/>
  <c r="C38"/>
  <c r="D38"/>
  <c r="C39"/>
  <c r="D39"/>
  <c r="B40"/>
  <c r="C40"/>
  <c r="D40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G8"/>
  <c r="F8"/>
  <c r="E8"/>
  <c r="G7"/>
  <c r="F7"/>
  <c r="E7"/>
  <c r="G6"/>
  <c r="F6"/>
  <c r="E6"/>
  <c r="G5"/>
  <c r="F5"/>
  <c r="E5"/>
  <c r="I41" i="80"/>
  <c r="H41"/>
  <c r="G41"/>
  <c r="F41"/>
  <c r="E41"/>
  <c r="D41"/>
  <c r="C41"/>
  <c r="B41"/>
  <c r="A34"/>
  <c r="A35" s="1"/>
  <c r="G38" i="70"/>
  <c r="M41"/>
  <c r="L41"/>
  <c r="K41"/>
  <c r="J41"/>
  <c r="I41"/>
  <c r="H41"/>
  <c r="G41"/>
  <c r="F41"/>
  <c r="E41"/>
  <c r="D41"/>
  <c r="C41"/>
  <c r="M40"/>
  <c r="L40"/>
  <c r="K40"/>
  <c r="J40"/>
  <c r="I40"/>
  <c r="H40"/>
  <c r="G40"/>
  <c r="F40"/>
  <c r="E40"/>
  <c r="D40"/>
  <c r="C40"/>
  <c r="M39"/>
  <c r="L39"/>
  <c r="K39"/>
  <c r="J39"/>
  <c r="I39"/>
  <c r="H39"/>
  <c r="G39"/>
  <c r="F39"/>
  <c r="E39"/>
  <c r="D39"/>
  <c r="C39"/>
  <c r="M38"/>
  <c r="L38"/>
  <c r="K38"/>
  <c r="J38"/>
  <c r="I38"/>
  <c r="H38"/>
  <c r="F38"/>
  <c r="E38"/>
  <c r="D38"/>
  <c r="C38"/>
  <c r="B40"/>
  <c r="B39"/>
  <c r="B38"/>
  <c r="B41"/>
  <c r="A34"/>
  <c r="A35" s="1"/>
  <c r="B38" i="6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I41" i="73"/>
  <c r="H41"/>
  <c r="G41"/>
  <c r="F41"/>
  <c r="I40"/>
  <c r="H40"/>
  <c r="G40"/>
  <c r="F40"/>
  <c r="I39"/>
  <c r="H39"/>
  <c r="G39"/>
  <c r="F39"/>
  <c r="I38"/>
  <c r="H38"/>
  <c r="G38"/>
  <c r="F38"/>
  <c r="D40" i="79"/>
  <c r="B40"/>
  <c r="F41"/>
  <c r="E41"/>
  <c r="D41"/>
  <c r="C41"/>
  <c r="B41"/>
  <c r="A34"/>
  <c r="A35" s="1"/>
  <c r="A34" i="68"/>
  <c r="A35" s="1"/>
  <c r="M38"/>
  <c r="L38"/>
  <c r="K38"/>
  <c r="J38"/>
  <c r="F10" i="65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E10"/>
  <c r="G9"/>
  <c r="F9"/>
  <c r="E9"/>
  <c r="G8"/>
  <c r="F8"/>
  <c r="E8"/>
  <c r="G7"/>
  <c r="F7"/>
  <c r="E7"/>
  <c r="G6"/>
  <c r="F6"/>
  <c r="E6"/>
  <c r="G5"/>
  <c r="F5"/>
  <c r="E5"/>
  <c r="E38" i="32"/>
  <c r="F38"/>
  <c r="E39"/>
  <c r="F39"/>
  <c r="E40"/>
  <c r="F40"/>
  <c r="E41"/>
  <c r="F41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E41" i="47"/>
  <c r="F41"/>
  <c r="D41"/>
  <c r="C41"/>
  <c r="B41"/>
  <c r="B38"/>
  <c r="B40"/>
  <c r="F41" i="78"/>
  <c r="B41"/>
  <c r="A34"/>
  <c r="A35" s="1"/>
  <c r="E39" i="19"/>
  <c r="F41"/>
  <c r="E41"/>
  <c r="F40"/>
  <c r="E40"/>
  <c r="F39"/>
  <c r="F38"/>
  <c r="E38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A34" i="77"/>
  <c r="A35" s="1"/>
  <c r="A34" i="76"/>
  <c r="A35" s="1"/>
  <c r="C40" i="64"/>
  <c r="M40" i="67"/>
  <c r="L40"/>
  <c r="K40"/>
  <c r="J40"/>
  <c r="I40"/>
  <c r="H40"/>
  <c r="G40"/>
  <c r="F40"/>
  <c r="E40"/>
  <c r="D40"/>
  <c r="C40"/>
  <c r="B40"/>
  <c r="M41" i="69"/>
  <c r="L41"/>
  <c r="K41"/>
  <c r="J41"/>
  <c r="I41"/>
  <c r="H41"/>
  <c r="G41"/>
  <c r="F41"/>
  <c r="E41"/>
  <c r="D41"/>
  <c r="C41"/>
  <c r="B41"/>
  <c r="A34"/>
  <c r="A35" s="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5" i="58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38" i="74"/>
  <c r="J41"/>
  <c r="F41"/>
  <c r="B41"/>
  <c r="M41"/>
  <c r="L41"/>
  <c r="K41"/>
  <c r="H41"/>
  <c r="G41"/>
  <c r="E41"/>
  <c r="D41"/>
  <c r="C41"/>
  <c r="M40"/>
  <c r="L40"/>
  <c r="K40"/>
  <c r="J40"/>
  <c r="I40"/>
  <c r="H40"/>
  <c r="G40"/>
  <c r="F40"/>
  <c r="D40"/>
  <c r="C40"/>
  <c r="M39"/>
  <c r="L39"/>
  <c r="K39"/>
  <c r="J39"/>
  <c r="H39"/>
  <c r="G39"/>
  <c r="F39"/>
  <c r="D39"/>
  <c r="C39"/>
  <c r="L38"/>
  <c r="K38"/>
  <c r="I38"/>
  <c r="H38"/>
  <c r="G38"/>
  <c r="D38"/>
  <c r="C38"/>
  <c r="B40"/>
  <c r="B39"/>
  <c r="B38"/>
  <c r="E40" i="73"/>
  <c r="D41"/>
  <c r="C40"/>
  <c r="B40"/>
  <c r="E39"/>
  <c r="D39"/>
  <c r="C39"/>
  <c r="B39"/>
  <c r="E38"/>
  <c r="D38"/>
  <c r="C38"/>
  <c r="B38"/>
  <c r="A34"/>
  <c r="A35" s="1"/>
  <c r="M41" i="67"/>
  <c r="L41"/>
  <c r="K41"/>
  <c r="J41"/>
  <c r="I41"/>
  <c r="H41"/>
  <c r="G41"/>
  <c r="F41"/>
  <c r="E41"/>
  <c r="D41"/>
  <c r="C41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B41"/>
  <c r="B39"/>
  <c r="B38"/>
  <c r="F40" i="64"/>
  <c r="E40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35" i="18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E41" s="1"/>
  <c r="E19" i="12"/>
  <c r="D41" i="65"/>
  <c r="D40"/>
  <c r="D39"/>
  <c r="D38"/>
  <c r="C41"/>
  <c r="C38"/>
  <c r="C39"/>
  <c r="C40"/>
  <c r="B40"/>
  <c r="B39"/>
  <c r="D40" i="64"/>
  <c r="B40"/>
  <c r="E37" i="72"/>
  <c r="F37"/>
  <c r="E38"/>
  <c r="F38"/>
  <c r="E39"/>
  <c r="F39"/>
  <c r="E40"/>
  <c r="F40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0"/>
  <c r="C40"/>
  <c r="D39"/>
  <c r="C39"/>
  <c r="D38"/>
  <c r="C38"/>
  <c r="D37"/>
  <c r="C37"/>
  <c r="B39"/>
  <c r="B40"/>
  <c r="B38"/>
  <c r="B37"/>
  <c r="M34" i="71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M41" i="58"/>
  <c r="M40"/>
  <c r="M39"/>
  <c r="M38"/>
  <c r="I41"/>
  <c r="I40"/>
  <c r="I39"/>
  <c r="I38"/>
  <c r="E41"/>
  <c r="E39"/>
  <c r="E38"/>
  <c r="L34" i="71"/>
  <c r="K34"/>
  <c r="J34"/>
  <c r="H34"/>
  <c r="G34"/>
  <c r="F34"/>
  <c r="D34"/>
  <c r="C34"/>
  <c r="B34"/>
  <c r="L33"/>
  <c r="K33"/>
  <c r="J33"/>
  <c r="H33"/>
  <c r="G33"/>
  <c r="F33"/>
  <c r="D33"/>
  <c r="C33"/>
  <c r="B33"/>
  <c r="L32"/>
  <c r="K32"/>
  <c r="J32"/>
  <c r="H32"/>
  <c r="G32"/>
  <c r="F32"/>
  <c r="D32"/>
  <c r="C32"/>
  <c r="B32"/>
  <c r="L31"/>
  <c r="K31"/>
  <c r="J31"/>
  <c r="H31"/>
  <c r="G31"/>
  <c r="F31"/>
  <c r="D31"/>
  <c r="C31"/>
  <c r="B31"/>
  <c r="L30"/>
  <c r="K30"/>
  <c r="J30"/>
  <c r="H30"/>
  <c r="G30"/>
  <c r="F30"/>
  <c r="D30"/>
  <c r="C30"/>
  <c r="B30"/>
  <c r="L29"/>
  <c r="K29"/>
  <c r="J29"/>
  <c r="H29"/>
  <c r="G29"/>
  <c r="F29"/>
  <c r="D29"/>
  <c r="C29"/>
  <c r="B29"/>
  <c r="L28"/>
  <c r="K28"/>
  <c r="J28"/>
  <c r="H28"/>
  <c r="G28"/>
  <c r="F28"/>
  <c r="D28"/>
  <c r="C28"/>
  <c r="B28"/>
  <c r="L27"/>
  <c r="K27"/>
  <c r="J27"/>
  <c r="H27"/>
  <c r="G27"/>
  <c r="F27"/>
  <c r="D27"/>
  <c r="C27"/>
  <c r="B27"/>
  <c r="L26"/>
  <c r="K26"/>
  <c r="J26"/>
  <c r="H26"/>
  <c r="G26"/>
  <c r="F26"/>
  <c r="D26"/>
  <c r="C26"/>
  <c r="B26"/>
  <c r="L25"/>
  <c r="K25"/>
  <c r="J25"/>
  <c r="H25"/>
  <c r="G25"/>
  <c r="F25"/>
  <c r="D25"/>
  <c r="C25"/>
  <c r="B25"/>
  <c r="L24"/>
  <c r="K24"/>
  <c r="J24"/>
  <c r="H24"/>
  <c r="G24"/>
  <c r="F24"/>
  <c r="D24"/>
  <c r="C24"/>
  <c r="B24"/>
  <c r="L23"/>
  <c r="K23"/>
  <c r="J23"/>
  <c r="H23"/>
  <c r="G23"/>
  <c r="F23"/>
  <c r="D23"/>
  <c r="C23"/>
  <c r="B23"/>
  <c r="L22"/>
  <c r="K22"/>
  <c r="J22"/>
  <c r="H22"/>
  <c r="G22"/>
  <c r="F22"/>
  <c r="D22"/>
  <c r="C22"/>
  <c r="B22"/>
  <c r="L21"/>
  <c r="K21"/>
  <c r="J21"/>
  <c r="H21"/>
  <c r="G21"/>
  <c r="F21"/>
  <c r="D21"/>
  <c r="C21"/>
  <c r="B21"/>
  <c r="L20"/>
  <c r="K20"/>
  <c r="J20"/>
  <c r="H20"/>
  <c r="G20"/>
  <c r="F20"/>
  <c r="D20"/>
  <c r="C20"/>
  <c r="B20"/>
  <c r="L19"/>
  <c r="K19"/>
  <c r="J19"/>
  <c r="H19"/>
  <c r="G19"/>
  <c r="F19"/>
  <c r="D19"/>
  <c r="C19"/>
  <c r="B19"/>
  <c r="L18"/>
  <c r="K18"/>
  <c r="J18"/>
  <c r="H18"/>
  <c r="G18"/>
  <c r="F18"/>
  <c r="D18"/>
  <c r="C18"/>
  <c r="B18"/>
  <c r="L17"/>
  <c r="K17"/>
  <c r="J17"/>
  <c r="H17"/>
  <c r="G17"/>
  <c r="F17"/>
  <c r="D17"/>
  <c r="C17"/>
  <c r="B17"/>
  <c r="L16"/>
  <c r="K16"/>
  <c r="J16"/>
  <c r="H16"/>
  <c r="G16"/>
  <c r="F16"/>
  <c r="D16"/>
  <c r="C16"/>
  <c r="B16"/>
  <c r="L15"/>
  <c r="K15"/>
  <c r="J15"/>
  <c r="H15"/>
  <c r="G15"/>
  <c r="F15"/>
  <c r="D15"/>
  <c r="C15"/>
  <c r="B15"/>
  <c r="L14"/>
  <c r="K14"/>
  <c r="J14"/>
  <c r="H14"/>
  <c r="G14"/>
  <c r="F14"/>
  <c r="D14"/>
  <c r="C14"/>
  <c r="B14"/>
  <c r="L13"/>
  <c r="K13"/>
  <c r="J13"/>
  <c r="H13"/>
  <c r="G13"/>
  <c r="F13"/>
  <c r="D13"/>
  <c r="C13"/>
  <c r="B13"/>
  <c r="L12"/>
  <c r="K12"/>
  <c r="J12"/>
  <c r="H12"/>
  <c r="G12"/>
  <c r="F12"/>
  <c r="D12"/>
  <c r="C12"/>
  <c r="B12"/>
  <c r="L11"/>
  <c r="K11"/>
  <c r="J11"/>
  <c r="H11"/>
  <c r="G11"/>
  <c r="F11"/>
  <c r="D11"/>
  <c r="C11"/>
  <c r="B11"/>
  <c r="L10"/>
  <c r="K10"/>
  <c r="J10"/>
  <c r="H10"/>
  <c r="G10"/>
  <c r="F10"/>
  <c r="D10"/>
  <c r="C10"/>
  <c r="B10"/>
  <c r="L9"/>
  <c r="K9"/>
  <c r="J9"/>
  <c r="H9"/>
  <c r="G9"/>
  <c r="F9"/>
  <c r="D9"/>
  <c r="C9"/>
  <c r="B9"/>
  <c r="L8"/>
  <c r="K8"/>
  <c r="J8"/>
  <c r="H8"/>
  <c r="G8"/>
  <c r="F8"/>
  <c r="D8"/>
  <c r="C8"/>
  <c r="B8"/>
  <c r="L7"/>
  <c r="K7"/>
  <c r="J7"/>
  <c r="H7"/>
  <c r="G7"/>
  <c r="F7"/>
  <c r="D7"/>
  <c r="C7"/>
  <c r="B7"/>
  <c r="L6"/>
  <c r="K6"/>
  <c r="J6"/>
  <c r="H6"/>
  <c r="G6"/>
  <c r="F6"/>
  <c r="D6"/>
  <c r="C6"/>
  <c r="B6"/>
  <c r="L5"/>
  <c r="K5"/>
  <c r="J5"/>
  <c r="H5"/>
  <c r="G5"/>
  <c r="F5"/>
  <c r="D5"/>
  <c r="C5"/>
  <c r="B5"/>
  <c r="B37" s="1"/>
  <c r="L39"/>
  <c r="K40"/>
  <c r="J39"/>
  <c r="H40"/>
  <c r="G39"/>
  <c r="F40"/>
  <c r="D39"/>
  <c r="C40"/>
  <c r="B39"/>
  <c r="L38"/>
  <c r="K38"/>
  <c r="J38"/>
  <c r="H38"/>
  <c r="F38"/>
  <c r="D38"/>
  <c r="C38"/>
  <c r="B38"/>
  <c r="L37"/>
  <c r="K37"/>
  <c r="J37"/>
  <c r="H37"/>
  <c r="G37"/>
  <c r="F37"/>
  <c r="D37"/>
  <c r="C37"/>
  <c r="A34" i="67"/>
  <c r="A35" s="1"/>
  <c r="A33" i="65"/>
  <c r="A34" s="1"/>
  <c r="A34" i="64"/>
  <c r="A35" s="1"/>
  <c r="F41" i="17"/>
  <c r="F40"/>
  <c r="F39"/>
  <c r="F38"/>
  <c r="E41"/>
  <c r="E40"/>
  <c r="E39"/>
  <c r="E38"/>
  <c r="F40" i="47"/>
  <c r="F39"/>
  <c r="F38"/>
  <c r="E40"/>
  <c r="E39"/>
  <c r="E38"/>
  <c r="G33" i="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38"/>
  <c r="F38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M40" i="7"/>
  <c r="L40"/>
  <c r="K40"/>
  <c r="J40"/>
  <c r="M39"/>
  <c r="L39"/>
  <c r="K39"/>
  <c r="J39"/>
  <c r="G35" i="17"/>
  <c r="C39" i="12"/>
  <c r="M26" i="130" l="1"/>
  <c r="M13" i="136"/>
  <c r="M26" i="128"/>
  <c r="M13" i="135"/>
  <c r="J26" i="130"/>
  <c r="J13" i="136"/>
  <c r="J26" i="128"/>
  <c r="J13" i="135"/>
  <c r="E38" i="18"/>
  <c r="E40"/>
  <c r="B6" i="97"/>
  <c r="K26" i="130"/>
  <c r="K13" i="136"/>
  <c r="K26" i="128"/>
  <c r="K13" i="135"/>
  <c r="L26" i="130"/>
  <c r="L13" i="136"/>
  <c r="L26" i="128"/>
  <c r="L13" i="135"/>
  <c r="E37" i="71"/>
  <c r="E38"/>
  <c r="E39"/>
  <c r="I37"/>
  <c r="I38"/>
  <c r="I39"/>
  <c r="M37"/>
  <c r="M38"/>
  <c r="M39"/>
  <c r="F38" i="18"/>
  <c r="F39"/>
  <c r="F40"/>
  <c r="E40" i="58"/>
  <c r="D41" i="83"/>
  <c r="G38" i="84"/>
  <c r="M27" i="130"/>
  <c r="M28"/>
  <c r="B5" i="124"/>
  <c r="B6" i="134" s="1"/>
  <c r="D5" i="124"/>
  <c r="D6" i="134" s="1"/>
  <c r="B6" i="124"/>
  <c r="B7" i="134" s="1"/>
  <c r="D6" i="124"/>
  <c r="D7" i="134" s="1"/>
  <c r="B7" i="124"/>
  <c r="B8" i="134" s="1"/>
  <c r="D7" i="124"/>
  <c r="D8" i="134" s="1"/>
  <c r="B8" i="124"/>
  <c r="B9" i="134" s="1"/>
  <c r="D8" i="124"/>
  <c r="D9" i="134" s="1"/>
  <c r="B9" i="124"/>
  <c r="B10" i="134" s="1"/>
  <c r="D9" i="124"/>
  <c r="D10" i="134" s="1"/>
  <c r="B10" i="124"/>
  <c r="B11" i="134" s="1"/>
  <c r="D10" i="124"/>
  <c r="D11" i="134" s="1"/>
  <c r="B11" i="124"/>
  <c r="B12" i="134" s="1"/>
  <c r="D11" i="124"/>
  <c r="D12" i="134" s="1"/>
  <c r="B12" i="124"/>
  <c r="B13" i="134" s="1"/>
  <c r="D12" i="124"/>
  <c r="D13" i="134" s="1"/>
  <c r="B13" i="124"/>
  <c r="D13"/>
  <c r="B14"/>
  <c r="B15" i="134" s="1"/>
  <c r="D14" i="124"/>
  <c r="D15" i="134" s="1"/>
  <c r="B15" i="124"/>
  <c r="B16" i="134" s="1"/>
  <c r="D15" i="124"/>
  <c r="D16" i="134" s="1"/>
  <c r="B16" i="124"/>
  <c r="B17" i="134" s="1"/>
  <c r="D16" i="124"/>
  <c r="D17" i="134" s="1"/>
  <c r="B17" i="124"/>
  <c r="B18" i="134" s="1"/>
  <c r="D17" i="124"/>
  <c r="D18" i="134" s="1"/>
  <c r="B18" i="124"/>
  <c r="B19" i="134" s="1"/>
  <c r="D18" i="124"/>
  <c r="D19" i="134" s="1"/>
  <c r="B19" i="124"/>
  <c r="B20" i="134" s="1"/>
  <c r="D19" i="124"/>
  <c r="D20" i="134" s="1"/>
  <c r="B20" i="124"/>
  <c r="B21" i="134" s="1"/>
  <c r="D20" i="124"/>
  <c r="D21" i="134" s="1"/>
  <c r="B21" i="124"/>
  <c r="B22" i="134" s="1"/>
  <c r="D21" i="124"/>
  <c r="D22" i="134" s="1"/>
  <c r="B22" i="124"/>
  <c r="B23" i="134" s="1"/>
  <c r="D22" i="124"/>
  <c r="D23" i="134" s="1"/>
  <c r="B23" i="124"/>
  <c r="B24" i="134" s="1"/>
  <c r="D23" i="124"/>
  <c r="D24" i="134" s="1"/>
  <c r="F5" i="124"/>
  <c r="F6" i="134" s="1"/>
  <c r="H5" i="124"/>
  <c r="H6" i="134" s="1"/>
  <c r="F6" i="124"/>
  <c r="F7" i="134" s="1"/>
  <c r="H6" i="124"/>
  <c r="H7" i="134" s="1"/>
  <c r="F7" i="124"/>
  <c r="F8" i="134" s="1"/>
  <c r="H7" i="124"/>
  <c r="H8" i="134" s="1"/>
  <c r="F8" i="124"/>
  <c r="F9" i="134" s="1"/>
  <c r="H8" i="124"/>
  <c r="H9" i="134" s="1"/>
  <c r="F9" i="124"/>
  <c r="F10" i="134" s="1"/>
  <c r="H9" i="124"/>
  <c r="H10" i="134" s="1"/>
  <c r="F10" i="124"/>
  <c r="F11" i="134" s="1"/>
  <c r="H10" i="124"/>
  <c r="H11" i="134" s="1"/>
  <c r="F11" i="124"/>
  <c r="F12" i="134" s="1"/>
  <c r="H11" i="124"/>
  <c r="H12" i="134" s="1"/>
  <c r="F12" i="124"/>
  <c r="F13" i="134" s="1"/>
  <c r="H12" i="124"/>
  <c r="H13" i="134" s="1"/>
  <c r="F13" i="124"/>
  <c r="H13"/>
  <c r="F14"/>
  <c r="F15" i="134" s="1"/>
  <c r="H14" i="124"/>
  <c r="H15" i="134" s="1"/>
  <c r="F15" i="124"/>
  <c r="F16" i="134" s="1"/>
  <c r="H15" i="124"/>
  <c r="H16" i="134" s="1"/>
  <c r="F16" i="124"/>
  <c r="F17" i="134" s="1"/>
  <c r="H16" i="124"/>
  <c r="H17" i="134" s="1"/>
  <c r="F17" i="124"/>
  <c r="F18" i="134" s="1"/>
  <c r="H17" i="124"/>
  <c r="H18" i="134" s="1"/>
  <c r="F18" i="124"/>
  <c r="F19" i="134" s="1"/>
  <c r="H18" i="124"/>
  <c r="H19" i="134" s="1"/>
  <c r="F19" i="124"/>
  <c r="F20" i="134" s="1"/>
  <c r="H19" i="124"/>
  <c r="H20" i="134" s="1"/>
  <c r="F20" i="124"/>
  <c r="F21" i="134" s="1"/>
  <c r="H20" i="124"/>
  <c r="H21" i="134" s="1"/>
  <c r="F21" i="124"/>
  <c r="F22" i="134" s="1"/>
  <c r="H21" i="124"/>
  <c r="H22" i="134" s="1"/>
  <c r="F22" i="124"/>
  <c r="F23" i="134" s="1"/>
  <c r="H22" i="124"/>
  <c r="H23" i="134" s="1"/>
  <c r="F23" i="124"/>
  <c r="F24" i="134" s="1"/>
  <c r="H23" i="124"/>
  <c r="H24" i="134" s="1"/>
  <c r="J5" i="124"/>
  <c r="J6" i="134" s="1"/>
  <c r="L5" i="124"/>
  <c r="L6" i="134" s="1"/>
  <c r="J6" i="124"/>
  <c r="J7" i="134" s="1"/>
  <c r="L6" i="124"/>
  <c r="L7" i="134" s="1"/>
  <c r="J7" i="124"/>
  <c r="J8" i="134" s="1"/>
  <c r="L7" i="124"/>
  <c r="L8" i="134" s="1"/>
  <c r="J8" i="124"/>
  <c r="J9" i="134" s="1"/>
  <c r="L8" i="124"/>
  <c r="L9" i="134" s="1"/>
  <c r="J9" i="124"/>
  <c r="J10" i="134" s="1"/>
  <c r="L9" i="124"/>
  <c r="L10" i="134" s="1"/>
  <c r="J10" i="124"/>
  <c r="J11" i="134" s="1"/>
  <c r="L10" i="124"/>
  <c r="L11" i="134" s="1"/>
  <c r="J11" i="124"/>
  <c r="J12" i="134" s="1"/>
  <c r="L11" i="124"/>
  <c r="L12" i="134" s="1"/>
  <c r="J12" i="124"/>
  <c r="J13" i="134" s="1"/>
  <c r="L12" i="124"/>
  <c r="L13" i="134" s="1"/>
  <c r="J13" i="124"/>
  <c r="L13"/>
  <c r="J14"/>
  <c r="J15" i="134" s="1"/>
  <c r="L14" i="124"/>
  <c r="L15" i="134" s="1"/>
  <c r="J15" i="124"/>
  <c r="J16" i="134" s="1"/>
  <c r="L15" i="124"/>
  <c r="L16" i="134" s="1"/>
  <c r="J16" i="124"/>
  <c r="J17" i="134" s="1"/>
  <c r="L16" i="124"/>
  <c r="L17" i="134" s="1"/>
  <c r="J17" i="124"/>
  <c r="J18" i="134" s="1"/>
  <c r="L17" i="124"/>
  <c r="L18" i="134" s="1"/>
  <c r="J18" i="124"/>
  <c r="J19" i="134" s="1"/>
  <c r="L18" i="124"/>
  <c r="L19" i="134" s="1"/>
  <c r="J19" i="124"/>
  <c r="J20" i="134" s="1"/>
  <c r="L19" i="124"/>
  <c r="L20" i="134" s="1"/>
  <c r="J20" i="124"/>
  <c r="J21" i="134" s="1"/>
  <c r="L20" i="124"/>
  <c r="L21" i="134" s="1"/>
  <c r="J21" i="124"/>
  <c r="J22" i="134" s="1"/>
  <c r="L21" i="124"/>
  <c r="L22" i="134" s="1"/>
  <c r="J22" i="124"/>
  <c r="J23" i="134" s="1"/>
  <c r="L22" i="124"/>
  <c r="L23" i="134" s="1"/>
  <c r="J23" i="124"/>
  <c r="J24" i="134" s="1"/>
  <c r="L23" i="124"/>
  <c r="L24" i="134" s="1"/>
  <c r="B5" i="125"/>
  <c r="B5" i="133" s="1"/>
  <c r="D5" i="125"/>
  <c r="D5" i="133" s="1"/>
  <c r="B6" i="125"/>
  <c r="B6" i="133" s="1"/>
  <c r="D6" i="125"/>
  <c r="D6" i="133" s="1"/>
  <c r="B7" i="125"/>
  <c r="B7" i="133" s="1"/>
  <c r="D7" i="125"/>
  <c r="D7" i="133" s="1"/>
  <c r="B8" i="125"/>
  <c r="B8" i="133" s="1"/>
  <c r="D8" i="125"/>
  <c r="D8" i="133" s="1"/>
  <c r="B9" i="125"/>
  <c r="B9" i="133" s="1"/>
  <c r="D9" i="125"/>
  <c r="D9" i="133" s="1"/>
  <c r="B10" i="125"/>
  <c r="B10" i="133" s="1"/>
  <c r="D10" i="125"/>
  <c r="D10" i="133" s="1"/>
  <c r="B11" i="125"/>
  <c r="B11" i="133" s="1"/>
  <c r="D11" i="125"/>
  <c r="D11" i="133" s="1"/>
  <c r="B12" i="125"/>
  <c r="B12" i="133" s="1"/>
  <c r="D12" i="125"/>
  <c r="D12" i="133" s="1"/>
  <c r="B13" i="125"/>
  <c r="D13"/>
  <c r="B14"/>
  <c r="B14" i="133" s="1"/>
  <c r="D14" i="125"/>
  <c r="D14" i="133" s="1"/>
  <c r="B15" i="125"/>
  <c r="B15" i="133" s="1"/>
  <c r="D15" i="125"/>
  <c r="D15" i="133" s="1"/>
  <c r="B16" i="125"/>
  <c r="B16" i="133" s="1"/>
  <c r="D16" i="125"/>
  <c r="D16" i="133" s="1"/>
  <c r="B17" i="125"/>
  <c r="B17" i="133" s="1"/>
  <c r="D17" i="125"/>
  <c r="D17" i="133" s="1"/>
  <c r="B18" i="125"/>
  <c r="B18" i="133" s="1"/>
  <c r="D18" i="125"/>
  <c r="D18" i="133" s="1"/>
  <c r="B19" i="125"/>
  <c r="B19" i="133" s="1"/>
  <c r="D19" i="125"/>
  <c r="D19" i="133" s="1"/>
  <c r="B20" i="125"/>
  <c r="B20" i="133" s="1"/>
  <c r="D20" i="125"/>
  <c r="D20" i="133" s="1"/>
  <c r="B21" i="125"/>
  <c r="B21" i="133" s="1"/>
  <c r="D21" i="125"/>
  <c r="D21" i="133" s="1"/>
  <c r="B22" i="125"/>
  <c r="B22" i="133" s="1"/>
  <c r="D22" i="125"/>
  <c r="D22" i="133" s="1"/>
  <c r="B23" i="125"/>
  <c r="B23" i="133" s="1"/>
  <c r="D23" i="125"/>
  <c r="D23" i="133" s="1"/>
  <c r="F5" i="125"/>
  <c r="F5" i="133" s="1"/>
  <c r="H5" i="125"/>
  <c r="H5" i="133" s="1"/>
  <c r="F6" i="125"/>
  <c r="F6" i="133" s="1"/>
  <c r="H6" i="125"/>
  <c r="H6" i="133" s="1"/>
  <c r="F7" i="125"/>
  <c r="F7" i="133" s="1"/>
  <c r="H7" i="125"/>
  <c r="H7" i="133" s="1"/>
  <c r="F8" i="125"/>
  <c r="F8" i="133" s="1"/>
  <c r="H8" i="125"/>
  <c r="H8" i="133" s="1"/>
  <c r="F9" i="125"/>
  <c r="F9" i="133" s="1"/>
  <c r="H9" i="125"/>
  <c r="H9" i="133" s="1"/>
  <c r="F10" i="125"/>
  <c r="F10" i="133" s="1"/>
  <c r="H10" i="125"/>
  <c r="H10" i="133" s="1"/>
  <c r="F11" i="125"/>
  <c r="F11" i="133" s="1"/>
  <c r="H11" i="125"/>
  <c r="H11" i="133" s="1"/>
  <c r="F12" i="125"/>
  <c r="F12" i="133" s="1"/>
  <c r="H12" i="125"/>
  <c r="H12" i="133" s="1"/>
  <c r="F13" i="125"/>
  <c r="H13"/>
  <c r="F14"/>
  <c r="F14" i="133" s="1"/>
  <c r="H14" i="125"/>
  <c r="H14" i="133" s="1"/>
  <c r="F15" i="125"/>
  <c r="F15" i="133" s="1"/>
  <c r="H15" i="125"/>
  <c r="H15" i="133" s="1"/>
  <c r="F16" i="125"/>
  <c r="F16" i="133" s="1"/>
  <c r="H16" i="125"/>
  <c r="H16" i="133" s="1"/>
  <c r="F17" i="125"/>
  <c r="F17" i="133" s="1"/>
  <c r="H17" i="125"/>
  <c r="H17" i="133" s="1"/>
  <c r="F18" i="125"/>
  <c r="F18" i="133" s="1"/>
  <c r="H18" i="125"/>
  <c r="H18" i="133" s="1"/>
  <c r="F19" i="125"/>
  <c r="F19" i="133" s="1"/>
  <c r="H19" i="125"/>
  <c r="H19" i="133" s="1"/>
  <c r="F20" i="125"/>
  <c r="F20" i="133" s="1"/>
  <c r="H20" i="125"/>
  <c r="H20" i="133" s="1"/>
  <c r="F21" i="125"/>
  <c r="F21" i="133" s="1"/>
  <c r="H21" i="125"/>
  <c r="H21" i="133" s="1"/>
  <c r="F22" i="125"/>
  <c r="F22" i="133" s="1"/>
  <c r="H22" i="125"/>
  <c r="H22" i="133" s="1"/>
  <c r="F23" i="125"/>
  <c r="F23" i="133" s="1"/>
  <c r="H23" i="125"/>
  <c r="H23" i="133" s="1"/>
  <c r="J5" i="125"/>
  <c r="J5" i="133" s="1"/>
  <c r="L5" i="125"/>
  <c r="L5" i="133" s="1"/>
  <c r="J6" i="125"/>
  <c r="J6" i="133" s="1"/>
  <c r="L6" i="125"/>
  <c r="L6" i="133" s="1"/>
  <c r="J7" i="125"/>
  <c r="J7" i="133" s="1"/>
  <c r="L7" i="125"/>
  <c r="L7" i="133" s="1"/>
  <c r="J8" i="125"/>
  <c r="J8" i="133" s="1"/>
  <c r="L8" i="125"/>
  <c r="L8" i="133" s="1"/>
  <c r="J9" i="125"/>
  <c r="J9" i="133" s="1"/>
  <c r="L9" i="125"/>
  <c r="L9" i="133" s="1"/>
  <c r="J10" i="125"/>
  <c r="J10" i="133" s="1"/>
  <c r="L10" i="125"/>
  <c r="L10" i="133" s="1"/>
  <c r="J11" i="125"/>
  <c r="J11" i="133" s="1"/>
  <c r="L11" i="125"/>
  <c r="L11" i="133" s="1"/>
  <c r="J12" i="125"/>
  <c r="J12" i="133" s="1"/>
  <c r="L12" i="125"/>
  <c r="L12" i="133" s="1"/>
  <c r="J13" i="125"/>
  <c r="L13"/>
  <c r="E40" i="71"/>
  <c r="I40"/>
  <c r="M40"/>
  <c r="E39" i="18"/>
  <c r="F41"/>
  <c r="F40" i="89"/>
  <c r="C5" i="124"/>
  <c r="C6" i="134" s="1"/>
  <c r="E5" i="124"/>
  <c r="E6" i="134" s="1"/>
  <c r="C6" i="124"/>
  <c r="C7" i="134" s="1"/>
  <c r="E6" i="124"/>
  <c r="E7" i="134" s="1"/>
  <c r="C7" i="124"/>
  <c r="C8" i="134" s="1"/>
  <c r="E7" i="124"/>
  <c r="E8" i="134" s="1"/>
  <c r="C8" i="124"/>
  <c r="C9" i="134" s="1"/>
  <c r="E8" i="124"/>
  <c r="E9" i="134" s="1"/>
  <c r="C9" i="124"/>
  <c r="C10" i="134" s="1"/>
  <c r="E9" i="124"/>
  <c r="E10" i="134" s="1"/>
  <c r="C10" i="124"/>
  <c r="C11" i="134" s="1"/>
  <c r="E10" i="124"/>
  <c r="E11" i="134" s="1"/>
  <c r="C11" i="124"/>
  <c r="C12" i="134" s="1"/>
  <c r="E11" i="124"/>
  <c r="E12" i="134" s="1"/>
  <c r="C12" i="124"/>
  <c r="C13" i="134" s="1"/>
  <c r="E12" i="124"/>
  <c r="E13" i="134" s="1"/>
  <c r="C13" i="124"/>
  <c r="E13"/>
  <c r="C14"/>
  <c r="C15" i="134" s="1"/>
  <c r="E14" i="124"/>
  <c r="E15" i="134" s="1"/>
  <c r="C15" i="124"/>
  <c r="C16" i="134" s="1"/>
  <c r="E15" i="124"/>
  <c r="E16" i="134" s="1"/>
  <c r="C16" i="124"/>
  <c r="C17" i="134" s="1"/>
  <c r="E16" i="124"/>
  <c r="E17" i="134" s="1"/>
  <c r="C17" i="124"/>
  <c r="C18" i="134" s="1"/>
  <c r="E17" i="124"/>
  <c r="E18" i="134" s="1"/>
  <c r="C18" i="124"/>
  <c r="C19" i="134" s="1"/>
  <c r="E18" i="124"/>
  <c r="E19" i="134" s="1"/>
  <c r="C19" i="124"/>
  <c r="C20" i="134" s="1"/>
  <c r="E19" i="124"/>
  <c r="E20" i="134" s="1"/>
  <c r="C20" i="124"/>
  <c r="C21" i="134" s="1"/>
  <c r="E20" i="124"/>
  <c r="E21" i="134" s="1"/>
  <c r="C21" i="124"/>
  <c r="C22" i="134" s="1"/>
  <c r="E21" i="124"/>
  <c r="E22" i="134" s="1"/>
  <c r="C22" i="124"/>
  <c r="C23" i="134" s="1"/>
  <c r="E22" i="124"/>
  <c r="E23" i="134" s="1"/>
  <c r="C23" i="124"/>
  <c r="C24" i="134" s="1"/>
  <c r="E23" i="124"/>
  <c r="E24" i="134" s="1"/>
  <c r="G5" i="124"/>
  <c r="G6" i="134" s="1"/>
  <c r="I5" i="124"/>
  <c r="I6" i="134" s="1"/>
  <c r="G6" i="124"/>
  <c r="G7" i="134" s="1"/>
  <c r="I6" i="124"/>
  <c r="I7" i="134" s="1"/>
  <c r="G7" i="124"/>
  <c r="G8" i="134" s="1"/>
  <c r="I7" i="124"/>
  <c r="I8" i="134" s="1"/>
  <c r="G8" i="124"/>
  <c r="G9" i="134" s="1"/>
  <c r="I8" i="124"/>
  <c r="I9" i="134" s="1"/>
  <c r="G9" i="124"/>
  <c r="G10" i="134" s="1"/>
  <c r="I9" i="124"/>
  <c r="I10" i="134" s="1"/>
  <c r="G10" i="124"/>
  <c r="G11" i="134" s="1"/>
  <c r="I10" i="124"/>
  <c r="I11" i="134" s="1"/>
  <c r="G11" i="124"/>
  <c r="G12" i="134" s="1"/>
  <c r="I11" i="124"/>
  <c r="I12" i="134" s="1"/>
  <c r="G12" i="124"/>
  <c r="G13" i="134" s="1"/>
  <c r="I12" i="124"/>
  <c r="I13" i="134" s="1"/>
  <c r="G13" i="124"/>
  <c r="I13"/>
  <c r="G14"/>
  <c r="G15" i="134" s="1"/>
  <c r="I14" i="124"/>
  <c r="I15" i="134" s="1"/>
  <c r="G15" i="124"/>
  <c r="G16" i="134" s="1"/>
  <c r="I15" i="124"/>
  <c r="I16" i="134" s="1"/>
  <c r="G16" i="124"/>
  <c r="G17" i="134" s="1"/>
  <c r="I16" i="124"/>
  <c r="I17" i="134" s="1"/>
  <c r="G17" i="124"/>
  <c r="G18" i="134" s="1"/>
  <c r="I17" i="124"/>
  <c r="I18" i="134" s="1"/>
  <c r="G18" i="124"/>
  <c r="G19" i="134" s="1"/>
  <c r="I18" i="124"/>
  <c r="I19" i="134" s="1"/>
  <c r="G19" i="124"/>
  <c r="G20" i="134" s="1"/>
  <c r="I19" i="124"/>
  <c r="I20" i="134" s="1"/>
  <c r="G20" i="124"/>
  <c r="G21" i="134" s="1"/>
  <c r="I20" i="124"/>
  <c r="I21" i="134" s="1"/>
  <c r="G21" i="124"/>
  <c r="G22" i="134" s="1"/>
  <c r="I21" i="124"/>
  <c r="I22" i="134" s="1"/>
  <c r="G22" i="124"/>
  <c r="G23" i="134" s="1"/>
  <c r="I22" i="124"/>
  <c r="I23" i="134" s="1"/>
  <c r="G23" i="124"/>
  <c r="G24" i="134" s="1"/>
  <c r="I23" i="124"/>
  <c r="I24" i="134" s="1"/>
  <c r="K5" i="124"/>
  <c r="K6" i="134" s="1"/>
  <c r="M5" i="124"/>
  <c r="M6" i="134" s="1"/>
  <c r="K6" i="124"/>
  <c r="K7" i="134" s="1"/>
  <c r="M6" i="124"/>
  <c r="M7" i="134" s="1"/>
  <c r="K7" i="124"/>
  <c r="K8" i="134" s="1"/>
  <c r="M7" i="124"/>
  <c r="M8" i="134" s="1"/>
  <c r="K8" i="124"/>
  <c r="K9" i="134" s="1"/>
  <c r="M8" i="124"/>
  <c r="M9" i="134" s="1"/>
  <c r="K9" i="124"/>
  <c r="K10" i="134" s="1"/>
  <c r="M9" i="124"/>
  <c r="M10" i="134" s="1"/>
  <c r="K10" i="124"/>
  <c r="K11" i="134" s="1"/>
  <c r="M10" i="124"/>
  <c r="M11" i="134" s="1"/>
  <c r="K11" i="124"/>
  <c r="K12" i="134" s="1"/>
  <c r="M11" i="124"/>
  <c r="M12" i="134" s="1"/>
  <c r="K12" i="124"/>
  <c r="K13" i="134" s="1"/>
  <c r="M12" i="124"/>
  <c r="M13" i="134" s="1"/>
  <c r="K13" i="124"/>
  <c r="M13"/>
  <c r="K14"/>
  <c r="K15" i="134" s="1"/>
  <c r="M14" i="124"/>
  <c r="M15" i="134" s="1"/>
  <c r="K15" i="124"/>
  <c r="K16" i="134" s="1"/>
  <c r="M15" i="124"/>
  <c r="M16" i="134" s="1"/>
  <c r="K16" i="124"/>
  <c r="K17" i="134" s="1"/>
  <c r="M16" i="124"/>
  <c r="M17" i="134" s="1"/>
  <c r="K17" i="124"/>
  <c r="K18" i="134" s="1"/>
  <c r="M17" i="124"/>
  <c r="M18" i="134" s="1"/>
  <c r="K18" i="124"/>
  <c r="K19" i="134" s="1"/>
  <c r="M18" i="124"/>
  <c r="M19" i="134" s="1"/>
  <c r="K19" i="124"/>
  <c r="K20" i="134" s="1"/>
  <c r="M19" i="124"/>
  <c r="M20" i="134" s="1"/>
  <c r="K20" i="124"/>
  <c r="K21" i="134" s="1"/>
  <c r="M20" i="124"/>
  <c r="M21" i="134" s="1"/>
  <c r="K21" i="124"/>
  <c r="K22" i="134" s="1"/>
  <c r="M21" i="124"/>
  <c r="M22" i="134" s="1"/>
  <c r="K22" i="124"/>
  <c r="K23" i="134" s="1"/>
  <c r="M22" i="124"/>
  <c r="M23" i="134" s="1"/>
  <c r="K23" i="124"/>
  <c r="K24" i="134" s="1"/>
  <c r="M23" i="124"/>
  <c r="M24" i="134" s="1"/>
  <c r="C5" i="125"/>
  <c r="C5" i="133" s="1"/>
  <c r="E5" i="125"/>
  <c r="E5" i="133" s="1"/>
  <c r="C6" i="125"/>
  <c r="C6" i="133" s="1"/>
  <c r="E6" i="125"/>
  <c r="E6" i="133" s="1"/>
  <c r="C7" i="125"/>
  <c r="C7" i="133" s="1"/>
  <c r="E7" i="125"/>
  <c r="E7" i="133" s="1"/>
  <c r="C8" i="125"/>
  <c r="C8" i="133" s="1"/>
  <c r="E8" i="125"/>
  <c r="E8" i="133" s="1"/>
  <c r="C9" i="125"/>
  <c r="C9" i="133" s="1"/>
  <c r="E9" i="125"/>
  <c r="E9" i="133" s="1"/>
  <c r="C10" i="125"/>
  <c r="C10" i="133" s="1"/>
  <c r="E10" i="125"/>
  <c r="E10" i="133" s="1"/>
  <c r="C11" i="125"/>
  <c r="C11" i="133" s="1"/>
  <c r="E11" i="125"/>
  <c r="E11" i="133" s="1"/>
  <c r="C12" i="125"/>
  <c r="C12" i="133" s="1"/>
  <c r="E12" i="125"/>
  <c r="E12" i="133" s="1"/>
  <c r="C13" i="125"/>
  <c r="E13"/>
  <c r="C14"/>
  <c r="C14" i="133" s="1"/>
  <c r="E14" i="125"/>
  <c r="E14" i="133" s="1"/>
  <c r="C15" i="125"/>
  <c r="C15" i="133" s="1"/>
  <c r="E15" i="125"/>
  <c r="E15" i="133" s="1"/>
  <c r="C16" i="125"/>
  <c r="C16" i="133" s="1"/>
  <c r="E16" i="125"/>
  <c r="E16" i="133" s="1"/>
  <c r="C17" i="125"/>
  <c r="C17" i="133" s="1"/>
  <c r="E17" i="125"/>
  <c r="E17" i="133" s="1"/>
  <c r="C18" i="125"/>
  <c r="C18" i="133" s="1"/>
  <c r="E18" i="125"/>
  <c r="E18" i="133" s="1"/>
  <c r="C19" i="125"/>
  <c r="C19" i="133" s="1"/>
  <c r="E19" i="125"/>
  <c r="E19" i="133" s="1"/>
  <c r="C20" i="125"/>
  <c r="C20" i="133" s="1"/>
  <c r="E20" i="125"/>
  <c r="E20" i="133" s="1"/>
  <c r="C21" i="125"/>
  <c r="C21" i="133" s="1"/>
  <c r="E21" i="125"/>
  <c r="E21" i="133" s="1"/>
  <c r="C22" i="125"/>
  <c r="C22" i="133" s="1"/>
  <c r="E22" i="125"/>
  <c r="E22" i="133" s="1"/>
  <c r="C23" i="125"/>
  <c r="C23" i="133" s="1"/>
  <c r="E23" i="125"/>
  <c r="E23" i="133" s="1"/>
  <c r="G5" i="125"/>
  <c r="G5" i="133" s="1"/>
  <c r="I5" i="125"/>
  <c r="I5" i="133" s="1"/>
  <c r="G6" i="125"/>
  <c r="G6" i="133" s="1"/>
  <c r="I6" i="125"/>
  <c r="I6" i="133" s="1"/>
  <c r="G7" i="125"/>
  <c r="G7" i="133" s="1"/>
  <c r="I7" i="125"/>
  <c r="I7" i="133" s="1"/>
  <c r="G8" i="125"/>
  <c r="G8" i="133" s="1"/>
  <c r="I8" i="125"/>
  <c r="I8" i="133" s="1"/>
  <c r="G9" i="125"/>
  <c r="G9" i="133" s="1"/>
  <c r="I9" i="125"/>
  <c r="I9" i="133" s="1"/>
  <c r="G10" i="125"/>
  <c r="G10" i="133" s="1"/>
  <c r="I10" i="125"/>
  <c r="I10" i="133" s="1"/>
  <c r="G11" i="125"/>
  <c r="G11" i="133" s="1"/>
  <c r="I11" i="125"/>
  <c r="I11" i="133" s="1"/>
  <c r="G12" i="125"/>
  <c r="G12" i="133" s="1"/>
  <c r="I12" i="125"/>
  <c r="I12" i="133" s="1"/>
  <c r="G13" i="125"/>
  <c r="I13"/>
  <c r="G14"/>
  <c r="G14" i="133" s="1"/>
  <c r="I14" i="125"/>
  <c r="I14" i="133" s="1"/>
  <c r="G15" i="125"/>
  <c r="G15" i="133" s="1"/>
  <c r="I15" i="125"/>
  <c r="I15" i="133" s="1"/>
  <c r="G16" i="125"/>
  <c r="G16" i="133" s="1"/>
  <c r="I16" i="125"/>
  <c r="I16" i="133" s="1"/>
  <c r="G17" i="125"/>
  <c r="G17" i="133" s="1"/>
  <c r="I17" i="125"/>
  <c r="I17" i="133" s="1"/>
  <c r="G18" i="125"/>
  <c r="G18" i="133" s="1"/>
  <c r="I18" i="125"/>
  <c r="I18" i="133" s="1"/>
  <c r="G19" i="125"/>
  <c r="G19" i="133" s="1"/>
  <c r="I19" i="125"/>
  <c r="I19" i="133" s="1"/>
  <c r="G20" i="125"/>
  <c r="G20" i="133" s="1"/>
  <c r="I20" i="125"/>
  <c r="I20" i="133" s="1"/>
  <c r="G21" i="125"/>
  <c r="G21" i="133" s="1"/>
  <c r="I21" i="125"/>
  <c r="I21" i="133" s="1"/>
  <c r="G22" i="125"/>
  <c r="G22" i="133" s="1"/>
  <c r="I22" i="125"/>
  <c r="I22" i="133" s="1"/>
  <c r="G23" i="125"/>
  <c r="G23" i="133" s="1"/>
  <c r="I23" i="125"/>
  <c r="I23" i="133" s="1"/>
  <c r="K5" i="125"/>
  <c r="K5" i="133" s="1"/>
  <c r="M5" i="125"/>
  <c r="M5" i="133" s="1"/>
  <c r="K6" i="125"/>
  <c r="K6" i="133" s="1"/>
  <c r="M6" i="125"/>
  <c r="M6" i="133" s="1"/>
  <c r="K7" i="125"/>
  <c r="K7" i="133" s="1"/>
  <c r="M7" i="125"/>
  <c r="M7" i="133" s="1"/>
  <c r="K8" i="125"/>
  <c r="K8" i="133" s="1"/>
  <c r="M8" i="125"/>
  <c r="M8" i="133" s="1"/>
  <c r="K9" i="125"/>
  <c r="K9" i="133" s="1"/>
  <c r="M9" i="125"/>
  <c r="M9" i="133" s="1"/>
  <c r="K10" i="125"/>
  <c r="K10" i="133" s="1"/>
  <c r="M10" i="125"/>
  <c r="M10" i="133" s="1"/>
  <c r="K11" i="125"/>
  <c r="K11" i="133" s="1"/>
  <c r="M11" i="125"/>
  <c r="M11" i="133" s="1"/>
  <c r="K12" i="125"/>
  <c r="K12" i="133" s="1"/>
  <c r="M12" i="125"/>
  <c r="M12" i="133" s="1"/>
  <c r="K13" i="125"/>
  <c r="G41" i="89"/>
  <c r="J14" i="125"/>
  <c r="J14" i="133" s="1"/>
  <c r="L14" i="125"/>
  <c r="L14" i="133" s="1"/>
  <c r="J15" i="125"/>
  <c r="J15" i="133" s="1"/>
  <c r="L15" i="125"/>
  <c r="L15" i="133" s="1"/>
  <c r="J16" i="125"/>
  <c r="J16" i="133" s="1"/>
  <c r="L16" i="125"/>
  <c r="L16" i="133" s="1"/>
  <c r="J17" i="125"/>
  <c r="J17" i="133" s="1"/>
  <c r="L17" i="125"/>
  <c r="L17" i="133" s="1"/>
  <c r="J18" i="125"/>
  <c r="J18" i="133" s="1"/>
  <c r="L18" i="125"/>
  <c r="L18" i="133" s="1"/>
  <c r="J19" i="125"/>
  <c r="J19" i="133" s="1"/>
  <c r="L19" i="125"/>
  <c r="L19" i="133" s="1"/>
  <c r="J20" i="125"/>
  <c r="J20" i="133" s="1"/>
  <c r="L20" i="125"/>
  <c r="L20" i="133" s="1"/>
  <c r="J21" i="125"/>
  <c r="J21" i="133" s="1"/>
  <c r="L21" i="125"/>
  <c r="L21" i="133" s="1"/>
  <c r="J22" i="125"/>
  <c r="J22" i="133" s="1"/>
  <c r="L22" i="125"/>
  <c r="L22" i="133" s="1"/>
  <c r="J23" i="125"/>
  <c r="J23" i="133" s="1"/>
  <c r="L23" i="125"/>
  <c r="L23" i="133" s="1"/>
  <c r="B5" i="127"/>
  <c r="B5" i="137" s="1"/>
  <c r="D5" i="127"/>
  <c r="D5" i="137" s="1"/>
  <c r="B6" i="127"/>
  <c r="B6" i="137" s="1"/>
  <c r="D6" i="127"/>
  <c r="D6" i="137" s="1"/>
  <c r="B7" i="127"/>
  <c r="B7" i="137" s="1"/>
  <c r="D7" i="127"/>
  <c r="D7" i="137" s="1"/>
  <c r="B8" i="127"/>
  <c r="B8" i="137" s="1"/>
  <c r="D8" i="127"/>
  <c r="D8" i="137" s="1"/>
  <c r="B9" i="127"/>
  <c r="B9" i="137" s="1"/>
  <c r="D9" i="127"/>
  <c r="D9" i="137" s="1"/>
  <c r="B10" i="127"/>
  <c r="B10" i="137" s="1"/>
  <c r="D10" i="127"/>
  <c r="D10" i="137" s="1"/>
  <c r="B11" i="127"/>
  <c r="B11" i="137" s="1"/>
  <c r="D11" i="127"/>
  <c r="D11" i="137" s="1"/>
  <c r="B12" i="127"/>
  <c r="B12" i="137" s="1"/>
  <c r="D12" i="127"/>
  <c r="D12" i="137" s="1"/>
  <c r="B13" i="127"/>
  <c r="D13"/>
  <c r="B14"/>
  <c r="B14" i="137" s="1"/>
  <c r="D14" i="127"/>
  <c r="D14" i="137" s="1"/>
  <c r="B15" i="127"/>
  <c r="B15" i="137" s="1"/>
  <c r="D15" i="127"/>
  <c r="D15" i="137" s="1"/>
  <c r="B16" i="127"/>
  <c r="B16" i="137" s="1"/>
  <c r="D16" i="127"/>
  <c r="D16" i="137" s="1"/>
  <c r="B17" i="127"/>
  <c r="B17" i="137" s="1"/>
  <c r="D17" i="127"/>
  <c r="D17" i="137" s="1"/>
  <c r="B18" i="127"/>
  <c r="B18" i="137" s="1"/>
  <c r="D18" i="127"/>
  <c r="D18" i="137" s="1"/>
  <c r="B19" i="127"/>
  <c r="B19" i="137" s="1"/>
  <c r="D19" i="127"/>
  <c r="D19" i="137" s="1"/>
  <c r="B20" i="127"/>
  <c r="B20" i="137" s="1"/>
  <c r="D20" i="127"/>
  <c r="D20" i="137" s="1"/>
  <c r="B21" i="127"/>
  <c r="B21" i="137" s="1"/>
  <c r="D21" i="127"/>
  <c r="D21" i="137" s="1"/>
  <c r="B22" i="127"/>
  <c r="B22" i="137" s="1"/>
  <c r="D22" i="127"/>
  <c r="D22" i="137" s="1"/>
  <c r="B23" i="127"/>
  <c r="B23" i="137" s="1"/>
  <c r="D23" i="127"/>
  <c r="D23" i="137" s="1"/>
  <c r="F5" i="127"/>
  <c r="F5" i="137" s="1"/>
  <c r="H5" i="127"/>
  <c r="H5" i="137" s="1"/>
  <c r="F6" i="127"/>
  <c r="F6" i="137" s="1"/>
  <c r="H6" i="127"/>
  <c r="H6" i="137" s="1"/>
  <c r="F7" i="127"/>
  <c r="F7" i="137" s="1"/>
  <c r="H7" i="127"/>
  <c r="H7" i="137" s="1"/>
  <c r="F8" i="127"/>
  <c r="F8" i="137" s="1"/>
  <c r="H8" i="127"/>
  <c r="H8" i="137" s="1"/>
  <c r="F9" i="127"/>
  <c r="F9" i="137" s="1"/>
  <c r="H9" i="127"/>
  <c r="H9" i="137" s="1"/>
  <c r="F10" i="127"/>
  <c r="F10" i="137" s="1"/>
  <c r="H10" i="127"/>
  <c r="H10" i="137" s="1"/>
  <c r="F11" i="127"/>
  <c r="F11" i="137" s="1"/>
  <c r="H11" i="127"/>
  <c r="H11" i="137" s="1"/>
  <c r="F12" i="127"/>
  <c r="F12" i="137" s="1"/>
  <c r="H12" i="127"/>
  <c r="H12" i="137" s="1"/>
  <c r="F13" i="127"/>
  <c r="H13"/>
  <c r="F14"/>
  <c r="F14" i="137" s="1"/>
  <c r="H14" i="127"/>
  <c r="H14" i="137" s="1"/>
  <c r="F15" i="127"/>
  <c r="F15" i="137" s="1"/>
  <c r="H15" i="127"/>
  <c r="H15" i="137" s="1"/>
  <c r="F16" i="127"/>
  <c r="F16" i="137" s="1"/>
  <c r="H16" i="127"/>
  <c r="H16" i="137" s="1"/>
  <c r="F17" i="127"/>
  <c r="F17" i="137" s="1"/>
  <c r="H17" i="127"/>
  <c r="H17" i="137" s="1"/>
  <c r="F18" i="127"/>
  <c r="F18" i="137" s="1"/>
  <c r="H18" i="127"/>
  <c r="H18" i="137" s="1"/>
  <c r="F19" i="127"/>
  <c r="F19" i="137" s="1"/>
  <c r="H19" i="127"/>
  <c r="H19" i="137" s="1"/>
  <c r="F20" i="127"/>
  <c r="F20" i="137" s="1"/>
  <c r="H20" i="127"/>
  <c r="H20" i="137" s="1"/>
  <c r="F21" i="127"/>
  <c r="F21" i="137" s="1"/>
  <c r="H21" i="127"/>
  <c r="H21" i="137" s="1"/>
  <c r="F22" i="127"/>
  <c r="F22" i="137" s="1"/>
  <c r="H22" i="127"/>
  <c r="H22" i="137" s="1"/>
  <c r="F23" i="127"/>
  <c r="F23" i="137" s="1"/>
  <c r="H23" i="127"/>
  <c r="H23" i="137" s="1"/>
  <c r="J5" i="127"/>
  <c r="J5" i="137" s="1"/>
  <c r="L5" i="127"/>
  <c r="L5" i="137" s="1"/>
  <c r="J6" i="127"/>
  <c r="J6" i="137" s="1"/>
  <c r="L6" i="127"/>
  <c r="L6" i="137" s="1"/>
  <c r="J7" i="127"/>
  <c r="J7" i="137" s="1"/>
  <c r="L7" i="127"/>
  <c r="L7" i="137" s="1"/>
  <c r="J8" i="127"/>
  <c r="J8" i="137" s="1"/>
  <c r="L8" i="127"/>
  <c r="L8" i="137" s="1"/>
  <c r="J9" i="127"/>
  <c r="J9" i="137" s="1"/>
  <c r="L9" i="127"/>
  <c r="L9" i="137" s="1"/>
  <c r="J10" i="127"/>
  <c r="J10" i="137" s="1"/>
  <c r="L10" i="127"/>
  <c r="L10" i="137" s="1"/>
  <c r="J11" i="127"/>
  <c r="J11" i="137" s="1"/>
  <c r="L11" i="127"/>
  <c r="L11" i="137" s="1"/>
  <c r="J12" i="127"/>
  <c r="J12" i="137" s="1"/>
  <c r="L12" i="127"/>
  <c r="L12" i="137" s="1"/>
  <c r="J13" i="127"/>
  <c r="L13"/>
  <c r="J14"/>
  <c r="J14" i="137" s="1"/>
  <c r="L14" i="127"/>
  <c r="L14" i="137" s="1"/>
  <c r="J15" i="127"/>
  <c r="J15" i="137" s="1"/>
  <c r="L15" i="127"/>
  <c r="L15" i="137" s="1"/>
  <c r="J16" i="127"/>
  <c r="J16" i="137" s="1"/>
  <c r="L16" i="127"/>
  <c r="L16" i="137" s="1"/>
  <c r="J17" i="127"/>
  <c r="J17" i="137" s="1"/>
  <c r="L17" i="127"/>
  <c r="L17" i="137" s="1"/>
  <c r="J18" i="127"/>
  <c r="J18" i="137" s="1"/>
  <c r="L18" i="127"/>
  <c r="L18" i="137" s="1"/>
  <c r="J19" i="127"/>
  <c r="J19" i="137" s="1"/>
  <c r="L19" i="127"/>
  <c r="L19" i="137" s="1"/>
  <c r="J20" i="127"/>
  <c r="J20" i="137" s="1"/>
  <c r="L20" i="127"/>
  <c r="L20" i="137" s="1"/>
  <c r="J21" i="127"/>
  <c r="J21" i="137" s="1"/>
  <c r="L21" i="127"/>
  <c r="L21" i="137" s="1"/>
  <c r="J22" i="127"/>
  <c r="J22" i="137" s="1"/>
  <c r="L22" i="127"/>
  <c r="L22" i="137" s="1"/>
  <c r="J23" i="127"/>
  <c r="J23" i="137" s="1"/>
  <c r="L23" i="127"/>
  <c r="L23" i="137" s="1"/>
  <c r="C5" i="129"/>
  <c r="C5" i="138" s="1"/>
  <c r="E5" i="129"/>
  <c r="C6"/>
  <c r="C6" i="138" s="1"/>
  <c r="E6" i="129"/>
  <c r="C7"/>
  <c r="C7" i="138" s="1"/>
  <c r="E7" i="129"/>
  <c r="C8"/>
  <c r="C8" i="138" s="1"/>
  <c r="E8" i="129"/>
  <c r="C9"/>
  <c r="C9" i="138" s="1"/>
  <c r="E9" i="129"/>
  <c r="C10"/>
  <c r="C10" i="138" s="1"/>
  <c r="E10" i="129"/>
  <c r="C11"/>
  <c r="C11" i="138" s="1"/>
  <c r="E11" i="129"/>
  <c r="C12"/>
  <c r="C12" i="138" s="1"/>
  <c r="E12" i="129"/>
  <c r="C13"/>
  <c r="E13"/>
  <c r="C14"/>
  <c r="C14" i="138" s="1"/>
  <c r="E14" i="129"/>
  <c r="C15"/>
  <c r="C15" i="138" s="1"/>
  <c r="E15" i="129"/>
  <c r="C16"/>
  <c r="C16" i="138" s="1"/>
  <c r="E16" i="129"/>
  <c r="C17"/>
  <c r="C17" i="138" s="1"/>
  <c r="E17" i="129"/>
  <c r="C18"/>
  <c r="C18" i="138" s="1"/>
  <c r="E18" i="129"/>
  <c r="C19"/>
  <c r="C19" i="138" s="1"/>
  <c r="E19" i="129"/>
  <c r="C20"/>
  <c r="C20" i="138" s="1"/>
  <c r="E20" i="129"/>
  <c r="C21"/>
  <c r="C21" i="138" s="1"/>
  <c r="E21" i="129"/>
  <c r="C22"/>
  <c r="C22" i="138" s="1"/>
  <c r="E22" i="129"/>
  <c r="C23"/>
  <c r="C23" i="138" s="1"/>
  <c r="E23" i="129"/>
  <c r="G5"/>
  <c r="G5" i="138" s="1"/>
  <c r="I5" i="129"/>
  <c r="G6"/>
  <c r="G6" i="138" s="1"/>
  <c r="I6" i="129"/>
  <c r="G7"/>
  <c r="G7" i="138" s="1"/>
  <c r="I7" i="129"/>
  <c r="G8"/>
  <c r="G8" i="138" s="1"/>
  <c r="I8" i="129"/>
  <c r="G9"/>
  <c r="G9" i="138" s="1"/>
  <c r="I9" i="129"/>
  <c r="G10"/>
  <c r="G10" i="138" s="1"/>
  <c r="I10" i="129"/>
  <c r="G11"/>
  <c r="G11" i="138" s="1"/>
  <c r="I11" i="129"/>
  <c r="G12"/>
  <c r="G12" i="138" s="1"/>
  <c r="I12" i="129"/>
  <c r="G13"/>
  <c r="I13"/>
  <c r="G14"/>
  <c r="G14" i="138" s="1"/>
  <c r="I14" i="129"/>
  <c r="G15"/>
  <c r="G15" i="138" s="1"/>
  <c r="I15" i="129"/>
  <c r="G16"/>
  <c r="G16" i="138" s="1"/>
  <c r="I16" i="129"/>
  <c r="G17"/>
  <c r="G17" i="138" s="1"/>
  <c r="I17" i="129"/>
  <c r="G18"/>
  <c r="G18" i="138" s="1"/>
  <c r="I18" i="129"/>
  <c r="G19"/>
  <c r="G19" i="138" s="1"/>
  <c r="I19" i="129"/>
  <c r="G20"/>
  <c r="G20" i="138" s="1"/>
  <c r="I20" i="129"/>
  <c r="G21"/>
  <c r="G21" i="138" s="1"/>
  <c r="I21" i="129"/>
  <c r="G22"/>
  <c r="G22" i="138" s="1"/>
  <c r="I22" i="129"/>
  <c r="G23"/>
  <c r="G23" i="138" s="1"/>
  <c r="I23" i="129"/>
  <c r="K5"/>
  <c r="K5" i="138" s="1"/>
  <c r="M5" i="129"/>
  <c r="M5" i="138" s="1"/>
  <c r="K6" i="129"/>
  <c r="K6" i="138" s="1"/>
  <c r="M6" i="129"/>
  <c r="M6" i="138" s="1"/>
  <c r="K7" i="129"/>
  <c r="K7" i="138" s="1"/>
  <c r="M7" i="129"/>
  <c r="M7" i="138" s="1"/>
  <c r="K8" i="129"/>
  <c r="K8" i="138" s="1"/>
  <c r="M8" i="129"/>
  <c r="M8" i="138" s="1"/>
  <c r="K9" i="129"/>
  <c r="K9" i="138" s="1"/>
  <c r="M9" i="129"/>
  <c r="M9" i="138" s="1"/>
  <c r="K10" i="129"/>
  <c r="K10" i="138" s="1"/>
  <c r="M10" i="129"/>
  <c r="M10" i="138" s="1"/>
  <c r="K11" i="129"/>
  <c r="K11" i="138" s="1"/>
  <c r="M11" i="129"/>
  <c r="M11" i="138" s="1"/>
  <c r="K12" i="129"/>
  <c r="K12" i="138" s="1"/>
  <c r="M12" i="129"/>
  <c r="M12" i="138" s="1"/>
  <c r="K13" i="129"/>
  <c r="M13"/>
  <c r="K14"/>
  <c r="K14" i="138" s="1"/>
  <c r="M14" i="129"/>
  <c r="M14" i="138" s="1"/>
  <c r="K15" i="129"/>
  <c r="K15" i="138" s="1"/>
  <c r="M15" i="129"/>
  <c r="M15" i="138" s="1"/>
  <c r="K16" i="129"/>
  <c r="K16" i="138" s="1"/>
  <c r="M16" i="129"/>
  <c r="M16" i="138" s="1"/>
  <c r="K17" i="129"/>
  <c r="K17" i="138" s="1"/>
  <c r="M17" i="129"/>
  <c r="M17" i="138" s="1"/>
  <c r="K18" i="129"/>
  <c r="K18" i="138" s="1"/>
  <c r="M18" i="129"/>
  <c r="M18" i="138" s="1"/>
  <c r="K19" i="129"/>
  <c r="K19" i="138" s="1"/>
  <c r="M19" i="129"/>
  <c r="M19" i="138" s="1"/>
  <c r="K20" i="129"/>
  <c r="K20" i="138" s="1"/>
  <c r="M20" i="129"/>
  <c r="M20" i="138" s="1"/>
  <c r="K21" i="129"/>
  <c r="K21" i="138" s="1"/>
  <c r="M21" i="129"/>
  <c r="M21" i="138" s="1"/>
  <c r="K22" i="129"/>
  <c r="K22" i="138" s="1"/>
  <c r="M22" i="129"/>
  <c r="M22" i="138" s="1"/>
  <c r="K23" i="129"/>
  <c r="K23" i="138" s="1"/>
  <c r="M23" i="129"/>
  <c r="M23" i="138" s="1"/>
  <c r="C40" i="87"/>
  <c r="C39"/>
  <c r="E40"/>
  <c r="E39"/>
  <c r="G40"/>
  <c r="G39"/>
  <c r="I40"/>
  <c r="I39"/>
  <c r="G40" i="76"/>
  <c r="G41"/>
  <c r="C40"/>
  <c r="C41"/>
  <c r="H41"/>
  <c r="H40"/>
  <c r="D41"/>
  <c r="D40"/>
  <c r="C37" i="87"/>
  <c r="E37"/>
  <c r="G37"/>
  <c r="I37"/>
  <c r="C38"/>
  <c r="E38"/>
  <c r="G38"/>
  <c r="I38"/>
  <c r="K38"/>
  <c r="M38"/>
  <c r="K39"/>
  <c r="M39"/>
  <c r="M13" i="125"/>
  <c r="K14"/>
  <c r="K14" i="133" s="1"/>
  <c r="M14" i="125"/>
  <c r="M14" i="133" s="1"/>
  <c r="K15" i="125"/>
  <c r="K15" i="133" s="1"/>
  <c r="M15" i="125"/>
  <c r="M15" i="133" s="1"/>
  <c r="K16" i="125"/>
  <c r="K16" i="133" s="1"/>
  <c r="M16" i="125"/>
  <c r="M16" i="133" s="1"/>
  <c r="K17" i="125"/>
  <c r="K17" i="133" s="1"/>
  <c r="M17" i="125"/>
  <c r="M17" i="133" s="1"/>
  <c r="K18" i="125"/>
  <c r="K18" i="133" s="1"/>
  <c r="M18" i="125"/>
  <c r="M18" i="133" s="1"/>
  <c r="K19" i="125"/>
  <c r="K19" i="133" s="1"/>
  <c r="M19" i="125"/>
  <c r="M19" i="133" s="1"/>
  <c r="K20" i="125"/>
  <c r="K20" i="133" s="1"/>
  <c r="M20" i="125"/>
  <c r="M20" i="133" s="1"/>
  <c r="K21" i="125"/>
  <c r="K21" i="133" s="1"/>
  <c r="M21" i="125"/>
  <c r="M21" i="133" s="1"/>
  <c r="K22" i="125"/>
  <c r="K22" i="133" s="1"/>
  <c r="M22" i="125"/>
  <c r="M22" i="133" s="1"/>
  <c r="K23" i="125"/>
  <c r="K23" i="133" s="1"/>
  <c r="M23" i="125"/>
  <c r="M23" i="133" s="1"/>
  <c r="C5" i="127"/>
  <c r="C5" i="137" s="1"/>
  <c r="E5" i="127"/>
  <c r="E5" i="137" s="1"/>
  <c r="C6" i="127"/>
  <c r="C6" i="137" s="1"/>
  <c r="E6" i="127"/>
  <c r="E6" i="137" s="1"/>
  <c r="C7" i="127"/>
  <c r="C7" i="137" s="1"/>
  <c r="E7" i="127"/>
  <c r="E7" i="137" s="1"/>
  <c r="C8" i="127"/>
  <c r="C8" i="137" s="1"/>
  <c r="E8" i="127"/>
  <c r="E8" i="137" s="1"/>
  <c r="C9" i="127"/>
  <c r="C9" i="137" s="1"/>
  <c r="E9" i="127"/>
  <c r="E9" i="137" s="1"/>
  <c r="C10" i="127"/>
  <c r="C10" i="137" s="1"/>
  <c r="E10" i="127"/>
  <c r="E10" i="137" s="1"/>
  <c r="C11" i="127"/>
  <c r="C11" i="137" s="1"/>
  <c r="E11" i="127"/>
  <c r="E11" i="137" s="1"/>
  <c r="C12" i="127"/>
  <c r="C12" i="137" s="1"/>
  <c r="E12" i="127"/>
  <c r="E12" i="137" s="1"/>
  <c r="C13" i="127"/>
  <c r="E13"/>
  <c r="C14"/>
  <c r="C14" i="137" s="1"/>
  <c r="E14" i="127"/>
  <c r="E14" i="137" s="1"/>
  <c r="C15" i="127"/>
  <c r="C15" i="137" s="1"/>
  <c r="E15" i="127"/>
  <c r="E15" i="137" s="1"/>
  <c r="C16" i="127"/>
  <c r="C16" i="137" s="1"/>
  <c r="E16" i="127"/>
  <c r="E16" i="137" s="1"/>
  <c r="C17" i="127"/>
  <c r="C17" i="137" s="1"/>
  <c r="E17" i="127"/>
  <c r="E17" i="137" s="1"/>
  <c r="C18" i="127"/>
  <c r="C18" i="137" s="1"/>
  <c r="E18" i="127"/>
  <c r="E18" i="137" s="1"/>
  <c r="C19" i="127"/>
  <c r="C19" i="137" s="1"/>
  <c r="E19" i="127"/>
  <c r="E19" i="137" s="1"/>
  <c r="C20" i="127"/>
  <c r="C20" i="137" s="1"/>
  <c r="E20" i="127"/>
  <c r="E20" i="137" s="1"/>
  <c r="C21" i="127"/>
  <c r="C21" i="137" s="1"/>
  <c r="E21" i="127"/>
  <c r="E21" i="137" s="1"/>
  <c r="C22" i="127"/>
  <c r="C22" i="137" s="1"/>
  <c r="E22" i="127"/>
  <c r="E22" i="137" s="1"/>
  <c r="C23" i="127"/>
  <c r="C23" i="137" s="1"/>
  <c r="E23" i="127"/>
  <c r="E23" i="137" s="1"/>
  <c r="G5" i="127"/>
  <c r="G5" i="137" s="1"/>
  <c r="I5" i="127"/>
  <c r="I5" i="137" s="1"/>
  <c r="G6" i="127"/>
  <c r="G6" i="137" s="1"/>
  <c r="I6" i="127"/>
  <c r="I6" i="137" s="1"/>
  <c r="G7" i="127"/>
  <c r="G7" i="137" s="1"/>
  <c r="I7" i="127"/>
  <c r="I7" i="137" s="1"/>
  <c r="G8" i="127"/>
  <c r="G8" i="137" s="1"/>
  <c r="I8" i="127"/>
  <c r="I8" i="137" s="1"/>
  <c r="G9" i="127"/>
  <c r="G9" i="137" s="1"/>
  <c r="I9" i="127"/>
  <c r="I9" i="137" s="1"/>
  <c r="G10" i="127"/>
  <c r="G10" i="137" s="1"/>
  <c r="I10" i="127"/>
  <c r="I10" i="137" s="1"/>
  <c r="G11" i="127"/>
  <c r="G11" i="137" s="1"/>
  <c r="I11" i="127"/>
  <c r="I11" i="137" s="1"/>
  <c r="G12" i="127"/>
  <c r="G12" i="137" s="1"/>
  <c r="I12" i="127"/>
  <c r="I12" i="137" s="1"/>
  <c r="G13" i="127"/>
  <c r="I13"/>
  <c r="G14"/>
  <c r="G14" i="137" s="1"/>
  <c r="I14" i="127"/>
  <c r="I14" i="137" s="1"/>
  <c r="G15" i="127"/>
  <c r="G15" i="137" s="1"/>
  <c r="I15" i="127"/>
  <c r="I15" i="137" s="1"/>
  <c r="G16" i="127"/>
  <c r="G16" i="137" s="1"/>
  <c r="I16" i="127"/>
  <c r="I16" i="137" s="1"/>
  <c r="G17" i="127"/>
  <c r="G17" i="137" s="1"/>
  <c r="I17" i="127"/>
  <c r="I17" i="137" s="1"/>
  <c r="G18" i="127"/>
  <c r="G18" i="137" s="1"/>
  <c r="I18" i="127"/>
  <c r="I18" i="137" s="1"/>
  <c r="G19" i="127"/>
  <c r="G19" i="137" s="1"/>
  <c r="I19" i="127"/>
  <c r="I19" i="137" s="1"/>
  <c r="G20" i="127"/>
  <c r="G20" i="137" s="1"/>
  <c r="I20" i="127"/>
  <c r="I20" i="137" s="1"/>
  <c r="G21" i="127"/>
  <c r="G21" i="137" s="1"/>
  <c r="I21" i="127"/>
  <c r="I21" i="137" s="1"/>
  <c r="G22" i="127"/>
  <c r="G22" i="137" s="1"/>
  <c r="I22" i="127"/>
  <c r="I22" i="137" s="1"/>
  <c r="G23" i="127"/>
  <c r="G23" i="137" s="1"/>
  <c r="I23" i="127"/>
  <c r="I23" i="137" s="1"/>
  <c r="K5" i="127"/>
  <c r="K5" i="137" s="1"/>
  <c r="M5" i="127"/>
  <c r="M5" i="137" s="1"/>
  <c r="K6" i="127"/>
  <c r="K6" i="137" s="1"/>
  <c r="M6" i="127"/>
  <c r="M6" i="137" s="1"/>
  <c r="K7" i="127"/>
  <c r="K7" i="137" s="1"/>
  <c r="M7" i="127"/>
  <c r="M7" i="137" s="1"/>
  <c r="K8" i="127"/>
  <c r="K8" i="137" s="1"/>
  <c r="M8" i="127"/>
  <c r="M8" i="137" s="1"/>
  <c r="K9" i="127"/>
  <c r="K9" i="137" s="1"/>
  <c r="M9" i="127"/>
  <c r="M9" i="137" s="1"/>
  <c r="K10" i="127"/>
  <c r="K10" i="137" s="1"/>
  <c r="M10" i="127"/>
  <c r="M10" i="137" s="1"/>
  <c r="K11" i="127"/>
  <c r="K11" i="137" s="1"/>
  <c r="M11" i="127"/>
  <c r="M11" i="137" s="1"/>
  <c r="K12" i="127"/>
  <c r="K12" i="137" s="1"/>
  <c r="M12" i="127"/>
  <c r="M12" i="137" s="1"/>
  <c r="K13" i="127"/>
  <c r="M13"/>
  <c r="K14"/>
  <c r="K14" i="137" s="1"/>
  <c r="M14" i="127"/>
  <c r="M14" i="137" s="1"/>
  <c r="K15" i="127"/>
  <c r="K15" i="137" s="1"/>
  <c r="M15" i="127"/>
  <c r="M15" i="137" s="1"/>
  <c r="K16" i="127"/>
  <c r="K16" i="137" s="1"/>
  <c r="M16" i="127"/>
  <c r="M16" i="137" s="1"/>
  <c r="K17" i="127"/>
  <c r="K17" i="137" s="1"/>
  <c r="M17" i="127"/>
  <c r="M17" i="137" s="1"/>
  <c r="K18" i="127"/>
  <c r="K18" i="137" s="1"/>
  <c r="M18" i="127"/>
  <c r="M18" i="137" s="1"/>
  <c r="K19" i="127"/>
  <c r="K19" i="137" s="1"/>
  <c r="M19" i="127"/>
  <c r="M19" i="137" s="1"/>
  <c r="K20" i="127"/>
  <c r="K20" i="137" s="1"/>
  <c r="M20" i="127"/>
  <c r="M20" i="137" s="1"/>
  <c r="K21" i="127"/>
  <c r="K21" i="137" s="1"/>
  <c r="M21" i="127"/>
  <c r="M21" i="137" s="1"/>
  <c r="K22" i="127"/>
  <c r="K22" i="137" s="1"/>
  <c r="M22" i="127"/>
  <c r="M22" i="137" s="1"/>
  <c r="K23" i="127"/>
  <c r="K23" i="137" s="1"/>
  <c r="M23" i="127"/>
  <c r="M23" i="137" s="1"/>
  <c r="B5" i="129"/>
  <c r="B5" i="138" s="1"/>
  <c r="D5" i="129"/>
  <c r="D5" i="138" s="1"/>
  <c r="B6" i="129"/>
  <c r="B6" i="138" s="1"/>
  <c r="D6" i="129"/>
  <c r="D6" i="138" s="1"/>
  <c r="B7" i="129"/>
  <c r="B7" i="138" s="1"/>
  <c r="D7" i="129"/>
  <c r="D7" i="138" s="1"/>
  <c r="B8" i="129"/>
  <c r="B8" i="138" s="1"/>
  <c r="D8" i="129"/>
  <c r="D8" i="138" s="1"/>
  <c r="B9" i="129"/>
  <c r="B9" i="138" s="1"/>
  <c r="D9" i="129"/>
  <c r="D9" i="138" s="1"/>
  <c r="B10" i="129"/>
  <c r="B10" i="138" s="1"/>
  <c r="D10" i="129"/>
  <c r="D10" i="138" s="1"/>
  <c r="B11" i="129"/>
  <c r="B11" i="138" s="1"/>
  <c r="D11" i="129"/>
  <c r="D11" i="138" s="1"/>
  <c r="B12" i="129"/>
  <c r="B12" i="138" s="1"/>
  <c r="D12" i="129"/>
  <c r="D12" i="138" s="1"/>
  <c r="B13" i="129"/>
  <c r="D13"/>
  <c r="B14"/>
  <c r="B14" i="138" s="1"/>
  <c r="D14" i="129"/>
  <c r="D14" i="138" s="1"/>
  <c r="B15" i="129"/>
  <c r="B15" i="138" s="1"/>
  <c r="D15" i="129"/>
  <c r="D15" i="138" s="1"/>
  <c r="B16" i="129"/>
  <c r="B16" i="138" s="1"/>
  <c r="D16" i="129"/>
  <c r="D16" i="138" s="1"/>
  <c r="B17" i="129"/>
  <c r="B17" i="138" s="1"/>
  <c r="D17" i="129"/>
  <c r="D17" i="138" s="1"/>
  <c r="B18" i="129"/>
  <c r="B18" i="138" s="1"/>
  <c r="D18" i="129"/>
  <c r="D18" i="138" s="1"/>
  <c r="B19" i="129"/>
  <c r="B19" i="138" s="1"/>
  <c r="D19" i="129"/>
  <c r="D19" i="138" s="1"/>
  <c r="B20" i="129"/>
  <c r="B20" i="138" s="1"/>
  <c r="D20" i="129"/>
  <c r="D20" i="138" s="1"/>
  <c r="B21" i="129"/>
  <c r="B21" i="138" s="1"/>
  <c r="D21" i="129"/>
  <c r="D21" i="138" s="1"/>
  <c r="B22" i="129"/>
  <c r="B22" i="138" s="1"/>
  <c r="D22" i="129"/>
  <c r="D22" i="138" s="1"/>
  <c r="B23" i="129"/>
  <c r="B23" i="138" s="1"/>
  <c r="D23" i="129"/>
  <c r="D23" i="138" s="1"/>
  <c r="F5" i="129"/>
  <c r="F5" i="138" s="1"/>
  <c r="H5" i="129"/>
  <c r="H5" i="138" s="1"/>
  <c r="F6" i="129"/>
  <c r="F6" i="138" s="1"/>
  <c r="H6" i="129"/>
  <c r="H6" i="138" s="1"/>
  <c r="F7" i="129"/>
  <c r="F7" i="138" s="1"/>
  <c r="H7" i="129"/>
  <c r="H7" i="138" s="1"/>
  <c r="F8" i="129"/>
  <c r="F8" i="138" s="1"/>
  <c r="H8" i="129"/>
  <c r="H8" i="138" s="1"/>
  <c r="F9" i="129"/>
  <c r="F9" i="138" s="1"/>
  <c r="H9" i="129"/>
  <c r="H9" i="138" s="1"/>
  <c r="F10" i="129"/>
  <c r="F10" i="138" s="1"/>
  <c r="H10" i="129"/>
  <c r="H10" i="138" s="1"/>
  <c r="F11" i="129"/>
  <c r="F11" i="138" s="1"/>
  <c r="H11" i="129"/>
  <c r="H11" i="138" s="1"/>
  <c r="F12" i="129"/>
  <c r="F12" i="138" s="1"/>
  <c r="H12" i="129"/>
  <c r="H12" i="138" s="1"/>
  <c r="F13" i="129"/>
  <c r="H13"/>
  <c r="F14"/>
  <c r="F14" i="138" s="1"/>
  <c r="H14" i="129"/>
  <c r="H14" i="138" s="1"/>
  <c r="F15" i="129"/>
  <c r="F15" i="138" s="1"/>
  <c r="H15" i="129"/>
  <c r="H15" i="138" s="1"/>
  <c r="F16" i="129"/>
  <c r="F16" i="138" s="1"/>
  <c r="H16" i="129"/>
  <c r="H16" i="138" s="1"/>
  <c r="F17" i="129"/>
  <c r="F17" i="138" s="1"/>
  <c r="H17" i="129"/>
  <c r="H17" i="138" s="1"/>
  <c r="F18" i="129"/>
  <c r="F18" i="138" s="1"/>
  <c r="H18" i="129"/>
  <c r="H18" i="138" s="1"/>
  <c r="F19" i="129"/>
  <c r="F19" i="138" s="1"/>
  <c r="H19" i="129"/>
  <c r="H19" i="138" s="1"/>
  <c r="F20" i="129"/>
  <c r="F20" i="138" s="1"/>
  <c r="H20" i="129"/>
  <c r="H20" i="138" s="1"/>
  <c r="F21" i="129"/>
  <c r="F21" i="138" s="1"/>
  <c r="H21" i="129"/>
  <c r="H21" i="138" s="1"/>
  <c r="F22" i="129"/>
  <c r="F22" i="138" s="1"/>
  <c r="H22" i="129"/>
  <c r="H22" i="138" s="1"/>
  <c r="F23" i="129"/>
  <c r="F23" i="138" s="1"/>
  <c r="H23" i="129"/>
  <c r="H23" i="138" s="1"/>
  <c r="J5" i="129"/>
  <c r="J5" i="138" s="1"/>
  <c r="L5" i="129"/>
  <c r="L5" i="138" s="1"/>
  <c r="J6" i="129"/>
  <c r="J6" i="138" s="1"/>
  <c r="L6" i="129"/>
  <c r="L6" i="138" s="1"/>
  <c r="J7" i="129"/>
  <c r="J7" i="138" s="1"/>
  <c r="L7" i="129"/>
  <c r="L7" i="138" s="1"/>
  <c r="J8" i="129"/>
  <c r="J8" i="138" s="1"/>
  <c r="L8" i="129"/>
  <c r="L8" i="138" s="1"/>
  <c r="J9" i="129"/>
  <c r="J9" i="138" s="1"/>
  <c r="L9" i="129"/>
  <c r="L9" i="138" s="1"/>
  <c r="J10" i="129"/>
  <c r="J10" i="138" s="1"/>
  <c r="L10" i="129"/>
  <c r="L10" i="138" s="1"/>
  <c r="J11" i="129"/>
  <c r="J11" i="138" s="1"/>
  <c r="L11" i="129"/>
  <c r="L11" i="138" s="1"/>
  <c r="J12" i="129"/>
  <c r="J12" i="138" s="1"/>
  <c r="L12" i="129"/>
  <c r="L12" i="138" s="1"/>
  <c r="J13" i="129"/>
  <c r="L13"/>
  <c r="J14"/>
  <c r="J14" i="138" s="1"/>
  <c r="L14" i="129"/>
  <c r="L14" i="138" s="1"/>
  <c r="J15" i="129"/>
  <c r="J15" i="138" s="1"/>
  <c r="L15" i="129"/>
  <c r="L15" i="138" s="1"/>
  <c r="J16" i="129"/>
  <c r="J16" i="138" s="1"/>
  <c r="L16" i="129"/>
  <c r="L16" i="138" s="1"/>
  <c r="J17" i="129"/>
  <c r="J17" i="138" s="1"/>
  <c r="L17" i="129"/>
  <c r="L17" i="138" s="1"/>
  <c r="J18" i="129"/>
  <c r="J18" i="138" s="1"/>
  <c r="L18" i="129"/>
  <c r="L18" i="138" s="1"/>
  <c r="J19" i="129"/>
  <c r="J19" i="138" s="1"/>
  <c r="L19" i="129"/>
  <c r="L19" i="138" s="1"/>
  <c r="J20" i="129"/>
  <c r="J20" i="138" s="1"/>
  <c r="L20" i="129"/>
  <c r="L20" i="138" s="1"/>
  <c r="J21" i="129"/>
  <c r="J21" i="138" s="1"/>
  <c r="L21" i="129"/>
  <c r="L21" i="138" s="1"/>
  <c r="J22" i="129"/>
  <c r="J22" i="138" s="1"/>
  <c r="L22" i="129"/>
  <c r="L22" i="138" s="1"/>
  <c r="J23" i="129"/>
  <c r="J23" i="138" s="1"/>
  <c r="L23" i="129"/>
  <c r="L23" i="138" s="1"/>
  <c r="D39" i="87"/>
  <c r="D40"/>
  <c r="F39"/>
  <c r="F40"/>
  <c r="H39"/>
  <c r="H40"/>
  <c r="I40" i="76"/>
  <c r="I41"/>
  <c r="E40"/>
  <c r="E41"/>
  <c r="F41"/>
  <c r="F40"/>
  <c r="B40"/>
  <c r="B41"/>
  <c r="B37" i="87"/>
  <c r="D37"/>
  <c r="F37"/>
  <c r="H37"/>
  <c r="D38"/>
  <c r="F38"/>
  <c r="H38"/>
  <c r="J38"/>
  <c r="L38"/>
  <c r="J39"/>
  <c r="L39"/>
  <c r="F39" i="79"/>
  <c r="H39"/>
  <c r="F40"/>
  <c r="H40"/>
  <c r="G39"/>
  <c r="I39"/>
  <c r="H38"/>
  <c r="G38"/>
  <c r="I38"/>
  <c r="G41"/>
  <c r="I41"/>
  <c r="G40"/>
  <c r="I40"/>
  <c r="H41"/>
  <c r="F38"/>
  <c r="D38"/>
  <c r="C38"/>
  <c r="E38"/>
  <c r="C39"/>
  <c r="E39"/>
  <c r="B39"/>
  <c r="D39"/>
  <c r="C40"/>
  <c r="E40"/>
  <c r="B38"/>
  <c r="B39" i="78"/>
  <c r="D39"/>
  <c r="F39"/>
  <c r="H39"/>
  <c r="B40"/>
  <c r="D40"/>
  <c r="F40"/>
  <c r="H40"/>
  <c r="C39"/>
  <c r="E39"/>
  <c r="G39"/>
  <c r="I39"/>
  <c r="D38"/>
  <c r="H38"/>
  <c r="C38"/>
  <c r="E38"/>
  <c r="G38"/>
  <c r="I38"/>
  <c r="C41"/>
  <c r="E41"/>
  <c r="G41"/>
  <c r="I41"/>
  <c r="G40"/>
  <c r="I40"/>
  <c r="H41"/>
  <c r="F38"/>
  <c r="C40"/>
  <c r="E40"/>
  <c r="D41"/>
  <c r="B38"/>
  <c r="C38" i="93"/>
  <c r="E38"/>
  <c r="C39"/>
  <c r="E39"/>
  <c r="C38" i="98"/>
  <c r="E38"/>
  <c r="C39"/>
  <c r="E39"/>
  <c r="B37" i="91"/>
  <c r="B39"/>
  <c r="C37"/>
  <c r="C38"/>
  <c r="C39"/>
  <c r="C40"/>
  <c r="E40" i="93"/>
  <c r="B38" i="91"/>
  <c r="B40"/>
  <c r="D37"/>
  <c r="D38"/>
  <c r="D39"/>
  <c r="B39" i="96"/>
  <c r="D40" i="73"/>
  <c r="C41"/>
  <c r="E41"/>
  <c r="B41"/>
  <c r="G38" i="89"/>
  <c r="G39"/>
  <c r="F38"/>
  <c r="H38"/>
  <c r="F39"/>
  <c r="H39"/>
  <c r="C38"/>
  <c r="C39"/>
  <c r="B38"/>
  <c r="D38"/>
  <c r="B39"/>
  <c r="D39"/>
  <c r="F41" i="85"/>
  <c r="F40"/>
  <c r="H41"/>
  <c r="H40"/>
  <c r="F38"/>
  <c r="H38"/>
  <c r="F39"/>
  <c r="H39"/>
  <c r="G40"/>
  <c r="G41"/>
  <c r="G38"/>
  <c r="G39"/>
  <c r="G38" i="86"/>
  <c r="F38"/>
  <c r="I39" i="85"/>
  <c r="I39" i="86"/>
  <c r="I41" i="85"/>
  <c r="I38"/>
  <c r="I38" i="86"/>
  <c r="E39" i="85"/>
  <c r="E39" i="86"/>
  <c r="E40" i="85"/>
  <c r="E38" i="86"/>
  <c r="C40"/>
  <c r="C38" i="85"/>
  <c r="C39"/>
  <c r="B40"/>
  <c r="B41"/>
  <c r="D41"/>
  <c r="D40"/>
  <c r="B38"/>
  <c r="D38"/>
  <c r="B39"/>
  <c r="D39"/>
  <c r="B41" i="86"/>
  <c r="C38"/>
  <c r="C39"/>
  <c r="D40"/>
  <c r="C41"/>
  <c r="B40"/>
  <c r="B39"/>
  <c r="D38"/>
  <c r="D39"/>
  <c r="D41"/>
  <c r="B38"/>
  <c r="C41" i="107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C41" i="106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C41" i="104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C41" i="102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C41" i="96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I39" i="74"/>
  <c r="I41"/>
  <c r="E39"/>
  <c r="E39" i="83"/>
  <c r="E38" i="74"/>
  <c r="E40"/>
  <c r="B38" i="83"/>
  <c r="D38"/>
  <c r="J38"/>
  <c r="L38"/>
  <c r="C41" i="98"/>
  <c r="E41"/>
  <c r="G41"/>
  <c r="I41"/>
  <c r="K41"/>
  <c r="M41"/>
  <c r="B41"/>
  <c r="D41"/>
  <c r="F41"/>
  <c r="H41"/>
  <c r="J41"/>
  <c r="L41"/>
  <c r="C40"/>
  <c r="E40"/>
  <c r="G40"/>
  <c r="I40"/>
  <c r="K40"/>
  <c r="M40"/>
  <c r="B40"/>
  <c r="D40"/>
  <c r="F40"/>
  <c r="H40"/>
  <c r="J40"/>
  <c r="L40"/>
  <c r="C41" i="93"/>
  <c r="E41"/>
  <c r="G41"/>
  <c r="I41"/>
  <c r="K41"/>
  <c r="M41"/>
  <c r="B41"/>
  <c r="D41"/>
  <c r="F41"/>
  <c r="H41"/>
  <c r="J41"/>
  <c r="L41"/>
  <c r="C40"/>
  <c r="G40"/>
  <c r="I40"/>
  <c r="K40"/>
  <c r="M40"/>
  <c r="B40"/>
  <c r="D40"/>
  <c r="F40"/>
  <c r="H40"/>
  <c r="J40"/>
  <c r="L40"/>
  <c r="A16" i="92"/>
  <c r="A17" s="1"/>
  <c r="A18" s="1"/>
  <c r="A19" s="1"/>
  <c r="A20" s="1"/>
  <c r="A21" s="1"/>
  <c r="A22" s="1"/>
  <c r="A23" s="1"/>
  <c r="A24" s="1"/>
  <c r="A25" s="1"/>
  <c r="C41" i="89"/>
  <c r="B41"/>
  <c r="D41"/>
  <c r="F41"/>
  <c r="H41"/>
  <c r="C40"/>
  <c r="G40"/>
  <c r="B40"/>
  <c r="D40"/>
  <c r="H40"/>
  <c r="C41" i="90"/>
  <c r="G41"/>
  <c r="K41"/>
  <c r="M41"/>
  <c r="B41"/>
  <c r="D41"/>
  <c r="F41"/>
  <c r="H41"/>
  <c r="J41"/>
  <c r="L41"/>
  <c r="C40"/>
  <c r="G40"/>
  <c r="M40"/>
  <c r="B40"/>
  <c r="D40"/>
  <c r="F40"/>
  <c r="H40"/>
  <c r="J40"/>
  <c r="L40"/>
  <c r="B40" i="87"/>
  <c r="B39"/>
  <c r="F41" i="86"/>
  <c r="C40" i="84"/>
  <c r="E40"/>
  <c r="G40"/>
  <c r="I40"/>
  <c r="K40"/>
  <c r="M40"/>
  <c r="B40"/>
  <c r="D40"/>
  <c r="F40"/>
  <c r="H40"/>
  <c r="J40"/>
  <c r="L40"/>
  <c r="E40" i="83"/>
  <c r="I40"/>
  <c r="M40"/>
  <c r="F38" i="82"/>
  <c r="F39"/>
  <c r="F40"/>
  <c r="E38"/>
  <c r="E39"/>
  <c r="E41"/>
  <c r="E40"/>
  <c r="F41"/>
  <c r="E38" i="81"/>
  <c r="E40"/>
  <c r="F37"/>
  <c r="F38"/>
  <c r="F39"/>
  <c r="E39"/>
  <c r="F40"/>
  <c r="F37" i="21"/>
  <c r="F38"/>
  <c r="F39"/>
  <c r="E37"/>
  <c r="E38"/>
  <c r="E40"/>
  <c r="F40"/>
  <c r="E39"/>
  <c r="B38" i="80"/>
  <c r="D38"/>
  <c r="F38"/>
  <c r="H38"/>
  <c r="B39"/>
  <c r="D39"/>
  <c r="F39"/>
  <c r="H39"/>
  <c r="C38"/>
  <c r="E38"/>
  <c r="G38"/>
  <c r="I38"/>
  <c r="C39"/>
  <c r="E39"/>
  <c r="G39"/>
  <c r="I39"/>
  <c r="C40"/>
  <c r="E40"/>
  <c r="G40"/>
  <c r="I40"/>
  <c r="B40"/>
  <c r="D40"/>
  <c r="F40"/>
  <c r="H40"/>
  <c r="J39" i="68"/>
  <c r="L39"/>
  <c r="K39"/>
  <c r="M39"/>
  <c r="K41"/>
  <c r="M41"/>
  <c r="J41"/>
  <c r="L41"/>
  <c r="K40"/>
  <c r="M40"/>
  <c r="J40"/>
  <c r="L40"/>
  <c r="C42" i="69"/>
  <c r="E42"/>
  <c r="G42"/>
  <c r="I42"/>
  <c r="K42"/>
  <c r="M42"/>
  <c r="B42"/>
  <c r="D42"/>
  <c r="F42"/>
  <c r="H42"/>
  <c r="J42"/>
  <c r="L42"/>
  <c r="F38" i="74"/>
  <c r="J38"/>
  <c r="G38" i="71"/>
  <c r="C39"/>
  <c r="F39"/>
  <c r="H39"/>
  <c r="K39"/>
  <c r="B40"/>
  <c r="D40"/>
  <c r="G40"/>
  <c r="J40"/>
  <c r="L40"/>
  <c r="G34" i="17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5" i="47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35" i="17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D41" i="19"/>
  <c r="C41"/>
  <c r="D40"/>
  <c r="C40"/>
  <c r="D39"/>
  <c r="C39"/>
  <c r="D38"/>
  <c r="C38"/>
  <c r="B41"/>
  <c r="B40"/>
  <c r="B39"/>
  <c r="B38"/>
  <c r="L41" i="9"/>
  <c r="K41"/>
  <c r="J41"/>
  <c r="L40"/>
  <c r="K40"/>
  <c r="J40"/>
  <c r="C40"/>
  <c r="L39"/>
  <c r="K39"/>
  <c r="J39"/>
  <c r="C39"/>
  <c r="L38"/>
  <c r="K38"/>
  <c r="J38"/>
  <c r="H41" i="7"/>
  <c r="G41"/>
  <c r="F41"/>
  <c r="D41"/>
  <c r="C41"/>
  <c r="H40"/>
  <c r="G40"/>
  <c r="F40"/>
  <c r="D40"/>
  <c r="C40"/>
  <c r="H39"/>
  <c r="G39"/>
  <c r="F39"/>
  <c r="D39"/>
  <c r="C39"/>
  <c r="H38"/>
  <c r="G38"/>
  <c r="F38"/>
  <c r="D38"/>
  <c r="C38"/>
  <c r="B41"/>
  <c r="B40"/>
  <c r="B39"/>
  <c r="B38"/>
  <c r="D41" i="32"/>
  <c r="C41"/>
  <c r="D40"/>
  <c r="C40"/>
  <c r="D39"/>
  <c r="C39"/>
  <c r="D38"/>
  <c r="C38"/>
  <c r="B41"/>
  <c r="B40"/>
  <c r="B39"/>
  <c r="B38"/>
  <c r="D40" i="47"/>
  <c r="C40"/>
  <c r="D39"/>
  <c r="C39"/>
  <c r="D38"/>
  <c r="C38"/>
  <c r="B39"/>
  <c r="L41" i="6"/>
  <c r="K41"/>
  <c r="J41"/>
  <c r="H41"/>
  <c r="G41"/>
  <c r="F41"/>
  <c r="D41"/>
  <c r="C41"/>
  <c r="L40"/>
  <c r="K40"/>
  <c r="J40"/>
  <c r="H40"/>
  <c r="G40"/>
  <c r="F40"/>
  <c r="D40"/>
  <c r="C40"/>
  <c r="L39"/>
  <c r="K39"/>
  <c r="J39"/>
  <c r="H39"/>
  <c r="G39"/>
  <c r="F39"/>
  <c r="D39"/>
  <c r="C39"/>
  <c r="L38"/>
  <c r="K38"/>
  <c r="J38"/>
  <c r="H38"/>
  <c r="G38"/>
  <c r="F38"/>
  <c r="D38"/>
  <c r="C38"/>
  <c r="B40"/>
  <c r="B38"/>
  <c r="B41"/>
  <c r="B39"/>
  <c r="H42" i="5"/>
  <c r="H41"/>
  <c r="H40"/>
  <c r="H39"/>
  <c r="G42"/>
  <c r="F42"/>
  <c r="D42"/>
  <c r="C42"/>
  <c r="B42"/>
  <c r="G41"/>
  <c r="F41"/>
  <c r="D41"/>
  <c r="C41"/>
  <c r="B41"/>
  <c r="G40"/>
  <c r="F40"/>
  <c r="D40"/>
  <c r="C40"/>
  <c r="B40"/>
  <c r="G39"/>
  <c r="F39"/>
  <c r="D39"/>
  <c r="C39"/>
  <c r="B39"/>
  <c r="D24" i="37"/>
  <c r="D41" i="17"/>
  <c r="C41"/>
  <c r="D40"/>
  <c r="C40"/>
  <c r="D39"/>
  <c r="C39"/>
  <c r="D38"/>
  <c r="C38"/>
  <c r="B41"/>
  <c r="B40"/>
  <c r="B39"/>
  <c r="B38"/>
  <c r="H39" i="4"/>
  <c r="H41"/>
  <c r="L42"/>
  <c r="K42"/>
  <c r="J42"/>
  <c r="H42"/>
  <c r="G42"/>
  <c r="F42"/>
  <c r="L41"/>
  <c r="K41"/>
  <c r="J41"/>
  <c r="G41"/>
  <c r="F41"/>
  <c r="L40"/>
  <c r="K40"/>
  <c r="J40"/>
  <c r="H40"/>
  <c r="G40"/>
  <c r="F40"/>
  <c r="L39"/>
  <c r="K39"/>
  <c r="J39"/>
  <c r="G39"/>
  <c r="F39"/>
  <c r="D39"/>
  <c r="D42"/>
  <c r="C42"/>
  <c r="B42"/>
  <c r="D41"/>
  <c r="C41"/>
  <c r="B41"/>
  <c r="D40"/>
  <c r="C40"/>
  <c r="B40"/>
  <c r="C39"/>
  <c r="B39"/>
  <c r="L41" i="11"/>
  <c r="K41"/>
  <c r="J41"/>
  <c r="H41"/>
  <c r="G41"/>
  <c r="F41"/>
  <c r="D41"/>
  <c r="C41"/>
  <c r="L40"/>
  <c r="K40"/>
  <c r="J40"/>
  <c r="H40"/>
  <c r="G40"/>
  <c r="F40"/>
  <c r="D40"/>
  <c r="C40"/>
  <c r="L39"/>
  <c r="K39"/>
  <c r="J39"/>
  <c r="H39"/>
  <c r="G39"/>
  <c r="F39"/>
  <c r="D39"/>
  <c r="C39"/>
  <c r="L38"/>
  <c r="K38"/>
  <c r="J38"/>
  <c r="H38"/>
  <c r="G38"/>
  <c r="F38"/>
  <c r="D38"/>
  <c r="C38"/>
  <c r="B41"/>
  <c r="B40"/>
  <c r="B39"/>
  <c r="L26" i="129" l="1"/>
  <c r="L13" i="138"/>
  <c r="H26" i="129"/>
  <c r="H13" i="138"/>
  <c r="D26" i="129"/>
  <c r="D13" i="138"/>
  <c r="M26" i="127"/>
  <c r="M13" i="137"/>
  <c r="I26" i="127"/>
  <c r="I13" i="137"/>
  <c r="E26" i="127"/>
  <c r="E13" i="137"/>
  <c r="M26" i="125"/>
  <c r="M13" i="133"/>
  <c r="K26" i="129"/>
  <c r="K13" i="138"/>
  <c r="G26" i="129"/>
  <c r="G13" i="138"/>
  <c r="C26" i="129"/>
  <c r="C13" i="138"/>
  <c r="J26" i="127"/>
  <c r="J13" i="137"/>
  <c r="F26" i="127"/>
  <c r="F13" i="137"/>
  <c r="B26" i="127"/>
  <c r="B13" i="137"/>
  <c r="K26" i="125"/>
  <c r="K13" i="133"/>
  <c r="G26" i="125"/>
  <c r="G13" i="133"/>
  <c r="C26" i="125"/>
  <c r="C13" i="133"/>
  <c r="K26" i="124"/>
  <c r="K14" i="134"/>
  <c r="G26" i="124"/>
  <c r="G14" i="134"/>
  <c r="C26" i="124"/>
  <c r="C14" i="134"/>
  <c r="J26" i="125"/>
  <c r="J13" i="133"/>
  <c r="F26" i="125"/>
  <c r="F13" i="133"/>
  <c r="B26" i="125"/>
  <c r="B13" i="133"/>
  <c r="J26" i="124"/>
  <c r="J14" i="134"/>
  <c r="F26" i="124"/>
  <c r="F14" i="134"/>
  <c r="B26" i="124"/>
  <c r="B14" i="134"/>
  <c r="J26" i="129"/>
  <c r="J13" i="138"/>
  <c r="F26" i="129"/>
  <c r="F13" i="138"/>
  <c r="B26" i="129"/>
  <c r="B13" i="138"/>
  <c r="K26" i="127"/>
  <c r="K13" i="137"/>
  <c r="G26" i="127"/>
  <c r="G13" i="137"/>
  <c r="C26" i="127"/>
  <c r="C13" i="137"/>
  <c r="M26" i="129"/>
  <c r="M13" i="138"/>
  <c r="I26" i="129"/>
  <c r="E26"/>
  <c r="L26" i="127"/>
  <c r="L13" i="137"/>
  <c r="H26" i="127"/>
  <c r="H13" i="137"/>
  <c r="D26" i="127"/>
  <c r="D13" i="137"/>
  <c r="I26" i="125"/>
  <c r="I13" i="133"/>
  <c r="E26" i="125"/>
  <c r="E13" i="133"/>
  <c r="M26" i="124"/>
  <c r="M14" i="134"/>
  <c r="I26" i="124"/>
  <c r="I14" i="134"/>
  <c r="E26" i="124"/>
  <c r="E14" i="134"/>
  <c r="L26" i="125"/>
  <c r="L13" i="133"/>
  <c r="H26" i="125"/>
  <c r="H13" i="133"/>
  <c r="D26" i="125"/>
  <c r="D13" i="133"/>
  <c r="L26" i="124"/>
  <c r="L14" i="134"/>
  <c r="H26" i="124"/>
  <c r="H14" i="134"/>
  <c r="D26" i="124"/>
  <c r="D14" i="134"/>
  <c r="H28" i="129"/>
  <c r="H27"/>
  <c r="F28"/>
  <c r="F27"/>
  <c r="D28"/>
  <c r="D27"/>
  <c r="B28"/>
  <c r="B27"/>
  <c r="I28" i="127"/>
  <c r="I27"/>
  <c r="G28"/>
  <c r="G27"/>
  <c r="E28"/>
  <c r="E27"/>
  <c r="C28"/>
  <c r="C27"/>
  <c r="I28" i="129"/>
  <c r="I27"/>
  <c r="G28"/>
  <c r="G27"/>
  <c r="E28"/>
  <c r="E27"/>
  <c r="C28"/>
  <c r="C27"/>
  <c r="H28" i="127"/>
  <c r="H27"/>
  <c r="F28"/>
  <c r="F27"/>
  <c r="D28"/>
  <c r="D27"/>
  <c r="B28"/>
  <c r="B27"/>
  <c r="M28" i="124"/>
  <c r="M27"/>
  <c r="K28"/>
  <c r="K27"/>
  <c r="L28"/>
  <c r="L27"/>
  <c r="J28"/>
  <c r="J27"/>
  <c r="L28" i="129"/>
  <c r="L27"/>
  <c r="J28"/>
  <c r="J27"/>
  <c r="M28" i="127"/>
  <c r="M27"/>
  <c r="K28"/>
  <c r="K27"/>
  <c r="M28" i="125"/>
  <c r="M27"/>
  <c r="K28"/>
  <c r="K27"/>
  <c r="M28" i="129"/>
  <c r="M27"/>
  <c r="K28"/>
  <c r="K27"/>
  <c r="L28" i="127"/>
  <c r="L27"/>
  <c r="J28"/>
  <c r="J27"/>
  <c r="L28" i="125"/>
  <c r="L27"/>
  <c r="J28"/>
  <c r="J27"/>
  <c r="I28"/>
  <c r="I27"/>
  <c r="G28"/>
  <c r="G27"/>
  <c r="E28"/>
  <c r="E27"/>
  <c r="C28"/>
  <c r="C27"/>
  <c r="I28" i="124"/>
  <c r="I27"/>
  <c r="G28"/>
  <c r="G27"/>
  <c r="E28"/>
  <c r="E27"/>
  <c r="C28"/>
  <c r="C27"/>
  <c r="H28" i="125"/>
  <c r="H27"/>
  <c r="F28"/>
  <c r="F27"/>
  <c r="D28"/>
  <c r="D27"/>
  <c r="B28"/>
  <c r="B27"/>
  <c r="H28" i="124"/>
  <c r="H27"/>
  <c r="F28"/>
  <c r="F27"/>
  <c r="D28"/>
  <c r="D27"/>
  <c r="B28"/>
  <c r="B27"/>
  <c r="I40" i="85"/>
  <c r="E41"/>
  <c r="E38"/>
  <c r="C41"/>
  <c r="C40"/>
  <c r="A26" i="92"/>
  <c r="A27" s="1"/>
  <c r="A28" s="1"/>
  <c r="A29" s="1"/>
  <c r="A30" s="1"/>
  <c r="A31" s="1"/>
  <c r="A32" s="1"/>
  <c r="A33" s="1"/>
  <c r="A34" s="1"/>
  <c r="A35" s="1"/>
  <c r="C41" i="58"/>
  <c r="C40"/>
  <c r="H41"/>
  <c r="H40"/>
  <c r="C38"/>
  <c r="H38"/>
  <c r="C39"/>
  <c r="H39"/>
  <c r="B41"/>
  <c r="B40"/>
  <c r="D41"/>
  <c r="D40"/>
  <c r="G41"/>
  <c r="G40"/>
  <c r="J41"/>
  <c r="J40"/>
  <c r="L41"/>
  <c r="L40"/>
  <c r="B38"/>
  <c r="D38"/>
  <c r="G38"/>
  <c r="J38"/>
  <c r="L38"/>
  <c r="B39"/>
  <c r="D39"/>
  <c r="G39"/>
  <c r="J39"/>
  <c r="L39"/>
  <c r="B42" i="12"/>
  <c r="B41"/>
  <c r="B39"/>
  <c r="L40"/>
  <c r="K40"/>
  <c r="J40"/>
  <c r="H40"/>
  <c r="G40"/>
  <c r="F40"/>
  <c r="D40"/>
  <c r="C40"/>
  <c r="B40"/>
  <c r="L41" l="1"/>
  <c r="K41"/>
  <c r="J41"/>
  <c r="H41"/>
  <c r="G41"/>
  <c r="F41"/>
  <c r="D41"/>
  <c r="C41"/>
  <c r="L42"/>
  <c r="K42"/>
  <c r="J42"/>
  <c r="H42"/>
  <c r="G42"/>
  <c r="F42"/>
  <c r="D42"/>
  <c r="C42"/>
  <c r="I36" i="5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39" s="1"/>
  <c r="I14"/>
  <c r="I13"/>
  <c r="I12"/>
  <c r="I11"/>
  <c r="I10"/>
  <c r="I9"/>
  <c r="I8"/>
  <c r="I7"/>
  <c r="I6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L36"/>
  <c r="K36"/>
  <c r="J36"/>
  <c r="M36" s="1"/>
  <c r="L35"/>
  <c r="K35"/>
  <c r="J35"/>
  <c r="L34"/>
  <c r="K34"/>
  <c r="J34"/>
  <c r="M34" s="1"/>
  <c r="L33"/>
  <c r="K33"/>
  <c r="J33"/>
  <c r="M33" s="1"/>
  <c r="L32"/>
  <c r="K32"/>
  <c r="J32"/>
  <c r="M32" s="1"/>
  <c r="L31"/>
  <c r="K31"/>
  <c r="J31"/>
  <c r="M31" s="1"/>
  <c r="L30"/>
  <c r="K30"/>
  <c r="J30"/>
  <c r="M30" s="1"/>
  <c r="L29"/>
  <c r="K29"/>
  <c r="J29"/>
  <c r="M29" s="1"/>
  <c r="L28"/>
  <c r="K28"/>
  <c r="J28"/>
  <c r="M28" s="1"/>
  <c r="L27"/>
  <c r="K27"/>
  <c r="J27"/>
  <c r="M27" s="1"/>
  <c r="L26"/>
  <c r="K26"/>
  <c r="J26"/>
  <c r="M26" s="1"/>
  <c r="L25"/>
  <c r="K25"/>
  <c r="J25"/>
  <c r="L24"/>
  <c r="K24"/>
  <c r="J24"/>
  <c r="M24" s="1"/>
  <c r="L23"/>
  <c r="K23"/>
  <c r="J23"/>
  <c r="M23" s="1"/>
  <c r="L22"/>
  <c r="K22"/>
  <c r="J22"/>
  <c r="M22" s="1"/>
  <c r="L21"/>
  <c r="K21"/>
  <c r="J21"/>
  <c r="M21" s="1"/>
  <c r="L20"/>
  <c r="K20"/>
  <c r="J20"/>
  <c r="M20" s="1"/>
  <c r="L19"/>
  <c r="K19"/>
  <c r="J19"/>
  <c r="M19" s="1"/>
  <c r="L18"/>
  <c r="K18"/>
  <c r="J18"/>
  <c r="M18" s="1"/>
  <c r="L17"/>
  <c r="K17"/>
  <c r="J17"/>
  <c r="M17" s="1"/>
  <c r="L16"/>
  <c r="K16"/>
  <c r="J16"/>
  <c r="M16" s="1"/>
  <c r="L15"/>
  <c r="L39" s="1"/>
  <c r="K15"/>
  <c r="J15"/>
  <c r="J39" s="1"/>
  <c r="L14"/>
  <c r="K14"/>
  <c r="J14"/>
  <c r="M14" s="1"/>
  <c r="L13"/>
  <c r="K13"/>
  <c r="J13"/>
  <c r="M13" s="1"/>
  <c r="L12"/>
  <c r="K12"/>
  <c r="J12"/>
  <c r="M12" s="1"/>
  <c r="L11"/>
  <c r="K11"/>
  <c r="J11"/>
  <c r="M11" s="1"/>
  <c r="L10"/>
  <c r="K10"/>
  <c r="J10"/>
  <c r="M10" s="1"/>
  <c r="L9"/>
  <c r="K9"/>
  <c r="J9"/>
  <c r="M9" s="1"/>
  <c r="L8"/>
  <c r="K8"/>
  <c r="J8"/>
  <c r="M8" s="1"/>
  <c r="L7"/>
  <c r="K7"/>
  <c r="J7"/>
  <c r="M7" s="1"/>
  <c r="L6"/>
  <c r="K6"/>
  <c r="J6"/>
  <c r="M6" s="1"/>
  <c r="I38" i="11"/>
  <c r="M35" i="9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I35"/>
  <c r="E35"/>
  <c r="I33"/>
  <c r="E33"/>
  <c r="I31"/>
  <c r="E31"/>
  <c r="I29"/>
  <c r="E29"/>
  <c r="I27"/>
  <c r="E27"/>
  <c r="E26"/>
  <c r="I25"/>
  <c r="E25"/>
  <c r="I23"/>
  <c r="E23"/>
  <c r="I21"/>
  <c r="E21"/>
  <c r="I19"/>
  <c r="E19"/>
  <c r="I17"/>
  <c r="E17"/>
  <c r="I15"/>
  <c r="E15"/>
  <c r="I13"/>
  <c r="E13"/>
  <c r="I11"/>
  <c r="E11"/>
  <c r="I9"/>
  <c r="E9"/>
  <c r="I7"/>
  <c r="E7"/>
  <c r="E6"/>
  <c r="L35" i="8"/>
  <c r="K35"/>
  <c r="J35"/>
  <c r="H35"/>
  <c r="G35"/>
  <c r="F35"/>
  <c r="D35"/>
  <c r="C35"/>
  <c r="B35"/>
  <c r="L34"/>
  <c r="K34"/>
  <c r="J34"/>
  <c r="H34"/>
  <c r="G34"/>
  <c r="F34"/>
  <c r="D34"/>
  <c r="C34"/>
  <c r="B34"/>
  <c r="L33"/>
  <c r="K33"/>
  <c r="J33"/>
  <c r="H33"/>
  <c r="G33"/>
  <c r="F33"/>
  <c r="D33"/>
  <c r="C33"/>
  <c r="B33"/>
  <c r="L32"/>
  <c r="K32"/>
  <c r="J32"/>
  <c r="H32"/>
  <c r="G32"/>
  <c r="F32"/>
  <c r="D32"/>
  <c r="C32"/>
  <c r="B32"/>
  <c r="L31"/>
  <c r="K31"/>
  <c r="J31"/>
  <c r="H31"/>
  <c r="G31"/>
  <c r="F31"/>
  <c r="D31"/>
  <c r="C31"/>
  <c r="B31"/>
  <c r="L30"/>
  <c r="K30"/>
  <c r="J30"/>
  <c r="H30"/>
  <c r="G30"/>
  <c r="F30"/>
  <c r="D30"/>
  <c r="C30"/>
  <c r="B30"/>
  <c r="L29"/>
  <c r="K29"/>
  <c r="J29"/>
  <c r="H29"/>
  <c r="G29"/>
  <c r="F29"/>
  <c r="D29"/>
  <c r="C29"/>
  <c r="B29"/>
  <c r="L28"/>
  <c r="K28"/>
  <c r="J28"/>
  <c r="H28"/>
  <c r="G28"/>
  <c r="F28"/>
  <c r="D28"/>
  <c r="C28"/>
  <c r="B28"/>
  <c r="L27"/>
  <c r="K27"/>
  <c r="J27"/>
  <c r="H27"/>
  <c r="G27"/>
  <c r="F27"/>
  <c r="D27"/>
  <c r="C27"/>
  <c r="B27"/>
  <c r="L26"/>
  <c r="K26"/>
  <c r="J26"/>
  <c r="H26"/>
  <c r="G26"/>
  <c r="F26"/>
  <c r="D26"/>
  <c r="C26"/>
  <c r="B26"/>
  <c r="L25"/>
  <c r="K25"/>
  <c r="J25"/>
  <c r="H25"/>
  <c r="G25"/>
  <c r="F25"/>
  <c r="D25"/>
  <c r="C25"/>
  <c r="B25"/>
  <c r="L24"/>
  <c r="K24"/>
  <c r="J24"/>
  <c r="H24"/>
  <c r="G24"/>
  <c r="F24"/>
  <c r="D24"/>
  <c r="C24"/>
  <c r="B24"/>
  <c r="L23"/>
  <c r="K23"/>
  <c r="J23"/>
  <c r="H23"/>
  <c r="G23"/>
  <c r="F23"/>
  <c r="D23"/>
  <c r="C23"/>
  <c r="B23"/>
  <c r="L22"/>
  <c r="K22"/>
  <c r="J22"/>
  <c r="H22"/>
  <c r="G22"/>
  <c r="F22"/>
  <c r="D22"/>
  <c r="C22"/>
  <c r="B22"/>
  <c r="L21"/>
  <c r="K21"/>
  <c r="J21"/>
  <c r="H21"/>
  <c r="G21"/>
  <c r="F21"/>
  <c r="D21"/>
  <c r="C21"/>
  <c r="B21"/>
  <c r="B21" i="51" s="1"/>
  <c r="L20" i="8"/>
  <c r="K20"/>
  <c r="J20"/>
  <c r="H20"/>
  <c r="G20"/>
  <c r="F20"/>
  <c r="D20"/>
  <c r="C20"/>
  <c r="B20"/>
  <c r="L19"/>
  <c r="K19"/>
  <c r="J19"/>
  <c r="H19"/>
  <c r="G19"/>
  <c r="F19"/>
  <c r="D19"/>
  <c r="D19" i="51" s="1"/>
  <c r="C19" i="8"/>
  <c r="B19"/>
  <c r="B19" i="51" s="1"/>
  <c r="L18" i="8"/>
  <c r="K18"/>
  <c r="J18"/>
  <c r="H18"/>
  <c r="G18"/>
  <c r="F18"/>
  <c r="D18"/>
  <c r="C18"/>
  <c r="B18"/>
  <c r="L17"/>
  <c r="K17"/>
  <c r="J17"/>
  <c r="H17"/>
  <c r="G17"/>
  <c r="F17"/>
  <c r="D17"/>
  <c r="D17" i="51" s="1"/>
  <c r="C17" i="8"/>
  <c r="B17"/>
  <c r="B17" i="51" s="1"/>
  <c r="L16" i="8"/>
  <c r="K16"/>
  <c r="J16"/>
  <c r="H16"/>
  <c r="G16"/>
  <c r="F16"/>
  <c r="D16"/>
  <c r="C16"/>
  <c r="B16"/>
  <c r="L15"/>
  <c r="K15"/>
  <c r="J15"/>
  <c r="H15"/>
  <c r="G15"/>
  <c r="F15"/>
  <c r="D15"/>
  <c r="D15" i="51" s="1"/>
  <c r="C15" i="8"/>
  <c r="B15"/>
  <c r="B15" i="51" s="1"/>
  <c r="L14" i="8"/>
  <c r="K14"/>
  <c r="J14"/>
  <c r="H14"/>
  <c r="G14"/>
  <c r="F14"/>
  <c r="D14"/>
  <c r="C14"/>
  <c r="B14"/>
  <c r="L13"/>
  <c r="K13"/>
  <c r="J13"/>
  <c r="H13"/>
  <c r="G13"/>
  <c r="F13"/>
  <c r="D13"/>
  <c r="D13" i="51" s="1"/>
  <c r="C13" i="8"/>
  <c r="B13"/>
  <c r="B13" i="51" s="1"/>
  <c r="L12" i="8"/>
  <c r="K12"/>
  <c r="J12"/>
  <c r="H12"/>
  <c r="G12"/>
  <c r="F12"/>
  <c r="D12"/>
  <c r="C12"/>
  <c r="B12"/>
  <c r="L11"/>
  <c r="K11"/>
  <c r="J11"/>
  <c r="H11"/>
  <c r="G11"/>
  <c r="F11"/>
  <c r="D11"/>
  <c r="D11" i="51" s="1"/>
  <c r="C11" i="8"/>
  <c r="B11"/>
  <c r="B11" i="51" s="1"/>
  <c r="L10" i="8"/>
  <c r="K10"/>
  <c r="J10"/>
  <c r="H10"/>
  <c r="G10"/>
  <c r="F10"/>
  <c r="D10"/>
  <c r="C10"/>
  <c r="B10"/>
  <c r="L9"/>
  <c r="K9"/>
  <c r="J9"/>
  <c r="H9"/>
  <c r="G9"/>
  <c r="F9"/>
  <c r="D9"/>
  <c r="D9" i="51" s="1"/>
  <c r="C9" i="8"/>
  <c r="B9"/>
  <c r="B9" i="51" s="1"/>
  <c r="L8" i="8"/>
  <c r="K8"/>
  <c r="J8"/>
  <c r="H8"/>
  <c r="G8"/>
  <c r="F8"/>
  <c r="D8"/>
  <c r="C8"/>
  <c r="B8"/>
  <c r="L7"/>
  <c r="K7"/>
  <c r="J7"/>
  <c r="H7"/>
  <c r="G7"/>
  <c r="F7"/>
  <c r="D7"/>
  <c r="D7" i="51" s="1"/>
  <c r="C7" i="8"/>
  <c r="B7"/>
  <c r="B7" i="51" s="1"/>
  <c r="L6" i="8"/>
  <c r="K6"/>
  <c r="J6"/>
  <c r="H6"/>
  <c r="G6"/>
  <c r="F6"/>
  <c r="D6"/>
  <c r="C6"/>
  <c r="B6"/>
  <c r="H35" i="44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L35" i="43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L35" i="48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M35" i="6"/>
  <c r="M34"/>
  <c r="M33"/>
  <c r="M32"/>
  <c r="M31"/>
  <c r="M30"/>
  <c r="M29"/>
  <c r="M28"/>
  <c r="M27"/>
  <c r="K27" i="45" s="1"/>
  <c r="M26" i="6"/>
  <c r="L26" i="45" s="1"/>
  <c r="M25" i="6"/>
  <c r="L25" i="45" s="1"/>
  <c r="M24" i="6"/>
  <c r="L24" i="45" s="1"/>
  <c r="M23" i="6"/>
  <c r="K23" i="45" s="1"/>
  <c r="M22" i="6"/>
  <c r="L22" i="45" s="1"/>
  <c r="M21" i="6"/>
  <c r="K21" i="45" s="1"/>
  <c r="M20" i="6"/>
  <c r="L20" i="45" s="1"/>
  <c r="M19" i="6"/>
  <c r="K19" i="45" s="1"/>
  <c r="M18" i="6"/>
  <c r="L18" i="45" s="1"/>
  <c r="M17" i="6"/>
  <c r="K17" i="45" s="1"/>
  <c r="M16" i="6"/>
  <c r="L16" i="45" s="1"/>
  <c r="M15" i="6"/>
  <c r="L15" i="45" s="1"/>
  <c r="M14" i="6"/>
  <c r="L14" i="45" s="1"/>
  <c r="M13" i="6"/>
  <c r="K13" i="45" s="1"/>
  <c r="M12" i="6"/>
  <c r="L12" i="45" s="1"/>
  <c r="M11" i="6"/>
  <c r="K11" i="45" s="1"/>
  <c r="M10" i="6"/>
  <c r="L10" i="45" s="1"/>
  <c r="M9" i="6"/>
  <c r="K9" i="45" s="1"/>
  <c r="M8" i="6"/>
  <c r="L8" i="45" s="1"/>
  <c r="M7" i="6"/>
  <c r="K7" i="45" s="1"/>
  <c r="M6" i="6"/>
  <c r="L6" i="45" s="1"/>
  <c r="I35" i="6"/>
  <c r="H35" i="45" s="1"/>
  <c r="I34" i="6"/>
  <c r="H34" i="45" s="1"/>
  <c r="I33" i="6"/>
  <c r="G33" i="45" s="1"/>
  <c r="I32" i="6"/>
  <c r="H32" i="45" s="1"/>
  <c r="I31" i="6"/>
  <c r="G31" i="45" s="1"/>
  <c r="I30" i="6"/>
  <c r="H30" i="45" s="1"/>
  <c r="I29" i="6"/>
  <c r="G29" i="45" s="1"/>
  <c r="I28" i="6"/>
  <c r="H28" i="45" s="1"/>
  <c r="I27" i="6"/>
  <c r="G27" i="45" s="1"/>
  <c r="I26" i="6"/>
  <c r="H26" i="45" s="1"/>
  <c r="I25" i="6"/>
  <c r="H25" i="45" s="1"/>
  <c r="I24" i="6"/>
  <c r="H24" i="45" s="1"/>
  <c r="I23" i="6"/>
  <c r="G23" i="45" s="1"/>
  <c r="I22" i="6"/>
  <c r="H22" i="45" s="1"/>
  <c r="I21" i="6"/>
  <c r="G21" i="45" s="1"/>
  <c r="I20" i="6"/>
  <c r="H20" i="45" s="1"/>
  <c r="I19" i="6"/>
  <c r="G19" i="45" s="1"/>
  <c r="I18" i="6"/>
  <c r="H18" i="45" s="1"/>
  <c r="I17" i="6"/>
  <c r="G17" i="45" s="1"/>
  <c r="I16" i="6"/>
  <c r="H16" i="45" s="1"/>
  <c r="I15" i="6"/>
  <c r="H15" i="45" s="1"/>
  <c r="I14" i="6"/>
  <c r="H14" i="45" s="1"/>
  <c r="I13" i="6"/>
  <c r="G13" i="45" s="1"/>
  <c r="I12" i="6"/>
  <c r="H12" i="45" s="1"/>
  <c r="I11" i="6"/>
  <c r="G11" i="45" s="1"/>
  <c r="I10" i="6"/>
  <c r="H10" i="45" s="1"/>
  <c r="I9" i="6"/>
  <c r="G9" i="45" s="1"/>
  <c r="I8" i="6"/>
  <c r="H8" i="45" s="1"/>
  <c r="I7" i="6"/>
  <c r="G7" i="45" s="1"/>
  <c r="I6" i="6"/>
  <c r="H6" i="45" s="1"/>
  <c r="E35" i="6"/>
  <c r="C35" i="45" s="1"/>
  <c r="E34" i="6"/>
  <c r="C34" i="45" s="1"/>
  <c r="E33" i="6"/>
  <c r="D33" i="45" s="1"/>
  <c r="E32" i="6"/>
  <c r="C32" i="45" s="1"/>
  <c r="E31" i="6"/>
  <c r="D31" i="45" s="1"/>
  <c r="E30" i="6"/>
  <c r="C30" i="45" s="1"/>
  <c r="E29" i="6"/>
  <c r="D29" i="45" s="1"/>
  <c r="E28" i="6"/>
  <c r="C28" i="45" s="1"/>
  <c r="E27" i="6"/>
  <c r="D27" i="45" s="1"/>
  <c r="E26" i="6"/>
  <c r="C26" i="45" s="1"/>
  <c r="E25" i="6"/>
  <c r="C25" i="45" s="1"/>
  <c r="E24" i="6"/>
  <c r="C24" i="45" s="1"/>
  <c r="E23" i="6"/>
  <c r="D23" i="45" s="1"/>
  <c r="E22" i="6"/>
  <c r="C22" i="45" s="1"/>
  <c r="E21" i="6"/>
  <c r="D21" i="45" s="1"/>
  <c r="E20" i="6"/>
  <c r="C20" i="45" s="1"/>
  <c r="E19" i="6"/>
  <c r="D19" i="45" s="1"/>
  <c r="E18" i="6"/>
  <c r="C18" i="45" s="1"/>
  <c r="E17" i="6"/>
  <c r="D17" i="45" s="1"/>
  <c r="E16" i="6"/>
  <c r="C16" i="45" s="1"/>
  <c r="E15" i="6"/>
  <c r="E38" s="1"/>
  <c r="E14"/>
  <c r="C14" i="45" s="1"/>
  <c r="E13" i="6"/>
  <c r="D13" i="45" s="1"/>
  <c r="E12" i="6"/>
  <c r="C12" i="45" s="1"/>
  <c r="E11" i="6"/>
  <c r="D11" i="45" s="1"/>
  <c r="E10" i="6"/>
  <c r="C10" i="45" s="1"/>
  <c r="E9" i="6"/>
  <c r="D9" i="45" s="1"/>
  <c r="E8" i="6"/>
  <c r="C8" i="45" s="1"/>
  <c r="E7" i="6"/>
  <c r="D7" i="45" s="1"/>
  <c r="E6" i="6"/>
  <c r="C6" i="45" s="1"/>
  <c r="H36" i="37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L35" i="39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M36" i="4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I36"/>
  <c r="I35"/>
  <c r="I35" i="37" s="1"/>
  <c r="I34" i="4"/>
  <c r="I33"/>
  <c r="I33" i="37" s="1"/>
  <c r="I32" i="4"/>
  <c r="I31"/>
  <c r="I31" i="37" s="1"/>
  <c r="I30" i="4"/>
  <c r="I29"/>
  <c r="I29" i="37" s="1"/>
  <c r="I28" i="4"/>
  <c r="I27"/>
  <c r="I27" i="37" s="1"/>
  <c r="I26" i="4"/>
  <c r="I25"/>
  <c r="I25" i="37" s="1"/>
  <c r="I24" i="4"/>
  <c r="I23"/>
  <c r="I23" i="37" s="1"/>
  <c r="I22" i="4"/>
  <c r="I21"/>
  <c r="I21" i="37" s="1"/>
  <c r="I20" i="4"/>
  <c r="I19"/>
  <c r="I19" i="37" s="1"/>
  <c r="I18" i="4"/>
  <c r="I17"/>
  <c r="I17" i="37" s="1"/>
  <c r="I16" i="4"/>
  <c r="I15"/>
  <c r="I15" i="37" s="1"/>
  <c r="I14" i="4"/>
  <c r="I13"/>
  <c r="I13" i="37" s="1"/>
  <c r="I12" i="4"/>
  <c r="I11"/>
  <c r="I11" i="37" s="1"/>
  <c r="I10" i="4"/>
  <c r="I9"/>
  <c r="I9" i="37" s="1"/>
  <c r="I8" i="4"/>
  <c r="I7"/>
  <c r="I7" i="37" s="1"/>
  <c r="I6" i="4"/>
  <c r="E36"/>
  <c r="E36" i="37" s="1"/>
  <c r="E35" i="4"/>
  <c r="E34"/>
  <c r="E34" i="37" s="1"/>
  <c r="E33" i="4"/>
  <c r="E32"/>
  <c r="E32" i="37" s="1"/>
  <c r="E31" i="4"/>
  <c r="E30"/>
  <c r="E30" i="37" s="1"/>
  <c r="E29" i="4"/>
  <c r="E28"/>
  <c r="E28" i="37" s="1"/>
  <c r="E27" i="4"/>
  <c r="E26"/>
  <c r="E26" i="37" s="1"/>
  <c r="E25" i="4"/>
  <c r="E24"/>
  <c r="E24" i="37" s="1"/>
  <c r="E23" i="4"/>
  <c r="E22"/>
  <c r="E21"/>
  <c r="E20"/>
  <c r="E19"/>
  <c r="E18"/>
  <c r="C18" i="42" s="1"/>
  <c r="E17" i="4"/>
  <c r="C17" i="42" s="1"/>
  <c r="E16" i="4"/>
  <c r="D16" i="42" s="1"/>
  <c r="E15" i="4"/>
  <c r="E14"/>
  <c r="D14" i="42" s="1"/>
  <c r="E13" i="4"/>
  <c r="C13" i="42" s="1"/>
  <c r="E12" i="4"/>
  <c r="D12" i="42" s="1"/>
  <c r="E11" i="4"/>
  <c r="C11" i="42" s="1"/>
  <c r="E10" i="4"/>
  <c r="D10" i="42" s="1"/>
  <c r="E9" i="4"/>
  <c r="C9" i="42" s="1"/>
  <c r="E8" i="4"/>
  <c r="D8" i="42" s="1"/>
  <c r="E7" i="4"/>
  <c r="C7" i="42" s="1"/>
  <c r="E6" i="4"/>
  <c r="D6" i="42" s="1"/>
  <c r="D35" i="18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B6" i="27" s="1"/>
  <c r="H36" i="35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G21"/>
  <c r="F21"/>
  <c r="G20"/>
  <c r="F20"/>
  <c r="G19"/>
  <c r="F19"/>
  <c r="G18"/>
  <c r="F18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C20"/>
  <c r="B20"/>
  <c r="D19"/>
  <c r="C19"/>
  <c r="B19"/>
  <c r="C18"/>
  <c r="B18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L36" i="27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G21"/>
  <c r="F21"/>
  <c r="G20"/>
  <c r="F20"/>
  <c r="G19"/>
  <c r="F19"/>
  <c r="G18"/>
  <c r="F18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C20"/>
  <c r="B20"/>
  <c r="D19"/>
  <c r="C19"/>
  <c r="B19"/>
  <c r="C18"/>
  <c r="B18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M36" i="12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E36"/>
  <c r="E35"/>
  <c r="E34"/>
  <c r="E33"/>
  <c r="E32"/>
  <c r="E31"/>
  <c r="E30"/>
  <c r="E29"/>
  <c r="E28"/>
  <c r="E27"/>
  <c r="E26"/>
  <c r="E25"/>
  <c r="E24"/>
  <c r="E23"/>
  <c r="E22"/>
  <c r="E21"/>
  <c r="E16"/>
  <c r="E15"/>
  <c r="E14"/>
  <c r="E13"/>
  <c r="E12"/>
  <c r="E11"/>
  <c r="E10"/>
  <c r="E9"/>
  <c r="E8"/>
  <c r="E7"/>
  <c r="I36"/>
  <c r="I35"/>
  <c r="I34"/>
  <c r="I33"/>
  <c r="I32"/>
  <c r="I31"/>
  <c r="I30"/>
  <c r="I29"/>
  <c r="I28"/>
  <c r="I27"/>
  <c r="I26"/>
  <c r="I25"/>
  <c r="I24"/>
  <c r="I23"/>
  <c r="I22"/>
  <c r="I16"/>
  <c r="I15"/>
  <c r="I14"/>
  <c r="I13"/>
  <c r="I12"/>
  <c r="I11"/>
  <c r="I10"/>
  <c r="I9"/>
  <c r="I8"/>
  <c r="I7"/>
  <c r="I6"/>
  <c r="E6"/>
  <c r="C33" i="33"/>
  <c r="B33"/>
  <c r="D33"/>
  <c r="C32"/>
  <c r="B32"/>
  <c r="D32"/>
  <c r="L32" i="40" s="1"/>
  <c r="C31" i="33"/>
  <c r="B31"/>
  <c r="D31"/>
  <c r="L31" i="40" s="1"/>
  <c r="C30" i="33"/>
  <c r="B30"/>
  <c r="D30"/>
  <c r="L30" i="40" s="1"/>
  <c r="C29" i="33"/>
  <c r="B29"/>
  <c r="D29"/>
  <c r="L29" i="40" s="1"/>
  <c r="C28" i="33"/>
  <c r="B28"/>
  <c r="D28"/>
  <c r="L28" i="40" s="1"/>
  <c r="C27" i="33"/>
  <c r="B27"/>
  <c r="D27"/>
  <c r="L27" i="40" s="1"/>
  <c r="C26" i="33"/>
  <c r="B26"/>
  <c r="D26"/>
  <c r="L26" i="40" s="1"/>
  <c r="C25" i="33"/>
  <c r="B25"/>
  <c r="D25"/>
  <c r="C24"/>
  <c r="B24"/>
  <c r="D24"/>
  <c r="L24" i="40" s="1"/>
  <c r="D23" i="33"/>
  <c r="L23" i="34" s="1"/>
  <c r="D22" i="33"/>
  <c r="L22" i="34" s="1"/>
  <c r="D21" i="33"/>
  <c r="L21" i="34" s="1"/>
  <c r="D20" i="33"/>
  <c r="L20" i="34" s="1"/>
  <c r="D19" i="33"/>
  <c r="L19" i="34" s="1"/>
  <c r="D18" i="33"/>
  <c r="L18" i="34" s="1"/>
  <c r="D17" i="33"/>
  <c r="L17" i="34" s="1"/>
  <c r="D16" i="33"/>
  <c r="L16" i="34" s="1"/>
  <c r="D15" i="33"/>
  <c r="D14"/>
  <c r="L14" i="34" s="1"/>
  <c r="D13" i="33"/>
  <c r="L13" i="34" s="1"/>
  <c r="D12" i="33"/>
  <c r="L12" i="34" s="1"/>
  <c r="D11" i="33"/>
  <c r="L11" i="34" s="1"/>
  <c r="D10" i="33"/>
  <c r="L10" i="34" s="1"/>
  <c r="D9" i="33"/>
  <c r="L9" i="34" s="1"/>
  <c r="D8" i="33"/>
  <c r="L8" i="34" s="1"/>
  <c r="D7" i="33"/>
  <c r="L7" i="34" s="1"/>
  <c r="D6" i="33"/>
  <c r="L6" i="34" s="1"/>
  <c r="M39" i="12"/>
  <c r="L39"/>
  <c r="K39"/>
  <c r="J39"/>
  <c r="I39"/>
  <c r="H39"/>
  <c r="G39"/>
  <c r="F39"/>
  <c r="E39"/>
  <c r="D39"/>
  <c r="H44" i="45" l="1"/>
  <c r="L44"/>
  <c r="I7" i="110"/>
  <c r="I7" i="109" s="1"/>
  <c r="I9" i="110"/>
  <c r="I9" i="109" s="1"/>
  <c r="I11" i="110"/>
  <c r="I11" i="109" s="1"/>
  <c r="I13" i="110"/>
  <c r="I13" i="109" s="1"/>
  <c r="I15" i="110"/>
  <c r="I15" i="109" s="1"/>
  <c r="I17" i="110"/>
  <c r="I19"/>
  <c r="I21"/>
  <c r="I23"/>
  <c r="I25"/>
  <c r="I27"/>
  <c r="I29"/>
  <c r="I31"/>
  <c r="I33"/>
  <c r="I35"/>
  <c r="I23" i="138" s="1"/>
  <c r="E9" i="110"/>
  <c r="E9" i="109" s="1"/>
  <c r="E13" i="110"/>
  <c r="E13" i="109" s="1"/>
  <c r="E17" i="110"/>
  <c r="E21"/>
  <c r="E25"/>
  <c r="E26"/>
  <c r="E27"/>
  <c r="E31"/>
  <c r="E35"/>
  <c r="E23" i="138" s="1"/>
  <c r="E6" i="110"/>
  <c r="E6" i="109" s="1"/>
  <c r="E7" i="110"/>
  <c r="E7" i="109" s="1"/>
  <c r="E11" i="110"/>
  <c r="E11" i="109" s="1"/>
  <c r="E15" i="110"/>
  <c r="E15" i="109" s="1"/>
  <c r="E19" i="110"/>
  <c r="E23"/>
  <c r="E29"/>
  <c r="E33"/>
  <c r="B46" i="37"/>
  <c r="D46"/>
  <c r="E41" i="9"/>
  <c r="E40"/>
  <c r="I40"/>
  <c r="E38"/>
  <c r="E39"/>
  <c r="I39"/>
  <c r="I6"/>
  <c r="E8"/>
  <c r="I8"/>
  <c r="E10"/>
  <c r="I10"/>
  <c r="E12"/>
  <c r="I12"/>
  <c r="E14"/>
  <c r="I14"/>
  <c r="E16"/>
  <c r="I16"/>
  <c r="E18"/>
  <c r="I18"/>
  <c r="E20"/>
  <c r="I20"/>
  <c r="E22"/>
  <c r="I22"/>
  <c r="E24"/>
  <c r="I24"/>
  <c r="I26"/>
  <c r="E28"/>
  <c r="I28"/>
  <c r="E30"/>
  <c r="I30"/>
  <c r="E32"/>
  <c r="I32"/>
  <c r="E34"/>
  <c r="I34"/>
  <c r="E38" i="7"/>
  <c r="I47" i="37"/>
  <c r="I46"/>
  <c r="H24" i="40"/>
  <c r="D25"/>
  <c r="H26"/>
  <c r="D27"/>
  <c r="H28"/>
  <c r="D29"/>
  <c r="H30"/>
  <c r="D31"/>
  <c r="H32"/>
  <c r="D33"/>
  <c r="D44" s="1"/>
  <c r="B38" i="33"/>
  <c r="K39" i="58"/>
  <c r="I40" i="12"/>
  <c r="I42"/>
  <c r="I41"/>
  <c r="F39" i="58"/>
  <c r="E40" i="12"/>
  <c r="E42"/>
  <c r="E41"/>
  <c r="K6" i="36"/>
  <c r="L6"/>
  <c r="J6"/>
  <c r="K8"/>
  <c r="L8"/>
  <c r="J8"/>
  <c r="K10"/>
  <c r="L10"/>
  <c r="J10"/>
  <c r="M10" s="1"/>
  <c r="K12"/>
  <c r="L12"/>
  <c r="J12"/>
  <c r="K14"/>
  <c r="L14"/>
  <c r="J14"/>
  <c r="M14" s="1"/>
  <c r="K16"/>
  <c r="L16"/>
  <c r="J16"/>
  <c r="K18"/>
  <c r="L18"/>
  <c r="J18"/>
  <c r="M18" s="1"/>
  <c r="K20"/>
  <c r="L20"/>
  <c r="J20"/>
  <c r="K22"/>
  <c r="L22"/>
  <c r="J22"/>
  <c r="M22" s="1"/>
  <c r="K24"/>
  <c r="L24"/>
  <c r="J24"/>
  <c r="K26"/>
  <c r="L26"/>
  <c r="J26"/>
  <c r="M26" s="1"/>
  <c r="K28"/>
  <c r="L28"/>
  <c r="J28"/>
  <c r="K30"/>
  <c r="L30"/>
  <c r="J30"/>
  <c r="M30" s="1"/>
  <c r="K32"/>
  <c r="L32"/>
  <c r="J32"/>
  <c r="K34"/>
  <c r="L34"/>
  <c r="J34"/>
  <c r="M34" s="1"/>
  <c r="K36"/>
  <c r="L36"/>
  <c r="J36"/>
  <c r="B39" i="27"/>
  <c r="B45"/>
  <c r="C48"/>
  <c r="C47"/>
  <c r="F47"/>
  <c r="F48"/>
  <c r="H47"/>
  <c r="H48"/>
  <c r="J47"/>
  <c r="J48"/>
  <c r="L47"/>
  <c r="L48"/>
  <c r="C48" i="35"/>
  <c r="C47"/>
  <c r="F47"/>
  <c r="F48"/>
  <c r="H47"/>
  <c r="H48"/>
  <c r="D19" i="42"/>
  <c r="C19"/>
  <c r="D21"/>
  <c r="B21"/>
  <c r="C21"/>
  <c r="D23"/>
  <c r="B23"/>
  <c r="C23"/>
  <c r="E40" i="4"/>
  <c r="D25" i="42"/>
  <c r="B25"/>
  <c r="C25"/>
  <c r="D27"/>
  <c r="B27"/>
  <c r="C27"/>
  <c r="D29"/>
  <c r="B29"/>
  <c r="E29" s="1"/>
  <c r="C29"/>
  <c r="D31"/>
  <c r="B31"/>
  <c r="C31"/>
  <c r="D33"/>
  <c r="B33"/>
  <c r="E33" s="1"/>
  <c r="C33"/>
  <c r="E41" i="4"/>
  <c r="E42"/>
  <c r="D35" i="42"/>
  <c r="B35"/>
  <c r="C35"/>
  <c r="H6"/>
  <c r="F6"/>
  <c r="G6"/>
  <c r="H8"/>
  <c r="F8"/>
  <c r="G8"/>
  <c r="H10"/>
  <c r="F10"/>
  <c r="G10"/>
  <c r="H12"/>
  <c r="F12"/>
  <c r="G12"/>
  <c r="H14"/>
  <c r="F14"/>
  <c r="G14"/>
  <c r="H16"/>
  <c r="F16"/>
  <c r="G16"/>
  <c r="H18"/>
  <c r="F18"/>
  <c r="I18" s="1"/>
  <c r="G18"/>
  <c r="H20"/>
  <c r="F20"/>
  <c r="G20"/>
  <c r="H22"/>
  <c r="F22"/>
  <c r="I22" s="1"/>
  <c r="G22"/>
  <c r="H24"/>
  <c r="F24"/>
  <c r="G24"/>
  <c r="H26"/>
  <c r="F26"/>
  <c r="G26"/>
  <c r="H28"/>
  <c r="F28"/>
  <c r="G28"/>
  <c r="H30"/>
  <c r="F30"/>
  <c r="G30"/>
  <c r="H32"/>
  <c r="F32"/>
  <c r="G32"/>
  <c r="H34"/>
  <c r="F34"/>
  <c r="G34"/>
  <c r="H36"/>
  <c r="F36"/>
  <c r="G36"/>
  <c r="K7"/>
  <c r="L7"/>
  <c r="J7"/>
  <c r="K9"/>
  <c r="L9"/>
  <c r="J9"/>
  <c r="K11"/>
  <c r="L11"/>
  <c r="J11"/>
  <c r="K13"/>
  <c r="L13"/>
  <c r="J13"/>
  <c r="K15"/>
  <c r="M39" i="4"/>
  <c r="L15" i="42"/>
  <c r="J15"/>
  <c r="K17"/>
  <c r="L17"/>
  <c r="J17"/>
  <c r="K19"/>
  <c r="L19"/>
  <c r="J19"/>
  <c r="M19" s="1"/>
  <c r="K21"/>
  <c r="L21"/>
  <c r="J21"/>
  <c r="K23"/>
  <c r="L23"/>
  <c r="J23"/>
  <c r="M23" s="1"/>
  <c r="K25"/>
  <c r="L25"/>
  <c r="J25"/>
  <c r="M40" i="4"/>
  <c r="K27" i="42"/>
  <c r="L27"/>
  <c r="J27"/>
  <c r="M27" s="1"/>
  <c r="K29"/>
  <c r="L29"/>
  <c r="J29"/>
  <c r="K31"/>
  <c r="L31"/>
  <c r="J31"/>
  <c r="M31" s="1"/>
  <c r="K33"/>
  <c r="L33"/>
  <c r="J33"/>
  <c r="K35"/>
  <c r="M41" i="4"/>
  <c r="L35" i="42"/>
  <c r="J35"/>
  <c r="M42" i="4"/>
  <c r="B47" i="39"/>
  <c r="B46"/>
  <c r="D46"/>
  <c r="D40"/>
  <c r="D47"/>
  <c r="F46"/>
  <c r="F47"/>
  <c r="H46"/>
  <c r="H47"/>
  <c r="J46"/>
  <c r="J47"/>
  <c r="L46"/>
  <c r="L47"/>
  <c r="C48" i="37"/>
  <c r="C47"/>
  <c r="G48"/>
  <c r="G47"/>
  <c r="K38" i="58"/>
  <c r="F38"/>
  <c r="D45" i="27"/>
  <c r="E21"/>
  <c r="E22"/>
  <c r="E23"/>
  <c r="E24"/>
  <c r="C46"/>
  <c r="E25"/>
  <c r="E26"/>
  <c r="E27"/>
  <c r="E28"/>
  <c r="E29"/>
  <c r="E30"/>
  <c r="E31"/>
  <c r="E32"/>
  <c r="E33"/>
  <c r="E34"/>
  <c r="E35"/>
  <c r="E36"/>
  <c r="I6"/>
  <c r="I7"/>
  <c r="I8"/>
  <c r="I9"/>
  <c r="I10"/>
  <c r="I11"/>
  <c r="I12"/>
  <c r="I13"/>
  <c r="I14"/>
  <c r="G45"/>
  <c r="I15"/>
  <c r="I45" s="1"/>
  <c r="I16"/>
  <c r="F46"/>
  <c r="H46"/>
  <c r="J45"/>
  <c r="L45"/>
  <c r="J46"/>
  <c r="L46"/>
  <c r="B45" i="35"/>
  <c r="D45"/>
  <c r="E21"/>
  <c r="E22"/>
  <c r="E23"/>
  <c r="E24"/>
  <c r="C46"/>
  <c r="E25"/>
  <c r="E26"/>
  <c r="E27"/>
  <c r="E28"/>
  <c r="E29"/>
  <c r="E30"/>
  <c r="E31"/>
  <c r="E32"/>
  <c r="E33"/>
  <c r="E34"/>
  <c r="E35"/>
  <c r="E36"/>
  <c r="I6"/>
  <c r="I7"/>
  <c r="I8"/>
  <c r="I9"/>
  <c r="I10"/>
  <c r="I11"/>
  <c r="I12"/>
  <c r="I13"/>
  <c r="I14"/>
  <c r="G45"/>
  <c r="I15"/>
  <c r="I45" s="1"/>
  <c r="I16"/>
  <c r="F46"/>
  <c r="H46"/>
  <c r="C38" i="18"/>
  <c r="C39"/>
  <c r="C40"/>
  <c r="B41"/>
  <c r="D41"/>
  <c r="C6" i="36"/>
  <c r="B7"/>
  <c r="D7"/>
  <c r="C8"/>
  <c r="B9"/>
  <c r="D9"/>
  <c r="C10"/>
  <c r="B11"/>
  <c r="D11"/>
  <c r="C12"/>
  <c r="B13"/>
  <c r="D13"/>
  <c r="C14"/>
  <c r="B15"/>
  <c r="D15"/>
  <c r="C16"/>
  <c r="B19"/>
  <c r="D19"/>
  <c r="C21"/>
  <c r="B22"/>
  <c r="D22"/>
  <c r="C23"/>
  <c r="B24"/>
  <c r="D24"/>
  <c r="C25"/>
  <c r="B26"/>
  <c r="D26"/>
  <c r="C27"/>
  <c r="B28"/>
  <c r="D28"/>
  <c r="C29"/>
  <c r="B30"/>
  <c r="D30"/>
  <c r="C31"/>
  <c r="B32"/>
  <c r="D32"/>
  <c r="C33"/>
  <c r="B34"/>
  <c r="D34"/>
  <c r="C35"/>
  <c r="B36"/>
  <c r="D36"/>
  <c r="G6"/>
  <c r="F7"/>
  <c r="H7"/>
  <c r="G8"/>
  <c r="F9"/>
  <c r="H9"/>
  <c r="G10"/>
  <c r="F11"/>
  <c r="H11"/>
  <c r="G12"/>
  <c r="F13"/>
  <c r="H13"/>
  <c r="G14"/>
  <c r="F15"/>
  <c r="H15"/>
  <c r="G16"/>
  <c r="F22"/>
  <c r="H22"/>
  <c r="G23"/>
  <c r="F24"/>
  <c r="H24"/>
  <c r="G25"/>
  <c r="F26"/>
  <c r="H26"/>
  <c r="G27"/>
  <c r="F28"/>
  <c r="H28"/>
  <c r="G29"/>
  <c r="F30"/>
  <c r="H30"/>
  <c r="G31"/>
  <c r="F32"/>
  <c r="H32"/>
  <c r="G33"/>
  <c r="F34"/>
  <c r="H34"/>
  <c r="G35"/>
  <c r="F36"/>
  <c r="H36"/>
  <c r="E39" i="4"/>
  <c r="B44" i="39"/>
  <c r="D44"/>
  <c r="B45"/>
  <c r="D45"/>
  <c r="F44"/>
  <c r="H44"/>
  <c r="F45"/>
  <c r="H45"/>
  <c r="J44"/>
  <c r="L44"/>
  <c r="J45"/>
  <c r="L45"/>
  <c r="B45" i="37"/>
  <c r="D45"/>
  <c r="C46"/>
  <c r="E25"/>
  <c r="E27"/>
  <c r="E29"/>
  <c r="E31"/>
  <c r="E33"/>
  <c r="E35"/>
  <c r="I6"/>
  <c r="I48" s="1"/>
  <c r="I8"/>
  <c r="I10"/>
  <c r="I12"/>
  <c r="I14"/>
  <c r="G45"/>
  <c r="I16"/>
  <c r="I18"/>
  <c r="I20"/>
  <c r="I22"/>
  <c r="I24"/>
  <c r="G46"/>
  <c r="I26"/>
  <c r="I28"/>
  <c r="I30"/>
  <c r="I32"/>
  <c r="I34"/>
  <c r="I36"/>
  <c r="C6" i="42"/>
  <c r="B7"/>
  <c r="E7" s="1"/>
  <c r="D7"/>
  <c r="C8"/>
  <c r="B9"/>
  <c r="D9"/>
  <c r="C10"/>
  <c r="B11"/>
  <c r="E11" s="1"/>
  <c r="D11"/>
  <c r="C12"/>
  <c r="B13"/>
  <c r="D13"/>
  <c r="C14"/>
  <c r="B15"/>
  <c r="D15"/>
  <c r="D45" s="1"/>
  <c r="C16"/>
  <c r="B17"/>
  <c r="L15" i="34"/>
  <c r="L42" s="1"/>
  <c r="D36" i="33"/>
  <c r="D24" i="40"/>
  <c r="L25"/>
  <c r="D37" i="33"/>
  <c r="H25" i="40"/>
  <c r="D26"/>
  <c r="H27"/>
  <c r="D28"/>
  <c r="H29"/>
  <c r="D30"/>
  <c r="H31"/>
  <c r="D32"/>
  <c r="L33"/>
  <c r="D39" i="33"/>
  <c r="D38"/>
  <c r="H33" i="40"/>
  <c r="H44" s="1"/>
  <c r="C38" i="33"/>
  <c r="L7" i="36"/>
  <c r="J7"/>
  <c r="K7"/>
  <c r="L9"/>
  <c r="J9"/>
  <c r="K9"/>
  <c r="L11"/>
  <c r="J11"/>
  <c r="K11"/>
  <c r="L13"/>
  <c r="J13"/>
  <c r="K13"/>
  <c r="L15"/>
  <c r="L45" s="1"/>
  <c r="J15"/>
  <c r="J45" s="1"/>
  <c r="K15"/>
  <c r="L17"/>
  <c r="J17"/>
  <c r="K17"/>
  <c r="L19"/>
  <c r="J19"/>
  <c r="K19"/>
  <c r="L21"/>
  <c r="J21"/>
  <c r="K21"/>
  <c r="L23"/>
  <c r="J23"/>
  <c r="K23"/>
  <c r="M40" i="12"/>
  <c r="L25" i="36"/>
  <c r="L46" s="1"/>
  <c r="J25"/>
  <c r="J46" s="1"/>
  <c r="K25"/>
  <c r="K46" s="1"/>
  <c r="L27"/>
  <c r="J27"/>
  <c r="K27"/>
  <c r="L29"/>
  <c r="J29"/>
  <c r="K29"/>
  <c r="L31"/>
  <c r="J31"/>
  <c r="K31"/>
  <c r="L33"/>
  <c r="J33"/>
  <c r="K33"/>
  <c r="M42" i="12"/>
  <c r="M41"/>
  <c r="L35" i="36"/>
  <c r="J35"/>
  <c r="K35"/>
  <c r="B48" i="27"/>
  <c r="B47"/>
  <c r="D47"/>
  <c r="D48"/>
  <c r="G48"/>
  <c r="G47"/>
  <c r="K48"/>
  <c r="K47"/>
  <c r="B48" i="35"/>
  <c r="B47"/>
  <c r="D47"/>
  <c r="D48"/>
  <c r="G48"/>
  <c r="G47"/>
  <c r="D18" i="42"/>
  <c r="B18"/>
  <c r="C20"/>
  <c r="D20"/>
  <c r="B20"/>
  <c r="E20" s="1"/>
  <c r="C22"/>
  <c r="D22"/>
  <c r="B22"/>
  <c r="C24"/>
  <c r="D24"/>
  <c r="B24"/>
  <c r="E24" s="1"/>
  <c r="C26"/>
  <c r="D26"/>
  <c r="B26"/>
  <c r="C28"/>
  <c r="D28"/>
  <c r="B28"/>
  <c r="E28" s="1"/>
  <c r="C30"/>
  <c r="D30"/>
  <c r="B30"/>
  <c r="C32"/>
  <c r="D32"/>
  <c r="B32"/>
  <c r="E32" s="1"/>
  <c r="C34"/>
  <c r="D34"/>
  <c r="B34"/>
  <c r="C36"/>
  <c r="D36"/>
  <c r="B36"/>
  <c r="E36" s="1"/>
  <c r="G7"/>
  <c r="H7"/>
  <c r="F7"/>
  <c r="G9"/>
  <c r="H9"/>
  <c r="F9"/>
  <c r="I9" s="1"/>
  <c r="G11"/>
  <c r="H11"/>
  <c r="F11"/>
  <c r="G13"/>
  <c r="H13"/>
  <c r="F13"/>
  <c r="I13" s="1"/>
  <c r="I39" i="4"/>
  <c r="G15" i="42"/>
  <c r="G45" s="1"/>
  <c r="H15"/>
  <c r="H45" s="1"/>
  <c r="F15"/>
  <c r="G17"/>
  <c r="H17"/>
  <c r="F17"/>
  <c r="G19"/>
  <c r="H19"/>
  <c r="F19"/>
  <c r="I19" s="1"/>
  <c r="G21"/>
  <c r="H21"/>
  <c r="F21"/>
  <c r="G23"/>
  <c r="H23"/>
  <c r="F23"/>
  <c r="I23" s="1"/>
  <c r="I40" i="4"/>
  <c r="G25" i="42"/>
  <c r="G46" s="1"/>
  <c r="H25"/>
  <c r="H46" s="1"/>
  <c r="F25"/>
  <c r="G27"/>
  <c r="H27"/>
  <c r="F27"/>
  <c r="G29"/>
  <c r="H29"/>
  <c r="F29"/>
  <c r="I29" s="1"/>
  <c r="G31"/>
  <c r="H31"/>
  <c r="F31"/>
  <c r="G33"/>
  <c r="H33"/>
  <c r="F33"/>
  <c r="I33" s="1"/>
  <c r="I42" i="4"/>
  <c r="I41"/>
  <c r="G35" i="42"/>
  <c r="H35"/>
  <c r="F35"/>
  <c r="L6"/>
  <c r="J6"/>
  <c r="K6"/>
  <c r="L8"/>
  <c r="J8"/>
  <c r="M8" s="1"/>
  <c r="K8"/>
  <c r="L10"/>
  <c r="J10"/>
  <c r="K10"/>
  <c r="L12"/>
  <c r="J12"/>
  <c r="M12" s="1"/>
  <c r="K12"/>
  <c r="L14"/>
  <c r="J14"/>
  <c r="K14"/>
  <c r="L16"/>
  <c r="J16"/>
  <c r="M16" s="1"/>
  <c r="K16"/>
  <c r="L18"/>
  <c r="J18"/>
  <c r="K18"/>
  <c r="L20"/>
  <c r="J20"/>
  <c r="M20" s="1"/>
  <c r="K20"/>
  <c r="L22"/>
  <c r="J22"/>
  <c r="K22"/>
  <c r="L24"/>
  <c r="J24"/>
  <c r="M24" s="1"/>
  <c r="K24"/>
  <c r="L26"/>
  <c r="J26"/>
  <c r="K26"/>
  <c r="L28"/>
  <c r="J28"/>
  <c r="M28" s="1"/>
  <c r="K28"/>
  <c r="L30"/>
  <c r="J30"/>
  <c r="K30"/>
  <c r="L32"/>
  <c r="J32"/>
  <c r="M32" s="1"/>
  <c r="K32"/>
  <c r="L34"/>
  <c r="J34"/>
  <c r="K34"/>
  <c r="L36"/>
  <c r="J36"/>
  <c r="M36" s="1"/>
  <c r="K36"/>
  <c r="C47" i="39"/>
  <c r="C46"/>
  <c r="G47"/>
  <c r="G46"/>
  <c r="K47"/>
  <c r="K46"/>
  <c r="B48" i="37"/>
  <c r="B47"/>
  <c r="D47"/>
  <c r="D48"/>
  <c r="F47"/>
  <c r="F48"/>
  <c r="H47"/>
  <c r="H48"/>
  <c r="C47" i="45"/>
  <c r="C46"/>
  <c r="H47"/>
  <c r="H46"/>
  <c r="E6" i="27"/>
  <c r="E7"/>
  <c r="E8"/>
  <c r="E9"/>
  <c r="E10"/>
  <c r="E11"/>
  <c r="E12"/>
  <c r="E13"/>
  <c r="E14"/>
  <c r="C45"/>
  <c r="E15"/>
  <c r="E45" s="1"/>
  <c r="E16"/>
  <c r="E19"/>
  <c r="B46"/>
  <c r="D46"/>
  <c r="F45"/>
  <c r="H45"/>
  <c r="I22"/>
  <c r="I23"/>
  <c r="I24"/>
  <c r="G46"/>
  <c r="I25"/>
  <c r="I46" s="1"/>
  <c r="I26"/>
  <c r="I27"/>
  <c r="I28"/>
  <c r="I29"/>
  <c r="I30"/>
  <c r="I31"/>
  <c r="I32"/>
  <c r="I33"/>
  <c r="I34"/>
  <c r="I35"/>
  <c r="I36"/>
  <c r="M6"/>
  <c r="M7"/>
  <c r="M8"/>
  <c r="M9"/>
  <c r="M10"/>
  <c r="M11"/>
  <c r="M12"/>
  <c r="M13"/>
  <c r="M14"/>
  <c r="K45"/>
  <c r="M15"/>
  <c r="M45" s="1"/>
  <c r="M16"/>
  <c r="M17"/>
  <c r="M18"/>
  <c r="M19"/>
  <c r="M20"/>
  <c r="M21"/>
  <c r="M22"/>
  <c r="M23"/>
  <c r="M24"/>
  <c r="K46"/>
  <c r="M25"/>
  <c r="M46" s="1"/>
  <c r="M26"/>
  <c r="M27"/>
  <c r="M28"/>
  <c r="M29"/>
  <c r="M30"/>
  <c r="M31"/>
  <c r="M32"/>
  <c r="M33"/>
  <c r="M34"/>
  <c r="M35"/>
  <c r="M36"/>
  <c r="E6" i="35"/>
  <c r="E7"/>
  <c r="E8"/>
  <c r="E9"/>
  <c r="E10"/>
  <c r="E11"/>
  <c r="E12"/>
  <c r="E13"/>
  <c r="E14"/>
  <c r="C45"/>
  <c r="E15"/>
  <c r="E45" s="1"/>
  <c r="E16"/>
  <c r="E19"/>
  <c r="B46"/>
  <c r="D46"/>
  <c r="F45"/>
  <c r="H45"/>
  <c r="I22"/>
  <c r="I23"/>
  <c r="I24"/>
  <c r="G46"/>
  <c r="I25"/>
  <c r="I46" s="1"/>
  <c r="I26"/>
  <c r="I27"/>
  <c r="I28"/>
  <c r="I29"/>
  <c r="I30"/>
  <c r="I31"/>
  <c r="I32"/>
  <c r="I33"/>
  <c r="I34"/>
  <c r="I35"/>
  <c r="I36"/>
  <c r="B38" i="18"/>
  <c r="D38"/>
  <c r="B39"/>
  <c r="D39"/>
  <c r="B40"/>
  <c r="D40"/>
  <c r="C41"/>
  <c r="B6" i="36"/>
  <c r="E6" s="1"/>
  <c r="D6"/>
  <c r="C7"/>
  <c r="B8"/>
  <c r="D8"/>
  <c r="C9"/>
  <c r="B10"/>
  <c r="E10" s="1"/>
  <c r="D10"/>
  <c r="C11"/>
  <c r="B12"/>
  <c r="D12"/>
  <c r="C13"/>
  <c r="B14"/>
  <c r="E14" s="1"/>
  <c r="D14"/>
  <c r="C15"/>
  <c r="C45" s="1"/>
  <c r="B16"/>
  <c r="D16"/>
  <c r="C19"/>
  <c r="B21"/>
  <c r="D21"/>
  <c r="C22"/>
  <c r="B23"/>
  <c r="D23"/>
  <c r="C24"/>
  <c r="B25"/>
  <c r="B46" s="1"/>
  <c r="D25"/>
  <c r="D46" s="1"/>
  <c r="C26"/>
  <c r="B27"/>
  <c r="D27"/>
  <c r="C28"/>
  <c r="B29"/>
  <c r="D29"/>
  <c r="C30"/>
  <c r="B31"/>
  <c r="D31"/>
  <c r="C32"/>
  <c r="B33"/>
  <c r="D33"/>
  <c r="C34"/>
  <c r="B35"/>
  <c r="D35"/>
  <c r="C36"/>
  <c r="F6"/>
  <c r="H6"/>
  <c r="G7"/>
  <c r="F8"/>
  <c r="H8"/>
  <c r="G9"/>
  <c r="F10"/>
  <c r="H10"/>
  <c r="G11"/>
  <c r="F12"/>
  <c r="H12"/>
  <c r="G13"/>
  <c r="F14"/>
  <c r="H14"/>
  <c r="G15"/>
  <c r="G45" s="1"/>
  <c r="F16"/>
  <c r="H16"/>
  <c r="G22"/>
  <c r="F23"/>
  <c r="I23" s="1"/>
  <c r="H23"/>
  <c r="G24"/>
  <c r="F25"/>
  <c r="F46" s="1"/>
  <c r="H25"/>
  <c r="H46" s="1"/>
  <c r="G26"/>
  <c r="F27"/>
  <c r="I27" s="1"/>
  <c r="H27"/>
  <c r="G28"/>
  <c r="F29"/>
  <c r="H29"/>
  <c r="G30"/>
  <c r="F31"/>
  <c r="I31" s="1"/>
  <c r="H31"/>
  <c r="G32"/>
  <c r="F33"/>
  <c r="H33"/>
  <c r="G34"/>
  <c r="F35"/>
  <c r="H35"/>
  <c r="G36"/>
  <c r="E5" i="39"/>
  <c r="E6"/>
  <c r="E7"/>
  <c r="E8"/>
  <c r="E9"/>
  <c r="E10"/>
  <c r="E11"/>
  <c r="E12"/>
  <c r="E13"/>
  <c r="C44"/>
  <c r="E14"/>
  <c r="E44" s="1"/>
  <c r="E15"/>
  <c r="E16"/>
  <c r="E17"/>
  <c r="E18"/>
  <c r="E19"/>
  <c r="E20"/>
  <c r="E21"/>
  <c r="E22"/>
  <c r="E23"/>
  <c r="C45"/>
  <c r="E24"/>
  <c r="E45" s="1"/>
  <c r="E25"/>
  <c r="E26"/>
  <c r="E27"/>
  <c r="E28"/>
  <c r="E29"/>
  <c r="E30"/>
  <c r="E31"/>
  <c r="E32"/>
  <c r="E33"/>
  <c r="E34"/>
  <c r="E35"/>
  <c r="I5"/>
  <c r="I6"/>
  <c r="I7"/>
  <c r="I8"/>
  <c r="I9"/>
  <c r="I10"/>
  <c r="I11"/>
  <c r="I12"/>
  <c r="I13"/>
  <c r="G44"/>
  <c r="I14"/>
  <c r="I44" s="1"/>
  <c r="I15"/>
  <c r="I16"/>
  <c r="I17"/>
  <c r="I18"/>
  <c r="I19"/>
  <c r="I20"/>
  <c r="I21"/>
  <c r="I22"/>
  <c r="I23"/>
  <c r="G45"/>
  <c r="I24"/>
  <c r="I25"/>
  <c r="I26"/>
  <c r="I27"/>
  <c r="I28"/>
  <c r="I29"/>
  <c r="I30"/>
  <c r="I31"/>
  <c r="I32"/>
  <c r="I33"/>
  <c r="I34"/>
  <c r="I35"/>
  <c r="M5"/>
  <c r="M6"/>
  <c r="M7"/>
  <c r="M8"/>
  <c r="M9"/>
  <c r="M10"/>
  <c r="M11"/>
  <c r="M12"/>
  <c r="M13"/>
  <c r="K44"/>
  <c r="M14"/>
  <c r="M44" s="1"/>
  <c r="M15"/>
  <c r="M16"/>
  <c r="M17"/>
  <c r="M18"/>
  <c r="M19"/>
  <c r="M20"/>
  <c r="M21"/>
  <c r="M22"/>
  <c r="M23"/>
  <c r="K45"/>
  <c r="M24"/>
  <c r="M45" s="1"/>
  <c r="M25"/>
  <c r="M26"/>
  <c r="M27"/>
  <c r="M28"/>
  <c r="M29"/>
  <c r="M30"/>
  <c r="M31"/>
  <c r="M32"/>
  <c r="M33"/>
  <c r="M34"/>
  <c r="M35"/>
  <c r="E6" i="37"/>
  <c r="E7"/>
  <c r="E8"/>
  <c r="E9"/>
  <c r="E10"/>
  <c r="E11"/>
  <c r="E12"/>
  <c r="E13"/>
  <c r="E14"/>
  <c r="C45"/>
  <c r="E15"/>
  <c r="E45" s="1"/>
  <c r="E16"/>
  <c r="E17"/>
  <c r="E18"/>
  <c r="E19"/>
  <c r="E20"/>
  <c r="E21"/>
  <c r="E22"/>
  <c r="E23"/>
  <c r="F45"/>
  <c r="H45"/>
  <c r="F46"/>
  <c r="H46"/>
  <c r="B6" i="42"/>
  <c r="E6" s="1"/>
  <c r="B8"/>
  <c r="E8" s="1"/>
  <c r="B10"/>
  <c r="E10" s="1"/>
  <c r="B12"/>
  <c r="E12" s="1"/>
  <c r="B14"/>
  <c r="E14" s="1"/>
  <c r="C15"/>
  <c r="C45" s="1"/>
  <c r="B16"/>
  <c r="E16" s="1"/>
  <c r="D17"/>
  <c r="B19"/>
  <c r="E19" s="1"/>
  <c r="H45" i="45"/>
  <c r="L45"/>
  <c r="K28"/>
  <c r="L28"/>
  <c r="K30"/>
  <c r="L30"/>
  <c r="J30"/>
  <c r="M30" s="1"/>
  <c r="K32"/>
  <c r="L32"/>
  <c r="J32"/>
  <c r="K34"/>
  <c r="L34"/>
  <c r="J34"/>
  <c r="M34" s="1"/>
  <c r="B47" i="48"/>
  <c r="B46"/>
  <c r="D46"/>
  <c r="D47"/>
  <c r="F46"/>
  <c r="F47"/>
  <c r="H46"/>
  <c r="H47"/>
  <c r="J46"/>
  <c r="J47"/>
  <c r="L46"/>
  <c r="L47"/>
  <c r="B47" i="43"/>
  <c r="B46"/>
  <c r="D46"/>
  <c r="D47"/>
  <c r="F46"/>
  <c r="F47"/>
  <c r="H46"/>
  <c r="H47"/>
  <c r="J46"/>
  <c r="J47"/>
  <c r="L46"/>
  <c r="L47"/>
  <c r="B41" i="44"/>
  <c r="B40"/>
  <c r="D40"/>
  <c r="D41"/>
  <c r="F40"/>
  <c r="F41"/>
  <c r="H40"/>
  <c r="H41"/>
  <c r="B44" i="48"/>
  <c r="D44"/>
  <c r="B45"/>
  <c r="D45"/>
  <c r="F44"/>
  <c r="H44"/>
  <c r="F45"/>
  <c r="H45"/>
  <c r="J44"/>
  <c r="L44"/>
  <c r="J45"/>
  <c r="L45"/>
  <c r="B44" i="43"/>
  <c r="D44"/>
  <c r="B45"/>
  <c r="D45"/>
  <c r="F44"/>
  <c r="H44"/>
  <c r="F45"/>
  <c r="H45"/>
  <c r="J44"/>
  <c r="L44"/>
  <c r="J45"/>
  <c r="L45"/>
  <c r="B38" i="44"/>
  <c r="D38"/>
  <c r="B39"/>
  <c r="D39"/>
  <c r="F38"/>
  <c r="H38"/>
  <c r="F39"/>
  <c r="H39"/>
  <c r="B6" i="45"/>
  <c r="D6"/>
  <c r="C7"/>
  <c r="B8"/>
  <c r="D8"/>
  <c r="C9"/>
  <c r="B10"/>
  <c r="D10"/>
  <c r="C11"/>
  <c r="B12"/>
  <c r="D12"/>
  <c r="C13"/>
  <c r="B14"/>
  <c r="D14"/>
  <c r="C15"/>
  <c r="C44" s="1"/>
  <c r="B16"/>
  <c r="D16"/>
  <c r="C17"/>
  <c r="B18"/>
  <c r="D18"/>
  <c r="C19"/>
  <c r="B20"/>
  <c r="D20"/>
  <c r="C21"/>
  <c r="B22"/>
  <c r="D22"/>
  <c r="C23"/>
  <c r="B24"/>
  <c r="E24" s="1"/>
  <c r="D24"/>
  <c r="B26"/>
  <c r="E26" s="1"/>
  <c r="D26"/>
  <c r="C27"/>
  <c r="B28"/>
  <c r="D28"/>
  <c r="C29"/>
  <c r="B30"/>
  <c r="E30" s="1"/>
  <c r="D30"/>
  <c r="C31"/>
  <c r="B32"/>
  <c r="D32"/>
  <c r="C33"/>
  <c r="B34"/>
  <c r="E34" s="1"/>
  <c r="D34"/>
  <c r="G6"/>
  <c r="F7"/>
  <c r="H7"/>
  <c r="G8"/>
  <c r="F9"/>
  <c r="H9"/>
  <c r="G10"/>
  <c r="F11"/>
  <c r="H11"/>
  <c r="G12"/>
  <c r="F13"/>
  <c r="H13"/>
  <c r="G14"/>
  <c r="F15"/>
  <c r="G16"/>
  <c r="F17"/>
  <c r="H17"/>
  <c r="G18"/>
  <c r="F19"/>
  <c r="H19"/>
  <c r="G20"/>
  <c r="F21"/>
  <c r="H21"/>
  <c r="G22"/>
  <c r="F23"/>
  <c r="H23"/>
  <c r="G24"/>
  <c r="F25"/>
  <c r="F45" s="1"/>
  <c r="G26"/>
  <c r="F27"/>
  <c r="H27"/>
  <c r="G28"/>
  <c r="F29"/>
  <c r="H29"/>
  <c r="G30"/>
  <c r="F31"/>
  <c r="H31"/>
  <c r="G32"/>
  <c r="F33"/>
  <c r="H33"/>
  <c r="G34"/>
  <c r="F35"/>
  <c r="K6"/>
  <c r="J7"/>
  <c r="L7"/>
  <c r="K8"/>
  <c r="J9"/>
  <c r="L9"/>
  <c r="K10"/>
  <c r="J11"/>
  <c r="L11"/>
  <c r="K12"/>
  <c r="J13"/>
  <c r="M13" s="1"/>
  <c r="L13"/>
  <c r="K14"/>
  <c r="J15"/>
  <c r="K16"/>
  <c r="J17"/>
  <c r="L17"/>
  <c r="K18"/>
  <c r="J19"/>
  <c r="L19"/>
  <c r="K20"/>
  <c r="J21"/>
  <c r="L21"/>
  <c r="K22"/>
  <c r="J23"/>
  <c r="L23"/>
  <c r="K24"/>
  <c r="J25"/>
  <c r="J45" s="1"/>
  <c r="K26"/>
  <c r="J27"/>
  <c r="L27"/>
  <c r="E40" i="6"/>
  <c r="E41"/>
  <c r="I40"/>
  <c r="I41"/>
  <c r="L29" i="45"/>
  <c r="J29"/>
  <c r="K29"/>
  <c r="L31"/>
  <c r="J31"/>
  <c r="K31"/>
  <c r="L33"/>
  <c r="J33"/>
  <c r="K33"/>
  <c r="M40" i="6"/>
  <c r="M41"/>
  <c r="L35" i="45"/>
  <c r="J35"/>
  <c r="K35"/>
  <c r="C47" i="48"/>
  <c r="C46"/>
  <c r="G47"/>
  <c r="G46"/>
  <c r="K47"/>
  <c r="K46"/>
  <c r="C47" i="43"/>
  <c r="C46"/>
  <c r="G47"/>
  <c r="G46"/>
  <c r="K47"/>
  <c r="K46"/>
  <c r="C41" i="44"/>
  <c r="C40"/>
  <c r="G41"/>
  <c r="G40"/>
  <c r="B41" i="50"/>
  <c r="D41"/>
  <c r="J41"/>
  <c r="L41"/>
  <c r="E39" i="6"/>
  <c r="I38"/>
  <c r="I39"/>
  <c r="M38"/>
  <c r="M39"/>
  <c r="E6" i="48"/>
  <c r="E7"/>
  <c r="E8"/>
  <c r="E9"/>
  <c r="E10"/>
  <c r="E11"/>
  <c r="E12"/>
  <c r="E13"/>
  <c r="E14"/>
  <c r="C44"/>
  <c r="E15"/>
  <c r="E44" s="1"/>
  <c r="E16"/>
  <c r="E17"/>
  <c r="E18"/>
  <c r="E19"/>
  <c r="E20"/>
  <c r="E21"/>
  <c r="E22"/>
  <c r="E23"/>
  <c r="E24"/>
  <c r="C45"/>
  <c r="E25"/>
  <c r="E26"/>
  <c r="E27"/>
  <c r="E28"/>
  <c r="E29"/>
  <c r="E30"/>
  <c r="E31"/>
  <c r="E32"/>
  <c r="E33"/>
  <c r="E34"/>
  <c r="E35"/>
  <c r="I6"/>
  <c r="I7"/>
  <c r="I8"/>
  <c r="I9"/>
  <c r="I10"/>
  <c r="I11"/>
  <c r="I12"/>
  <c r="I13"/>
  <c r="I14"/>
  <c r="G44"/>
  <c r="I15"/>
  <c r="I44" s="1"/>
  <c r="I16"/>
  <c r="I17"/>
  <c r="I18"/>
  <c r="I19"/>
  <c r="I20"/>
  <c r="I21"/>
  <c r="I22"/>
  <c r="I23"/>
  <c r="I24"/>
  <c r="G45"/>
  <c r="I25"/>
  <c r="I26"/>
  <c r="I27"/>
  <c r="I28"/>
  <c r="I29"/>
  <c r="I30"/>
  <c r="I31"/>
  <c r="I32"/>
  <c r="I33"/>
  <c r="I34"/>
  <c r="I35"/>
  <c r="M6"/>
  <c r="M7"/>
  <c r="M8"/>
  <c r="M9"/>
  <c r="M10"/>
  <c r="M11"/>
  <c r="M12"/>
  <c r="M13"/>
  <c r="M14"/>
  <c r="K44"/>
  <c r="M15"/>
  <c r="M44" s="1"/>
  <c r="M16"/>
  <c r="M17"/>
  <c r="M18"/>
  <c r="M19"/>
  <c r="M20"/>
  <c r="M21"/>
  <c r="M22"/>
  <c r="M23"/>
  <c r="M24"/>
  <c r="K45"/>
  <c r="M25"/>
  <c r="M26"/>
  <c r="M27"/>
  <c r="M28"/>
  <c r="M29"/>
  <c r="M30"/>
  <c r="M31"/>
  <c r="M32"/>
  <c r="M33"/>
  <c r="M34"/>
  <c r="M35"/>
  <c r="E6" i="43"/>
  <c r="E7"/>
  <c r="E8"/>
  <c r="E9"/>
  <c r="E10"/>
  <c r="E11"/>
  <c r="E12"/>
  <c r="E13"/>
  <c r="E14"/>
  <c r="C44"/>
  <c r="E15"/>
  <c r="E44" s="1"/>
  <c r="E16"/>
  <c r="E17"/>
  <c r="E18"/>
  <c r="E19"/>
  <c r="E20"/>
  <c r="E21"/>
  <c r="E22"/>
  <c r="E23"/>
  <c r="E24"/>
  <c r="C45"/>
  <c r="E25"/>
  <c r="E26"/>
  <c r="E27"/>
  <c r="E28"/>
  <c r="E29"/>
  <c r="E30"/>
  <c r="E31"/>
  <c r="E32"/>
  <c r="E33"/>
  <c r="E34"/>
  <c r="E35"/>
  <c r="I6"/>
  <c r="I7"/>
  <c r="I8"/>
  <c r="I9"/>
  <c r="I10"/>
  <c r="I11"/>
  <c r="I12"/>
  <c r="I13"/>
  <c r="I14"/>
  <c r="G44"/>
  <c r="I15"/>
  <c r="I44" s="1"/>
  <c r="I16"/>
  <c r="I17"/>
  <c r="I18"/>
  <c r="I19"/>
  <c r="I20"/>
  <c r="I21"/>
  <c r="I22"/>
  <c r="I23"/>
  <c r="I24"/>
  <c r="G45"/>
  <c r="I25"/>
  <c r="I26"/>
  <c r="I27"/>
  <c r="I28"/>
  <c r="I29"/>
  <c r="I30"/>
  <c r="I31"/>
  <c r="I32"/>
  <c r="I33"/>
  <c r="I34"/>
  <c r="I35"/>
  <c r="M6"/>
  <c r="M7"/>
  <c r="M8"/>
  <c r="M9"/>
  <c r="M10"/>
  <c r="M11"/>
  <c r="M12"/>
  <c r="M13"/>
  <c r="M14"/>
  <c r="K44"/>
  <c r="M15"/>
  <c r="M44" s="1"/>
  <c r="M16"/>
  <c r="M17"/>
  <c r="M18"/>
  <c r="M19"/>
  <c r="M20"/>
  <c r="M21"/>
  <c r="M22"/>
  <c r="M23"/>
  <c r="M24"/>
  <c r="K45"/>
  <c r="M25"/>
  <c r="M26"/>
  <c r="M27"/>
  <c r="M28"/>
  <c r="M29"/>
  <c r="M30"/>
  <c r="M31"/>
  <c r="M32"/>
  <c r="M33"/>
  <c r="M34"/>
  <c r="M35"/>
  <c r="E6" i="44"/>
  <c r="E7"/>
  <c r="E8"/>
  <c r="E9"/>
  <c r="E10"/>
  <c r="E11"/>
  <c r="E12"/>
  <c r="E13"/>
  <c r="E14"/>
  <c r="C38"/>
  <c r="E15"/>
  <c r="E38" s="1"/>
  <c r="E16"/>
  <c r="E17"/>
  <c r="E18"/>
  <c r="E19"/>
  <c r="E20"/>
  <c r="E21"/>
  <c r="E22"/>
  <c r="E23"/>
  <c r="E24"/>
  <c r="C39"/>
  <c r="E25"/>
  <c r="E26"/>
  <c r="E27"/>
  <c r="E28"/>
  <c r="E29"/>
  <c r="E30"/>
  <c r="E31"/>
  <c r="E32"/>
  <c r="E33"/>
  <c r="E34"/>
  <c r="E35"/>
  <c r="I6"/>
  <c r="I7"/>
  <c r="I8"/>
  <c r="I9"/>
  <c r="I10"/>
  <c r="I11"/>
  <c r="I12"/>
  <c r="I13"/>
  <c r="I14"/>
  <c r="G38"/>
  <c r="I15"/>
  <c r="I38" s="1"/>
  <c r="I16"/>
  <c r="I17"/>
  <c r="I18"/>
  <c r="I19"/>
  <c r="I20"/>
  <c r="I21"/>
  <c r="I22"/>
  <c r="I23"/>
  <c r="I24"/>
  <c r="G39"/>
  <c r="I25"/>
  <c r="I26"/>
  <c r="I27"/>
  <c r="I28"/>
  <c r="I29"/>
  <c r="I30"/>
  <c r="I31"/>
  <c r="I32"/>
  <c r="I33"/>
  <c r="I34"/>
  <c r="I35"/>
  <c r="B7" i="45"/>
  <c r="B9"/>
  <c r="B11"/>
  <c r="B13"/>
  <c r="B15"/>
  <c r="B44" s="1"/>
  <c r="D15"/>
  <c r="D44" s="1"/>
  <c r="B17"/>
  <c r="B19"/>
  <c r="B21"/>
  <c r="B23"/>
  <c r="B25"/>
  <c r="B45" s="1"/>
  <c r="D25"/>
  <c r="D45" s="1"/>
  <c r="B27"/>
  <c r="B29"/>
  <c r="B31"/>
  <c r="B33"/>
  <c r="B35"/>
  <c r="D35"/>
  <c r="F6"/>
  <c r="I6" s="1"/>
  <c r="F8"/>
  <c r="I8" s="1"/>
  <c r="F10"/>
  <c r="I10" s="1"/>
  <c r="F12"/>
  <c r="I12" s="1"/>
  <c r="F14"/>
  <c r="I14" s="1"/>
  <c r="G15"/>
  <c r="G44" s="1"/>
  <c r="F16"/>
  <c r="I16" s="1"/>
  <c r="F18"/>
  <c r="I18" s="1"/>
  <c r="F20"/>
  <c r="I20" s="1"/>
  <c r="F22"/>
  <c r="I22" s="1"/>
  <c r="F24"/>
  <c r="I24" s="1"/>
  <c r="G25"/>
  <c r="G45" s="1"/>
  <c r="F26"/>
  <c r="I26" s="1"/>
  <c r="F28"/>
  <c r="I28" s="1"/>
  <c r="F30"/>
  <c r="I30" s="1"/>
  <c r="F32"/>
  <c r="I32" s="1"/>
  <c r="F34"/>
  <c r="I34" s="1"/>
  <c r="G35"/>
  <c r="J6"/>
  <c r="J8"/>
  <c r="M8" s="1"/>
  <c r="J10"/>
  <c r="M10" s="1"/>
  <c r="J12"/>
  <c r="M12" s="1"/>
  <c r="J14"/>
  <c r="M14" s="1"/>
  <c r="K15"/>
  <c r="K44" s="1"/>
  <c r="J16"/>
  <c r="M16" s="1"/>
  <c r="J18"/>
  <c r="M18" s="1"/>
  <c r="J20"/>
  <c r="M20" s="1"/>
  <c r="J22"/>
  <c r="M22" s="1"/>
  <c r="J24"/>
  <c r="M24" s="1"/>
  <c r="K25"/>
  <c r="K45" s="1"/>
  <c r="J26"/>
  <c r="M26" s="1"/>
  <c r="J28"/>
  <c r="M28" s="1"/>
  <c r="J40" i="50"/>
  <c r="L40"/>
  <c r="G6" i="51"/>
  <c r="F7"/>
  <c r="H7"/>
  <c r="G8"/>
  <c r="F9"/>
  <c r="H9"/>
  <c r="G10"/>
  <c r="F11"/>
  <c r="H11"/>
  <c r="G12"/>
  <c r="F13"/>
  <c r="H13"/>
  <c r="G14"/>
  <c r="C38" i="8"/>
  <c r="F38"/>
  <c r="F15" i="51"/>
  <c r="H38" i="8"/>
  <c r="H15" i="51"/>
  <c r="K38" i="8"/>
  <c r="G16" i="51"/>
  <c r="F17"/>
  <c r="H17"/>
  <c r="G18"/>
  <c r="F19"/>
  <c r="H19"/>
  <c r="G20"/>
  <c r="F21"/>
  <c r="H21"/>
  <c r="B22"/>
  <c r="D22"/>
  <c r="G22"/>
  <c r="C23"/>
  <c r="F23"/>
  <c r="H23"/>
  <c r="B24"/>
  <c r="D24"/>
  <c r="G24"/>
  <c r="C39" i="8"/>
  <c r="C25" i="51"/>
  <c r="F39" i="8"/>
  <c r="F25" i="51"/>
  <c r="F39" s="1"/>
  <c r="H39" i="8"/>
  <c r="H25" i="51"/>
  <c r="H39" s="1"/>
  <c r="K39" i="8"/>
  <c r="B26" i="51"/>
  <c r="D26"/>
  <c r="G26"/>
  <c r="C27"/>
  <c r="F27"/>
  <c r="H27"/>
  <c r="B28"/>
  <c r="D28"/>
  <c r="G28"/>
  <c r="C29"/>
  <c r="F29"/>
  <c r="H29"/>
  <c r="B30"/>
  <c r="D30"/>
  <c r="G30"/>
  <c r="C31"/>
  <c r="F31"/>
  <c r="H31"/>
  <c r="B32"/>
  <c r="D32"/>
  <c r="G32"/>
  <c r="C33"/>
  <c r="F33"/>
  <c r="H33"/>
  <c r="B34"/>
  <c r="D34"/>
  <c r="G34"/>
  <c r="C41" i="8"/>
  <c r="C40"/>
  <c r="C35" i="51"/>
  <c r="C40" s="1"/>
  <c r="F41" i="8"/>
  <c r="F40"/>
  <c r="F35" i="51"/>
  <c r="H40" i="8"/>
  <c r="H41"/>
  <c r="H35" i="51"/>
  <c r="K41" i="8"/>
  <c r="K40"/>
  <c r="E6"/>
  <c r="E8"/>
  <c r="D8" i="53" s="1"/>
  <c r="E10" i="8"/>
  <c r="E12"/>
  <c r="D12" i="53" s="1"/>
  <c r="E14" i="8"/>
  <c r="E16"/>
  <c r="D16" i="53" s="1"/>
  <c r="E18" i="8"/>
  <c r="E20"/>
  <c r="D20" i="53" s="1"/>
  <c r="E22" i="8"/>
  <c r="E24"/>
  <c r="E26"/>
  <c r="E28"/>
  <c r="B28" i="53" s="1"/>
  <c r="E30" i="8"/>
  <c r="E32"/>
  <c r="B32" i="53" s="1"/>
  <c r="E34" i="8"/>
  <c r="I6"/>
  <c r="I8"/>
  <c r="I10"/>
  <c r="I12"/>
  <c r="I14"/>
  <c r="I16"/>
  <c r="I18"/>
  <c r="I20"/>
  <c r="I22"/>
  <c r="I24"/>
  <c r="I26"/>
  <c r="G26" i="53" s="1"/>
  <c r="I28" i="8"/>
  <c r="I30"/>
  <c r="G30" i="53" s="1"/>
  <c r="I32" i="8"/>
  <c r="I34"/>
  <c r="G34" i="53" s="1"/>
  <c r="M6" i="8"/>
  <c r="M8"/>
  <c r="L8" i="53" s="1"/>
  <c r="M10" i="8"/>
  <c r="M12"/>
  <c r="L12" i="53" s="1"/>
  <c r="M14" i="8"/>
  <c r="M16"/>
  <c r="L16" i="53" s="1"/>
  <c r="M18" i="8"/>
  <c r="M20"/>
  <c r="L20" i="53" s="1"/>
  <c r="M22" i="8"/>
  <c r="M24"/>
  <c r="J24" i="53" s="1"/>
  <c r="M26" i="8"/>
  <c r="M28"/>
  <c r="L28" i="53" s="1"/>
  <c r="M30" i="8"/>
  <c r="M32"/>
  <c r="L32" i="53" s="1"/>
  <c r="M34" i="8"/>
  <c r="B6" i="49"/>
  <c r="D6"/>
  <c r="B7"/>
  <c r="D7"/>
  <c r="B8"/>
  <c r="D8"/>
  <c r="B9"/>
  <c r="D9"/>
  <c r="B10"/>
  <c r="D10"/>
  <c r="B11"/>
  <c r="D11"/>
  <c r="B12"/>
  <c r="D12"/>
  <c r="B13"/>
  <c r="D13"/>
  <c r="B14"/>
  <c r="D14"/>
  <c r="B15"/>
  <c r="B38" s="1"/>
  <c r="D15"/>
  <c r="D38" s="1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B39" s="1"/>
  <c r="D25"/>
  <c r="D39" s="1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F38" s="1"/>
  <c r="H15"/>
  <c r="H38" s="1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F39" s="1"/>
  <c r="H25"/>
  <c r="H39" s="1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J38" s="1"/>
  <c r="L15"/>
  <c r="L38" s="1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J39" s="1"/>
  <c r="L25"/>
  <c r="L39" s="1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B42" i="50"/>
  <c r="D42"/>
  <c r="B39"/>
  <c r="D39"/>
  <c r="F39"/>
  <c r="H39"/>
  <c r="F40"/>
  <c r="H40"/>
  <c r="J39"/>
  <c r="L42"/>
  <c r="B6" i="51"/>
  <c r="B38" s="1"/>
  <c r="D6"/>
  <c r="D38" s="1"/>
  <c r="B8"/>
  <c r="D8"/>
  <c r="B10"/>
  <c r="D10"/>
  <c r="B12"/>
  <c r="D12"/>
  <c r="B14"/>
  <c r="D14"/>
  <c r="B16"/>
  <c r="D16"/>
  <c r="B18"/>
  <c r="D18"/>
  <c r="B20"/>
  <c r="D20"/>
  <c r="F6" i="53"/>
  <c r="F6" i="51"/>
  <c r="H6" i="53"/>
  <c r="H6" i="51"/>
  <c r="G7"/>
  <c r="F8" i="53"/>
  <c r="F8" i="51"/>
  <c r="H8" i="53"/>
  <c r="H8" i="51"/>
  <c r="G9"/>
  <c r="F10" i="53"/>
  <c r="F10" i="51"/>
  <c r="H10" i="53"/>
  <c r="H10" i="51"/>
  <c r="G11"/>
  <c r="F12" i="53"/>
  <c r="F12" i="51"/>
  <c r="H12" i="53"/>
  <c r="H12" i="51"/>
  <c r="G13"/>
  <c r="F14" i="53"/>
  <c r="F14" i="51"/>
  <c r="H14" i="53"/>
  <c r="H14" i="51"/>
  <c r="B38" i="8"/>
  <c r="D38"/>
  <c r="G15" i="51"/>
  <c r="G38" s="1"/>
  <c r="J38" i="8"/>
  <c r="L38"/>
  <c r="F16" i="53"/>
  <c r="F16" i="51"/>
  <c r="H16" i="53"/>
  <c r="H16" i="51"/>
  <c r="G17"/>
  <c r="F18" i="53"/>
  <c r="F18" i="51"/>
  <c r="H18" i="53"/>
  <c r="H18" i="51"/>
  <c r="G19"/>
  <c r="F20" i="53"/>
  <c r="F20" i="51"/>
  <c r="H20" i="53"/>
  <c r="H20" i="51"/>
  <c r="D21"/>
  <c r="G21"/>
  <c r="C22" i="53"/>
  <c r="C22" i="51"/>
  <c r="F22" i="53"/>
  <c r="F22" i="51"/>
  <c r="H22" i="53"/>
  <c r="H22" i="51"/>
  <c r="B23"/>
  <c r="D23"/>
  <c r="G23"/>
  <c r="C24" i="53"/>
  <c r="C24" i="51"/>
  <c r="F24" i="53"/>
  <c r="F24" i="51"/>
  <c r="H24" i="53"/>
  <c r="H24" i="51"/>
  <c r="B39" i="8"/>
  <c r="B25" i="51"/>
  <c r="B39" s="1"/>
  <c r="D39" i="8"/>
  <c r="D25" i="51"/>
  <c r="D39" s="1"/>
  <c r="G39" i="8"/>
  <c r="G25" i="51"/>
  <c r="G39" s="1"/>
  <c r="J39" i="8"/>
  <c r="L39"/>
  <c r="C26" i="53"/>
  <c r="C26" i="51"/>
  <c r="F26" i="53"/>
  <c r="F26" i="51"/>
  <c r="H26" i="53"/>
  <c r="H26" i="51"/>
  <c r="B27"/>
  <c r="D27"/>
  <c r="G27"/>
  <c r="C28" i="53"/>
  <c r="C28" i="51"/>
  <c r="F28" i="53"/>
  <c r="F28" i="51"/>
  <c r="H28" i="53"/>
  <c r="H28" i="51"/>
  <c r="B29"/>
  <c r="D29"/>
  <c r="G29"/>
  <c r="C30" i="53"/>
  <c r="C30" i="51"/>
  <c r="F30" i="53"/>
  <c r="F30" i="51"/>
  <c r="H30" i="53"/>
  <c r="H30" i="51"/>
  <c r="B31"/>
  <c r="D31"/>
  <c r="G31"/>
  <c r="C32" i="53"/>
  <c r="C32" i="51"/>
  <c r="F32" i="53"/>
  <c r="F32" i="51"/>
  <c r="H32" i="53"/>
  <c r="H32" i="51"/>
  <c r="B33"/>
  <c r="D33"/>
  <c r="G33"/>
  <c r="C34" i="53"/>
  <c r="C34" i="51"/>
  <c r="F34" i="53"/>
  <c r="F34" i="51"/>
  <c r="H34" i="53"/>
  <c r="H34" i="51"/>
  <c r="B40" i="8"/>
  <c r="B41"/>
  <c r="B35" i="51"/>
  <c r="D41" i="8"/>
  <c r="D40"/>
  <c r="D35" i="51"/>
  <c r="G41" i="8"/>
  <c r="G40"/>
  <c r="G35" i="51"/>
  <c r="J40" i="8"/>
  <c r="J41"/>
  <c r="L40"/>
  <c r="L41"/>
  <c r="C6" i="53"/>
  <c r="K6"/>
  <c r="C8"/>
  <c r="K8"/>
  <c r="C10"/>
  <c r="K10"/>
  <c r="C12"/>
  <c r="K12"/>
  <c r="C14"/>
  <c r="K14"/>
  <c r="C16"/>
  <c r="K16"/>
  <c r="C18"/>
  <c r="K18"/>
  <c r="C20"/>
  <c r="K20"/>
  <c r="K22"/>
  <c r="K24"/>
  <c r="K26"/>
  <c r="K28"/>
  <c r="K30"/>
  <c r="K32"/>
  <c r="K34"/>
  <c r="E7" i="8"/>
  <c r="E9"/>
  <c r="B9" i="53" s="1"/>
  <c r="E11" i="8"/>
  <c r="E13"/>
  <c r="B13" i="53" s="1"/>
  <c r="E15" i="8"/>
  <c r="E17"/>
  <c r="B17" i="53" s="1"/>
  <c r="E19" i="8"/>
  <c r="E21"/>
  <c r="D21" i="53" s="1"/>
  <c r="E23" i="8"/>
  <c r="E25"/>
  <c r="C25" i="53" s="1"/>
  <c r="E27" i="8"/>
  <c r="E29"/>
  <c r="C29" i="53" s="1"/>
  <c r="E31" i="8"/>
  <c r="E33"/>
  <c r="C33" i="53" s="1"/>
  <c r="E35" i="8"/>
  <c r="I7"/>
  <c r="F7" i="53" s="1"/>
  <c r="I9" i="8"/>
  <c r="I11"/>
  <c r="F11" i="53" s="1"/>
  <c r="I13" i="8"/>
  <c r="I15"/>
  <c r="H15" i="53" s="1"/>
  <c r="I17" i="8"/>
  <c r="I19"/>
  <c r="F19" i="53" s="1"/>
  <c r="I21" i="8"/>
  <c r="I23"/>
  <c r="F23" i="53" s="1"/>
  <c r="I25" i="8"/>
  <c r="I27"/>
  <c r="G27" i="53" s="1"/>
  <c r="I29" i="8"/>
  <c r="I31"/>
  <c r="G31" i="53" s="1"/>
  <c r="I33" i="8"/>
  <c r="I35"/>
  <c r="G35" i="53" s="1"/>
  <c r="M7" i="8"/>
  <c r="M9"/>
  <c r="K9" i="53" s="1"/>
  <c r="M11" i="8"/>
  <c r="M13"/>
  <c r="K13" i="53" s="1"/>
  <c r="M15" i="8"/>
  <c r="M17"/>
  <c r="K17" i="53" s="1"/>
  <c r="M19" i="8"/>
  <c r="M21"/>
  <c r="K21" i="53" s="1"/>
  <c r="M23" i="8"/>
  <c r="M25"/>
  <c r="M27"/>
  <c r="M29"/>
  <c r="L29" i="53" s="1"/>
  <c r="M31" i="8"/>
  <c r="M33"/>
  <c r="L33" i="53" s="1"/>
  <c r="M35" i="8"/>
  <c r="C6" i="4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9" s="1"/>
  <c r="C26"/>
  <c r="C27"/>
  <c r="C28"/>
  <c r="C29"/>
  <c r="C30"/>
  <c r="C31"/>
  <c r="C32"/>
  <c r="C33"/>
  <c r="C34"/>
  <c r="C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9" s="1"/>
  <c r="G26"/>
  <c r="G27"/>
  <c r="G28"/>
  <c r="G29"/>
  <c r="G30"/>
  <c r="G31"/>
  <c r="G32"/>
  <c r="G33"/>
  <c r="G34"/>
  <c r="G3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9" s="1"/>
  <c r="K26"/>
  <c r="K27"/>
  <c r="K28"/>
  <c r="K29"/>
  <c r="K30"/>
  <c r="K31"/>
  <c r="K32"/>
  <c r="K33"/>
  <c r="K34"/>
  <c r="K35"/>
  <c r="C39" i="50"/>
  <c r="C40"/>
  <c r="G39"/>
  <c r="G40"/>
  <c r="K39"/>
  <c r="K40"/>
  <c r="C6" i="51"/>
  <c r="C8"/>
  <c r="C9"/>
  <c r="C10"/>
  <c r="C11"/>
  <c r="C12"/>
  <c r="C13"/>
  <c r="C14"/>
  <c r="C15"/>
  <c r="C38" s="1"/>
  <c r="C16"/>
  <c r="C17"/>
  <c r="C18"/>
  <c r="C19"/>
  <c r="C20"/>
  <c r="C21"/>
  <c r="C41" i="9"/>
  <c r="C38"/>
  <c r="D40"/>
  <c r="D41"/>
  <c r="G40"/>
  <c r="G41"/>
  <c r="I41" i="11"/>
  <c r="I40"/>
  <c r="J41" i="5"/>
  <c r="J42"/>
  <c r="L42"/>
  <c r="L41"/>
  <c r="I42"/>
  <c r="I41"/>
  <c r="E40" i="7"/>
  <c r="E41"/>
  <c r="I40"/>
  <c r="I41"/>
  <c r="D38" i="9"/>
  <c r="G38"/>
  <c r="D39"/>
  <c r="G39"/>
  <c r="I39" i="11"/>
  <c r="J40" i="5"/>
  <c r="L40"/>
  <c r="I40"/>
  <c r="E39" i="7"/>
  <c r="I38"/>
  <c r="I39"/>
  <c r="B40" i="9"/>
  <c r="B41"/>
  <c r="F41"/>
  <c r="F40"/>
  <c r="H41"/>
  <c r="H40"/>
  <c r="M41"/>
  <c r="M40"/>
  <c r="E41" i="11"/>
  <c r="E40"/>
  <c r="M41"/>
  <c r="M40"/>
  <c r="K42" i="5"/>
  <c r="K41"/>
  <c r="E42"/>
  <c r="E41"/>
  <c r="B38" i="9"/>
  <c r="F38"/>
  <c r="H38"/>
  <c r="B39"/>
  <c r="F39"/>
  <c r="H39"/>
  <c r="M38"/>
  <c r="M39"/>
  <c r="E38" i="11"/>
  <c r="E39"/>
  <c r="M38"/>
  <c r="M39"/>
  <c r="K39" i="5"/>
  <c r="K40"/>
  <c r="E39"/>
  <c r="E40"/>
  <c r="M15"/>
  <c r="M39" s="1"/>
  <c r="M25"/>
  <c r="M40" s="1"/>
  <c r="M35"/>
  <c r="C41" i="45"/>
  <c r="C40"/>
  <c r="F38"/>
  <c r="I15"/>
  <c r="F39"/>
  <c r="I25"/>
  <c r="F41"/>
  <c r="F40"/>
  <c r="I35"/>
  <c r="H41"/>
  <c r="H40"/>
  <c r="J38"/>
  <c r="M15"/>
  <c r="J39"/>
  <c r="M25"/>
  <c r="J41"/>
  <c r="J40"/>
  <c r="M35"/>
  <c r="L41"/>
  <c r="L40"/>
  <c r="C38"/>
  <c r="C39"/>
  <c r="I7"/>
  <c r="I9"/>
  <c r="I11"/>
  <c r="I13"/>
  <c r="H38"/>
  <c r="I17"/>
  <c r="I19"/>
  <c r="I21"/>
  <c r="I23"/>
  <c r="H39"/>
  <c r="I27"/>
  <c r="I29"/>
  <c r="M11"/>
  <c r="L38"/>
  <c r="M21"/>
  <c r="M23"/>
  <c r="L39"/>
  <c r="M27"/>
  <c r="M33"/>
  <c r="B38"/>
  <c r="E15"/>
  <c r="B39"/>
  <c r="E25"/>
  <c r="B40"/>
  <c r="B41"/>
  <c r="E35"/>
  <c r="D41"/>
  <c r="D40"/>
  <c r="G41"/>
  <c r="G40"/>
  <c r="K41"/>
  <c r="K40"/>
  <c r="E7"/>
  <c r="E9"/>
  <c r="E11"/>
  <c r="E13"/>
  <c r="D38"/>
  <c r="E17"/>
  <c r="E19"/>
  <c r="E21"/>
  <c r="E23"/>
  <c r="D39"/>
  <c r="E27"/>
  <c r="E29"/>
  <c r="E31"/>
  <c r="E33"/>
  <c r="G38"/>
  <c r="G39"/>
  <c r="M6"/>
  <c r="K38"/>
  <c r="K39"/>
  <c r="B40" i="43"/>
  <c r="B41"/>
  <c r="D41"/>
  <c r="D40"/>
  <c r="F41"/>
  <c r="F40"/>
  <c r="H41"/>
  <c r="H40"/>
  <c r="J41"/>
  <c r="J40"/>
  <c r="L41"/>
  <c r="L40"/>
  <c r="B38"/>
  <c r="D38"/>
  <c r="B39"/>
  <c r="D39"/>
  <c r="F38"/>
  <c r="H38"/>
  <c r="F39"/>
  <c r="H39"/>
  <c r="J38"/>
  <c r="L38"/>
  <c r="J39"/>
  <c r="L39"/>
  <c r="C40"/>
  <c r="C41"/>
  <c r="E40"/>
  <c r="E41"/>
  <c r="G40"/>
  <c r="G41"/>
  <c r="I41"/>
  <c r="I40"/>
  <c r="K41"/>
  <c r="K40"/>
  <c r="M41"/>
  <c r="M40"/>
  <c r="C38"/>
  <c r="E38"/>
  <c r="C39"/>
  <c r="E39"/>
  <c r="G38"/>
  <c r="I38"/>
  <c r="G39"/>
  <c r="I39"/>
  <c r="K38"/>
  <c r="M38"/>
  <c r="K39"/>
  <c r="M39"/>
  <c r="B40" i="48"/>
  <c r="B41"/>
  <c r="D40"/>
  <c r="D41"/>
  <c r="F40"/>
  <c r="F41"/>
  <c r="H40"/>
  <c r="H41"/>
  <c r="J40"/>
  <c r="J41"/>
  <c r="L40"/>
  <c r="L41"/>
  <c r="B38"/>
  <c r="D38"/>
  <c r="B39"/>
  <c r="D39"/>
  <c r="F38"/>
  <c r="H38"/>
  <c r="F39"/>
  <c r="H39"/>
  <c r="J38"/>
  <c r="L38"/>
  <c r="J39"/>
  <c r="L39"/>
  <c r="C41"/>
  <c r="C40"/>
  <c r="E41"/>
  <c r="E40"/>
  <c r="G41"/>
  <c r="G40"/>
  <c r="I41"/>
  <c r="I40"/>
  <c r="K41"/>
  <c r="K40"/>
  <c r="M41"/>
  <c r="M40"/>
  <c r="C38"/>
  <c r="E38"/>
  <c r="C39"/>
  <c r="E39"/>
  <c r="G38"/>
  <c r="I38"/>
  <c r="G39"/>
  <c r="I39"/>
  <c r="K38"/>
  <c r="M38"/>
  <c r="K39"/>
  <c r="M39"/>
  <c r="B40" i="37"/>
  <c r="D40"/>
  <c r="B42"/>
  <c r="B41"/>
  <c r="D42"/>
  <c r="D41"/>
  <c r="F42"/>
  <c r="F41"/>
  <c r="H42"/>
  <c r="H41"/>
  <c r="C39"/>
  <c r="E39"/>
  <c r="F39"/>
  <c r="H39"/>
  <c r="F40"/>
  <c r="H40"/>
  <c r="C41"/>
  <c r="C42"/>
  <c r="E41"/>
  <c r="E42"/>
  <c r="G41"/>
  <c r="G42"/>
  <c r="I41"/>
  <c r="I42"/>
  <c r="B39"/>
  <c r="D39"/>
  <c r="C40"/>
  <c r="E40"/>
  <c r="G39"/>
  <c r="I39"/>
  <c r="G40"/>
  <c r="I40"/>
  <c r="L38" i="40"/>
  <c r="L39"/>
  <c r="H38"/>
  <c r="D38"/>
  <c r="B40" i="36"/>
  <c r="E25"/>
  <c r="E35"/>
  <c r="B42"/>
  <c r="B41"/>
  <c r="D42"/>
  <c r="D41"/>
  <c r="F40"/>
  <c r="I25"/>
  <c r="F42"/>
  <c r="F41"/>
  <c r="I35"/>
  <c r="H42"/>
  <c r="H41"/>
  <c r="K41"/>
  <c r="K42"/>
  <c r="C39"/>
  <c r="E16"/>
  <c r="D40"/>
  <c r="E33"/>
  <c r="G39"/>
  <c r="I16"/>
  <c r="H40"/>
  <c r="K40"/>
  <c r="E15"/>
  <c r="B39"/>
  <c r="C42"/>
  <c r="C41"/>
  <c r="F39"/>
  <c r="I15"/>
  <c r="G42"/>
  <c r="G41"/>
  <c r="M15"/>
  <c r="J39"/>
  <c r="J40"/>
  <c r="M25"/>
  <c r="J42"/>
  <c r="M35"/>
  <c r="J41"/>
  <c r="L42"/>
  <c r="L41"/>
  <c r="E7"/>
  <c r="D39"/>
  <c r="E19"/>
  <c r="C40"/>
  <c r="H39"/>
  <c r="G40"/>
  <c r="I28"/>
  <c r="I30"/>
  <c r="I32"/>
  <c r="M7"/>
  <c r="M9"/>
  <c r="M11"/>
  <c r="M13"/>
  <c r="L39"/>
  <c r="M17"/>
  <c r="M19"/>
  <c r="M21"/>
  <c r="M23"/>
  <c r="L40"/>
  <c r="M27"/>
  <c r="M29"/>
  <c r="M31"/>
  <c r="M33"/>
  <c r="B42" i="35"/>
  <c r="B41"/>
  <c r="D42"/>
  <c r="D41"/>
  <c r="G42"/>
  <c r="G41"/>
  <c r="I42"/>
  <c r="I41"/>
  <c r="C39"/>
  <c r="E39"/>
  <c r="B40"/>
  <c r="D40"/>
  <c r="F39"/>
  <c r="H39"/>
  <c r="G40"/>
  <c r="I40"/>
  <c r="C41"/>
  <c r="C42"/>
  <c r="E41"/>
  <c r="E42"/>
  <c r="F41"/>
  <c r="F42"/>
  <c r="H41"/>
  <c r="H42"/>
  <c r="B39"/>
  <c r="D39"/>
  <c r="C40"/>
  <c r="E40"/>
  <c r="G39"/>
  <c r="I39"/>
  <c r="F40"/>
  <c r="H40"/>
  <c r="B41" i="27"/>
  <c r="B42"/>
  <c r="D41"/>
  <c r="D42"/>
  <c r="G42"/>
  <c r="G41"/>
  <c r="I42"/>
  <c r="I41"/>
  <c r="K41"/>
  <c r="K42"/>
  <c r="M41"/>
  <c r="M42"/>
  <c r="C39"/>
  <c r="E39"/>
  <c r="B40"/>
  <c r="D40"/>
  <c r="H39"/>
  <c r="G40"/>
  <c r="I40"/>
  <c r="K39"/>
  <c r="M39"/>
  <c r="K40"/>
  <c r="M40"/>
  <c r="C42"/>
  <c r="C41"/>
  <c r="E42"/>
  <c r="E41"/>
  <c r="H42"/>
  <c r="H41"/>
  <c r="J42"/>
  <c r="J41"/>
  <c r="L42"/>
  <c r="L41"/>
  <c r="D39"/>
  <c r="C40"/>
  <c r="E40"/>
  <c r="G39"/>
  <c r="I39"/>
  <c r="F40"/>
  <c r="H40"/>
  <c r="F41"/>
  <c r="J39"/>
  <c r="L39"/>
  <c r="J40"/>
  <c r="L40"/>
  <c r="C41" i="39"/>
  <c r="C40"/>
  <c r="E41"/>
  <c r="E40"/>
  <c r="G41"/>
  <c r="G40"/>
  <c r="I41"/>
  <c r="I40"/>
  <c r="K40"/>
  <c r="K41"/>
  <c r="M41"/>
  <c r="M40"/>
  <c r="C38"/>
  <c r="E38"/>
  <c r="C39"/>
  <c r="E39"/>
  <c r="G38"/>
  <c r="I38"/>
  <c r="G39"/>
  <c r="I39"/>
  <c r="K38"/>
  <c r="M38"/>
  <c r="K39"/>
  <c r="M39"/>
  <c r="B41"/>
  <c r="B40"/>
  <c r="D41"/>
  <c r="F40"/>
  <c r="F41"/>
  <c r="H41"/>
  <c r="H40"/>
  <c r="J41"/>
  <c r="J40"/>
  <c r="L40"/>
  <c r="L41"/>
  <c r="B38"/>
  <c r="D38"/>
  <c r="B39"/>
  <c r="D39"/>
  <c r="F38"/>
  <c r="H38"/>
  <c r="F39"/>
  <c r="H39"/>
  <c r="J38"/>
  <c r="L38"/>
  <c r="J39"/>
  <c r="L39"/>
  <c r="C42" i="42"/>
  <c r="C41"/>
  <c r="F41"/>
  <c r="F42"/>
  <c r="H42"/>
  <c r="H41"/>
  <c r="C39"/>
  <c r="C40"/>
  <c r="F39"/>
  <c r="H39"/>
  <c r="F40"/>
  <c r="H40"/>
  <c r="B42"/>
  <c r="B41"/>
  <c r="D42"/>
  <c r="D41"/>
  <c r="G42"/>
  <c r="G41"/>
  <c r="B39"/>
  <c r="D39"/>
  <c r="B40"/>
  <c r="D40"/>
  <c r="G39"/>
  <c r="G40"/>
  <c r="F42" i="27"/>
  <c r="F39"/>
  <c r="L36" i="34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C24" i="40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K6"/>
  <c r="M6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6" i="34"/>
  <c r="M6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B24" i="40"/>
  <c r="B25"/>
  <c r="B26"/>
  <c r="B27"/>
  <c r="B28"/>
  <c r="B29"/>
  <c r="B30"/>
  <c r="B31"/>
  <c r="B32"/>
  <c r="B33"/>
  <c r="F24"/>
  <c r="F25"/>
  <c r="F26"/>
  <c r="F27"/>
  <c r="F28"/>
  <c r="F29"/>
  <c r="F30"/>
  <c r="F31"/>
  <c r="F32"/>
  <c r="F33"/>
  <c r="J6"/>
  <c r="L6"/>
  <c r="L37" s="1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J25"/>
  <c r="J26"/>
  <c r="J27"/>
  <c r="J28"/>
  <c r="J29"/>
  <c r="J30"/>
  <c r="J31"/>
  <c r="J32"/>
  <c r="J33"/>
  <c r="J6" i="34"/>
  <c r="J7"/>
  <c r="J8"/>
  <c r="J9"/>
  <c r="J10"/>
  <c r="J11"/>
  <c r="J12"/>
  <c r="J13"/>
  <c r="J14"/>
  <c r="J15"/>
  <c r="J16"/>
  <c r="J17"/>
  <c r="J18"/>
  <c r="J19"/>
  <c r="J20"/>
  <c r="J21"/>
  <c r="J22"/>
  <c r="J23"/>
  <c r="E29" i="109" l="1"/>
  <c r="E17" i="138"/>
  <c r="E19" i="109"/>
  <c r="E7" i="138"/>
  <c r="E31" i="109"/>
  <c r="E19" i="138"/>
  <c r="E26" i="109"/>
  <c r="E14" i="138"/>
  <c r="E21" i="109"/>
  <c r="E9" i="138"/>
  <c r="I31" i="109"/>
  <c r="I19" i="138"/>
  <c r="I27" i="109"/>
  <c r="I15" i="138"/>
  <c r="I23" i="109"/>
  <c r="I11" i="138"/>
  <c r="I19" i="109"/>
  <c r="I7" i="138"/>
  <c r="E33" i="109"/>
  <c r="E21" i="138"/>
  <c r="E23" i="109"/>
  <c r="E11" i="138"/>
  <c r="E27" i="109"/>
  <c r="E15" i="138"/>
  <c r="E25" i="109"/>
  <c r="E13" i="138"/>
  <c r="E17" i="109"/>
  <c r="E5" i="138"/>
  <c r="I33" i="109"/>
  <c r="I21" i="138"/>
  <c r="I29" i="109"/>
  <c r="I17" i="138"/>
  <c r="I25" i="109"/>
  <c r="I13" i="138"/>
  <c r="I21" i="109"/>
  <c r="I9" i="138"/>
  <c r="I17" i="109"/>
  <c r="I5" i="138"/>
  <c r="M25" i="42"/>
  <c r="M21"/>
  <c r="M17"/>
  <c r="M11"/>
  <c r="M7"/>
  <c r="M24" i="36"/>
  <c r="K38" i="49"/>
  <c r="G38"/>
  <c r="C38"/>
  <c r="I39" i="44"/>
  <c r="E39"/>
  <c r="M45" i="43"/>
  <c r="I45"/>
  <c r="E45"/>
  <c r="M45" i="48"/>
  <c r="I45"/>
  <c r="E45"/>
  <c r="M17" i="45"/>
  <c r="M7"/>
  <c r="I31"/>
  <c r="E18"/>
  <c r="E14"/>
  <c r="E10"/>
  <c r="E6"/>
  <c r="M32"/>
  <c r="I45" i="39"/>
  <c r="I12" i="36"/>
  <c r="I8"/>
  <c r="E31"/>
  <c r="E27"/>
  <c r="E23"/>
  <c r="M34" i="42"/>
  <c r="M30"/>
  <c r="M26"/>
  <c r="M22"/>
  <c r="M18"/>
  <c r="M14"/>
  <c r="M10"/>
  <c r="M6"/>
  <c r="I35"/>
  <c r="I31"/>
  <c r="I27"/>
  <c r="I21"/>
  <c r="I17"/>
  <c r="I11"/>
  <c r="I7"/>
  <c r="E34"/>
  <c r="E30"/>
  <c r="E26"/>
  <c r="E22"/>
  <c r="E18"/>
  <c r="E17"/>
  <c r="E13"/>
  <c r="E9"/>
  <c r="M35"/>
  <c r="M33"/>
  <c r="M29"/>
  <c r="M15"/>
  <c r="M13"/>
  <c r="M9"/>
  <c r="I34"/>
  <c r="I30"/>
  <c r="I26"/>
  <c r="I14"/>
  <c r="I10"/>
  <c r="I6"/>
  <c r="E25"/>
  <c r="E23"/>
  <c r="M6" i="36"/>
  <c r="F46" i="42"/>
  <c r="I25"/>
  <c r="F45"/>
  <c r="I15"/>
  <c r="E15"/>
  <c r="I36"/>
  <c r="I32"/>
  <c r="I28"/>
  <c r="I24"/>
  <c r="I20"/>
  <c r="I16"/>
  <c r="I12"/>
  <c r="I8"/>
  <c r="E35"/>
  <c r="E31"/>
  <c r="E27"/>
  <c r="E21"/>
  <c r="I24" i="110"/>
  <c r="I12" i="138" s="1"/>
  <c r="I22" i="110"/>
  <c r="I20"/>
  <c r="I18"/>
  <c r="I16"/>
  <c r="I16" i="109" s="1"/>
  <c r="I14" i="110"/>
  <c r="I12"/>
  <c r="I12" i="109" s="1"/>
  <c r="I10" i="110"/>
  <c r="I10" i="109" s="1"/>
  <c r="I8" i="110"/>
  <c r="I8" i="109" s="1"/>
  <c r="I38" i="9"/>
  <c r="I6" i="110"/>
  <c r="I6" i="109" s="1"/>
  <c r="I35"/>
  <c r="I39" i="90"/>
  <c r="I34" i="110"/>
  <c r="I32"/>
  <c r="I30"/>
  <c r="I28"/>
  <c r="I26"/>
  <c r="I40" i="90"/>
  <c r="I41"/>
  <c r="I38" i="89"/>
  <c r="I38" i="90"/>
  <c r="E24" i="110"/>
  <c r="E12" i="138" s="1"/>
  <c r="E22" i="110"/>
  <c r="E20"/>
  <c r="E18"/>
  <c r="E16"/>
  <c r="E16" i="109" s="1"/>
  <c r="E14" i="110"/>
  <c r="E12"/>
  <c r="E12" i="109" s="1"/>
  <c r="E10" i="110"/>
  <c r="E10" i="109" s="1"/>
  <c r="E8" i="110"/>
  <c r="E8" i="109" s="1"/>
  <c r="E35"/>
  <c r="E34" i="110"/>
  <c r="E32"/>
  <c r="E30"/>
  <c r="E28"/>
  <c r="E38" i="90"/>
  <c r="E41"/>
  <c r="E40"/>
  <c r="E39" i="89"/>
  <c r="E39" i="90"/>
  <c r="I41" i="9"/>
  <c r="J42" i="34"/>
  <c r="H44" i="53"/>
  <c r="H38"/>
  <c r="F38" i="40"/>
  <c r="F44"/>
  <c r="B38"/>
  <c r="B44"/>
  <c r="M38" i="34"/>
  <c r="M45"/>
  <c r="M44"/>
  <c r="M37"/>
  <c r="M43"/>
  <c r="I38"/>
  <c r="I44"/>
  <c r="E38"/>
  <c r="E44"/>
  <c r="M36"/>
  <c r="M42"/>
  <c r="M44" i="40"/>
  <c r="M45"/>
  <c r="M37"/>
  <c r="M43"/>
  <c r="M36"/>
  <c r="M42"/>
  <c r="I38"/>
  <c r="I44"/>
  <c r="E38"/>
  <c r="E44"/>
  <c r="L38" i="34"/>
  <c r="L44"/>
  <c r="L45"/>
  <c r="L37"/>
  <c r="L43"/>
  <c r="H38"/>
  <c r="H44"/>
  <c r="D38"/>
  <c r="D44"/>
  <c r="M42" i="5"/>
  <c r="M41"/>
  <c r="K42" i="50"/>
  <c r="K41"/>
  <c r="G42"/>
  <c r="G41"/>
  <c r="C42"/>
  <c r="C41"/>
  <c r="K41" i="49"/>
  <c r="K40"/>
  <c r="G41"/>
  <c r="G40"/>
  <c r="C41"/>
  <c r="C40"/>
  <c r="M41" i="8"/>
  <c r="M40"/>
  <c r="M35" i="49"/>
  <c r="M31"/>
  <c r="M27"/>
  <c r="M23"/>
  <c r="M19"/>
  <c r="M38" i="8"/>
  <c r="M15" i="49"/>
  <c r="M11"/>
  <c r="M7"/>
  <c r="I33" i="51"/>
  <c r="I33" i="49"/>
  <c r="I29" i="51"/>
  <c r="I29" i="49"/>
  <c r="I39" i="8"/>
  <c r="I25" i="51"/>
  <c r="I25" i="49"/>
  <c r="I21" i="51"/>
  <c r="I21" i="49"/>
  <c r="I17" i="51"/>
  <c r="I17" i="49"/>
  <c r="I13" i="51"/>
  <c r="I13" i="49"/>
  <c r="I9" i="51"/>
  <c r="I9" i="49"/>
  <c r="E41" i="8"/>
  <c r="E40"/>
  <c r="E35" i="51"/>
  <c r="E35" i="49"/>
  <c r="E31" i="51"/>
  <c r="E31" i="49"/>
  <c r="E27" i="51"/>
  <c r="E27" i="49"/>
  <c r="E23" i="51"/>
  <c r="E23" i="49"/>
  <c r="E19" i="51"/>
  <c r="E19" i="49"/>
  <c r="E38" i="8"/>
  <c r="E15" i="51"/>
  <c r="E15" i="49"/>
  <c r="E11" i="51"/>
  <c r="E11" i="49"/>
  <c r="E7" i="51"/>
  <c r="E7" i="49"/>
  <c r="D41" i="51"/>
  <c r="D40"/>
  <c r="B41"/>
  <c r="B40"/>
  <c r="F42" i="50"/>
  <c r="F41"/>
  <c r="L40" i="49"/>
  <c r="L41"/>
  <c r="H40"/>
  <c r="H41"/>
  <c r="D40"/>
  <c r="D41"/>
  <c r="M34"/>
  <c r="M30"/>
  <c r="M26"/>
  <c r="M22"/>
  <c r="M18"/>
  <c r="M14"/>
  <c r="M10"/>
  <c r="M6"/>
  <c r="I32" i="51"/>
  <c r="I32" i="49"/>
  <c r="I28" i="51"/>
  <c r="I28" i="49"/>
  <c r="I24" i="51"/>
  <c r="I24" i="49"/>
  <c r="I20" i="51"/>
  <c r="I20" i="49"/>
  <c r="I16" i="51"/>
  <c r="I16" i="49"/>
  <c r="I12" i="51"/>
  <c r="I12" i="49"/>
  <c r="I8" i="51"/>
  <c r="I8" i="49"/>
  <c r="E34" i="51"/>
  <c r="E34" i="49"/>
  <c r="E30" i="51"/>
  <c r="E30" i="49"/>
  <c r="E26" i="51"/>
  <c r="E26" i="49"/>
  <c r="E22" i="51"/>
  <c r="E22" i="49"/>
  <c r="E18" i="51"/>
  <c r="E18" i="49"/>
  <c r="E14" i="51"/>
  <c r="E14" i="49"/>
  <c r="E10" i="51"/>
  <c r="E10" i="49"/>
  <c r="E6" i="51"/>
  <c r="E6" i="49"/>
  <c r="H41" i="51"/>
  <c r="H40"/>
  <c r="F41"/>
  <c r="F40"/>
  <c r="G47" i="45"/>
  <c r="G46"/>
  <c r="D47"/>
  <c r="D46"/>
  <c r="I41" i="44"/>
  <c r="I40"/>
  <c r="E41"/>
  <c r="E40"/>
  <c r="M47" i="43"/>
  <c r="M46"/>
  <c r="I47"/>
  <c r="I46"/>
  <c r="E47"/>
  <c r="E46"/>
  <c r="M47" i="48"/>
  <c r="M46"/>
  <c r="I47"/>
  <c r="I46"/>
  <c r="E47"/>
  <c r="E46"/>
  <c r="J47" i="45"/>
  <c r="J46"/>
  <c r="F47"/>
  <c r="F46"/>
  <c r="M47" i="39"/>
  <c r="M46"/>
  <c r="E47"/>
  <c r="E46"/>
  <c r="F48" i="36"/>
  <c r="F47"/>
  <c r="B48"/>
  <c r="B47"/>
  <c r="M48" i="27"/>
  <c r="M47"/>
  <c r="H48" i="42"/>
  <c r="H47"/>
  <c r="J48" i="36"/>
  <c r="J47"/>
  <c r="K39"/>
  <c r="K45"/>
  <c r="L45" i="40"/>
  <c r="L44"/>
  <c r="E48" i="37"/>
  <c r="E47"/>
  <c r="G48" i="36"/>
  <c r="G47"/>
  <c r="C48"/>
  <c r="C47"/>
  <c r="E48" i="27"/>
  <c r="E47"/>
  <c r="L48" i="42"/>
  <c r="L47"/>
  <c r="L42"/>
  <c r="L41"/>
  <c r="K48"/>
  <c r="K47"/>
  <c r="K41"/>
  <c r="K42"/>
  <c r="J46"/>
  <c r="J40"/>
  <c r="K46"/>
  <c r="K40"/>
  <c r="L45"/>
  <c r="L39"/>
  <c r="K45"/>
  <c r="K39"/>
  <c r="B48"/>
  <c r="B47"/>
  <c r="F41" i="58"/>
  <c r="F40"/>
  <c r="J31" i="53"/>
  <c r="J27"/>
  <c r="J23"/>
  <c r="L21"/>
  <c r="B21"/>
  <c r="J19"/>
  <c r="B19"/>
  <c r="J17"/>
  <c r="J13"/>
  <c r="J11"/>
  <c r="B11"/>
  <c r="J9"/>
  <c r="J7"/>
  <c r="B7"/>
  <c r="J35"/>
  <c r="I34"/>
  <c r="G33"/>
  <c r="I30"/>
  <c r="G29"/>
  <c r="I26"/>
  <c r="G25"/>
  <c r="G46" s="1"/>
  <c r="D25"/>
  <c r="D23"/>
  <c r="B23"/>
  <c r="L15"/>
  <c r="J15"/>
  <c r="G13"/>
  <c r="G11"/>
  <c r="G9"/>
  <c r="G7"/>
  <c r="J34"/>
  <c r="K31"/>
  <c r="J30"/>
  <c r="K27"/>
  <c r="J26"/>
  <c r="L22"/>
  <c r="K19"/>
  <c r="L18"/>
  <c r="D18"/>
  <c r="L14"/>
  <c r="D14"/>
  <c r="K11"/>
  <c r="L10"/>
  <c r="D10"/>
  <c r="K7"/>
  <c r="L6"/>
  <c r="D6"/>
  <c r="K35"/>
  <c r="C35"/>
  <c r="D34"/>
  <c r="B34"/>
  <c r="E34" s="1"/>
  <c r="G32"/>
  <c r="I32" s="1"/>
  <c r="D32"/>
  <c r="E32" s="1"/>
  <c r="C31"/>
  <c r="D30"/>
  <c r="B30"/>
  <c r="G28"/>
  <c r="I28" s="1"/>
  <c r="D28"/>
  <c r="E28" s="1"/>
  <c r="C27"/>
  <c r="D26"/>
  <c r="B26"/>
  <c r="E26" s="1"/>
  <c r="F25"/>
  <c r="H23"/>
  <c r="H21"/>
  <c r="F21"/>
  <c r="H19"/>
  <c r="H17"/>
  <c r="F17"/>
  <c r="K15"/>
  <c r="F38" i="51"/>
  <c r="C15" i="53"/>
  <c r="C45" s="1"/>
  <c r="H13"/>
  <c r="F13"/>
  <c r="I13" s="1"/>
  <c r="H11"/>
  <c r="H9"/>
  <c r="F9"/>
  <c r="H7"/>
  <c r="D40" i="50"/>
  <c r="L39"/>
  <c r="J42"/>
  <c r="M31" i="45"/>
  <c r="J44"/>
  <c r="F44"/>
  <c r="E32"/>
  <c r="E28"/>
  <c r="E22"/>
  <c r="C45"/>
  <c r="L43" i="40"/>
  <c r="B45" i="42"/>
  <c r="I34" i="36"/>
  <c r="I26"/>
  <c r="I22"/>
  <c r="F45"/>
  <c r="I11"/>
  <c r="I7"/>
  <c r="E34"/>
  <c r="E30"/>
  <c r="E26"/>
  <c r="E22"/>
  <c r="D45"/>
  <c r="E13"/>
  <c r="E9"/>
  <c r="E46" i="27"/>
  <c r="C46" i="42"/>
  <c r="D46"/>
  <c r="M36" i="36"/>
  <c r="M32"/>
  <c r="M28"/>
  <c r="M20"/>
  <c r="M16"/>
  <c r="M12"/>
  <c r="M8"/>
  <c r="I45" i="37"/>
  <c r="J44" i="40"/>
  <c r="J45"/>
  <c r="J37"/>
  <c r="J43"/>
  <c r="L36"/>
  <c r="L42"/>
  <c r="J36"/>
  <c r="J42"/>
  <c r="K38" i="34"/>
  <c r="K45"/>
  <c r="K44"/>
  <c r="K37"/>
  <c r="K43"/>
  <c r="G38"/>
  <c r="G44"/>
  <c r="C38"/>
  <c r="C44"/>
  <c r="K36"/>
  <c r="K42"/>
  <c r="K44" i="40"/>
  <c r="K45"/>
  <c r="K37"/>
  <c r="K43"/>
  <c r="K36"/>
  <c r="K42"/>
  <c r="G38"/>
  <c r="G44"/>
  <c r="C38"/>
  <c r="C44"/>
  <c r="J38" i="34"/>
  <c r="J45"/>
  <c r="J44"/>
  <c r="F38"/>
  <c r="F44"/>
  <c r="B38"/>
  <c r="B44"/>
  <c r="M33" i="49"/>
  <c r="M29"/>
  <c r="M39" i="8"/>
  <c r="M25" i="49"/>
  <c r="M21"/>
  <c r="M17"/>
  <c r="M13"/>
  <c r="M9"/>
  <c r="I41" i="8"/>
  <c r="I40"/>
  <c r="I35" i="51"/>
  <c r="I35" i="49"/>
  <c r="I31" i="51"/>
  <c r="I31" i="49"/>
  <c r="I27" i="51"/>
  <c r="I27" i="49"/>
  <c r="I23" i="51"/>
  <c r="I23" i="49"/>
  <c r="I19" i="51"/>
  <c r="I19" i="49"/>
  <c r="I38" i="8"/>
  <c r="I15" i="51"/>
  <c r="I15" i="49"/>
  <c r="I11" i="51"/>
  <c r="I11" i="49"/>
  <c r="I7" i="51"/>
  <c r="I7" i="49"/>
  <c r="E33" i="51"/>
  <c r="E33" i="49"/>
  <c r="E29" i="51"/>
  <c r="E29" i="49"/>
  <c r="E39" i="8"/>
  <c r="E25" i="51"/>
  <c r="E25" i="49"/>
  <c r="E21" i="51"/>
  <c r="E21" i="49"/>
  <c r="E17" i="51"/>
  <c r="E17" i="49"/>
  <c r="E13" i="51"/>
  <c r="E13" i="49"/>
  <c r="E9" i="51"/>
  <c r="E9" i="49"/>
  <c r="G41" i="51"/>
  <c r="G40"/>
  <c r="H42" i="50"/>
  <c r="H41"/>
  <c r="J40" i="49"/>
  <c r="J41"/>
  <c r="F40"/>
  <c r="F41"/>
  <c r="B41"/>
  <c r="B40"/>
  <c r="M32"/>
  <c r="M28"/>
  <c r="M24"/>
  <c r="M20"/>
  <c r="M16"/>
  <c r="M12"/>
  <c r="M8"/>
  <c r="I34" i="51"/>
  <c r="I34" i="49"/>
  <c r="I30" i="51"/>
  <c r="I30" i="49"/>
  <c r="I26" i="51"/>
  <c r="I26" i="49"/>
  <c r="I22" i="51"/>
  <c r="I22" i="49"/>
  <c r="I18" i="51"/>
  <c r="I18" i="49"/>
  <c r="I14" i="51"/>
  <c r="I14" i="49"/>
  <c r="I10" i="51"/>
  <c r="I10" i="49"/>
  <c r="I6" i="51"/>
  <c r="I6" i="49"/>
  <c r="E32" i="51"/>
  <c r="E32" i="49"/>
  <c r="E28" i="51"/>
  <c r="E28" i="49"/>
  <c r="E24" i="51"/>
  <c r="E24" i="49"/>
  <c r="E20" i="51"/>
  <c r="E20" i="49"/>
  <c r="E16" i="51"/>
  <c r="E16" i="49"/>
  <c r="E12" i="51"/>
  <c r="E12" i="49"/>
  <c r="E8" i="51"/>
  <c r="E8" i="49"/>
  <c r="C41" i="51"/>
  <c r="B47" i="45"/>
  <c r="B46"/>
  <c r="K47"/>
  <c r="K46"/>
  <c r="L47"/>
  <c r="L46"/>
  <c r="I47" i="39"/>
  <c r="I46"/>
  <c r="H48" i="36"/>
  <c r="H47"/>
  <c r="D48"/>
  <c r="D47"/>
  <c r="I48" i="35"/>
  <c r="I47"/>
  <c r="I48" i="27"/>
  <c r="I47"/>
  <c r="F48" i="42"/>
  <c r="F47"/>
  <c r="G48"/>
  <c r="G47"/>
  <c r="K48" i="36"/>
  <c r="K47"/>
  <c r="L48"/>
  <c r="L47"/>
  <c r="E48" i="35"/>
  <c r="E47"/>
  <c r="J48" i="42"/>
  <c r="J47"/>
  <c r="J42"/>
  <c r="J41"/>
  <c r="L46"/>
  <c r="L40"/>
  <c r="J45"/>
  <c r="J39"/>
  <c r="C48"/>
  <c r="C47"/>
  <c r="D48"/>
  <c r="D47"/>
  <c r="K41" i="58"/>
  <c r="K40"/>
  <c r="J43" i="34"/>
  <c r="J33" i="53"/>
  <c r="L31"/>
  <c r="J29"/>
  <c r="L27"/>
  <c r="L23"/>
  <c r="J21"/>
  <c r="M21" s="1"/>
  <c r="L19"/>
  <c r="D19"/>
  <c r="L17"/>
  <c r="D17"/>
  <c r="L13"/>
  <c r="D13"/>
  <c r="L11"/>
  <c r="D11"/>
  <c r="L9"/>
  <c r="D9"/>
  <c r="L7"/>
  <c r="D7"/>
  <c r="L35"/>
  <c r="D35"/>
  <c r="B35"/>
  <c r="D33"/>
  <c r="B33"/>
  <c r="D31"/>
  <c r="B31"/>
  <c r="D29"/>
  <c r="B29"/>
  <c r="D27"/>
  <c r="B27"/>
  <c r="L25"/>
  <c r="J25"/>
  <c r="B25"/>
  <c r="G23"/>
  <c r="I23" s="1"/>
  <c r="G21"/>
  <c r="G19"/>
  <c r="I19" s="1"/>
  <c r="G17"/>
  <c r="G15"/>
  <c r="D15"/>
  <c r="B15"/>
  <c r="L34"/>
  <c r="K33"/>
  <c r="J32"/>
  <c r="M32" s="1"/>
  <c r="L30"/>
  <c r="K29"/>
  <c r="J28"/>
  <c r="M28" s="1"/>
  <c r="L26"/>
  <c r="L24"/>
  <c r="M24" s="1"/>
  <c r="K23"/>
  <c r="J22"/>
  <c r="M22" s="1"/>
  <c r="C21"/>
  <c r="J20"/>
  <c r="M20" s="1"/>
  <c r="B20"/>
  <c r="E20" s="1"/>
  <c r="C19"/>
  <c r="J18"/>
  <c r="M18" s="1"/>
  <c r="B18"/>
  <c r="E18" s="1"/>
  <c r="C17"/>
  <c r="E17" s="1"/>
  <c r="J16"/>
  <c r="M16" s="1"/>
  <c r="B16"/>
  <c r="E16" s="1"/>
  <c r="J14"/>
  <c r="M14" s="1"/>
  <c r="B14"/>
  <c r="E14" s="1"/>
  <c r="C13"/>
  <c r="J12"/>
  <c r="M12" s="1"/>
  <c r="B12"/>
  <c r="E12" s="1"/>
  <c r="C11"/>
  <c r="J10"/>
  <c r="M10" s="1"/>
  <c r="B10"/>
  <c r="E10" s="1"/>
  <c r="C9"/>
  <c r="J8"/>
  <c r="M8" s="1"/>
  <c r="B8"/>
  <c r="E8" s="1"/>
  <c r="C7"/>
  <c r="J6"/>
  <c r="M6" s="1"/>
  <c r="B6"/>
  <c r="E6" s="1"/>
  <c r="H35"/>
  <c r="F35"/>
  <c r="H33"/>
  <c r="F33"/>
  <c r="H31"/>
  <c r="F31"/>
  <c r="H29"/>
  <c r="F29"/>
  <c r="H27"/>
  <c r="F27"/>
  <c r="K25"/>
  <c r="H25"/>
  <c r="C39" i="51"/>
  <c r="G24" i="53"/>
  <c r="I24" s="1"/>
  <c r="D24"/>
  <c r="B24"/>
  <c r="C23"/>
  <c r="G22"/>
  <c r="I22" s="1"/>
  <c r="D22"/>
  <c r="B22"/>
  <c r="G20"/>
  <c r="I20" s="1"/>
  <c r="G18"/>
  <c r="I18" s="1"/>
  <c r="G16"/>
  <c r="I16" s="1"/>
  <c r="H38" i="51"/>
  <c r="F15" i="53"/>
  <c r="G14"/>
  <c r="I14" s="1"/>
  <c r="G12"/>
  <c r="I12" s="1"/>
  <c r="G10"/>
  <c r="I10" s="1"/>
  <c r="G8"/>
  <c r="I8" s="1"/>
  <c r="G6"/>
  <c r="G47" s="1"/>
  <c r="B40" i="50"/>
  <c r="M29" i="45"/>
  <c r="M19"/>
  <c r="M9"/>
  <c r="I33"/>
  <c r="E20"/>
  <c r="E16"/>
  <c r="E12"/>
  <c r="E8"/>
  <c r="I33" i="36"/>
  <c r="I29"/>
  <c r="I14"/>
  <c r="I10"/>
  <c r="I6"/>
  <c r="E29"/>
  <c r="E21"/>
  <c r="E12"/>
  <c r="E8"/>
  <c r="E46" i="37"/>
  <c r="I36" i="36"/>
  <c r="G46"/>
  <c r="I24"/>
  <c r="H45"/>
  <c r="I13"/>
  <c r="I9"/>
  <c r="E36"/>
  <c r="E32"/>
  <c r="E28"/>
  <c r="C46"/>
  <c r="E24"/>
  <c r="B45"/>
  <c r="E11"/>
  <c r="E46" i="35"/>
  <c r="B46" i="42"/>
  <c r="J39" i="40"/>
  <c r="J38"/>
  <c r="M39"/>
  <c r="M38"/>
  <c r="K39"/>
  <c r="K38"/>
  <c r="J36" i="34"/>
  <c r="J37"/>
  <c r="M39"/>
  <c r="J39"/>
  <c r="K39"/>
  <c r="L39"/>
  <c r="E30" i="109" l="1"/>
  <c r="E18" i="138"/>
  <c r="E34" i="109"/>
  <c r="E22" i="138"/>
  <c r="E20" i="109"/>
  <c r="E8" i="138"/>
  <c r="I28" i="109"/>
  <c r="I16" i="138"/>
  <c r="I32" i="109"/>
  <c r="I20" i="138"/>
  <c r="I20" i="109"/>
  <c r="I8" i="138"/>
  <c r="E28" i="109"/>
  <c r="E16" i="138"/>
  <c r="E32" i="109"/>
  <c r="E20" i="138"/>
  <c r="E18" i="109"/>
  <c r="E6" i="138"/>
  <c r="E22" i="109"/>
  <c r="E10" i="138"/>
  <c r="I26" i="109"/>
  <c r="I14" i="138"/>
  <c r="I30" i="109"/>
  <c r="I18" i="138"/>
  <c r="I34" i="109"/>
  <c r="I22" i="138"/>
  <c r="I18" i="109"/>
  <c r="I6" i="138"/>
  <c r="I22" i="109"/>
  <c r="I10" i="138"/>
  <c r="E22" i="53"/>
  <c r="E24"/>
  <c r="I27"/>
  <c r="I29"/>
  <c r="I31"/>
  <c r="I33"/>
  <c r="E9"/>
  <c r="E13"/>
  <c r="E27"/>
  <c r="E29"/>
  <c r="E31"/>
  <c r="E33"/>
  <c r="I7"/>
  <c r="I11"/>
  <c r="I24" i="109"/>
  <c r="I39" i="89"/>
  <c r="I40"/>
  <c r="I41"/>
  <c r="I14" i="109"/>
  <c r="E24"/>
  <c r="E41" i="89"/>
  <c r="E40"/>
  <c r="E14" i="109"/>
  <c r="F44" i="53"/>
  <c r="I15"/>
  <c r="F38"/>
  <c r="K45"/>
  <c r="K39"/>
  <c r="H47"/>
  <c r="H46"/>
  <c r="H41"/>
  <c r="H40"/>
  <c r="B44"/>
  <c r="B38"/>
  <c r="E15"/>
  <c r="G44"/>
  <c r="G38"/>
  <c r="B45"/>
  <c r="B39"/>
  <c r="E25"/>
  <c r="L45"/>
  <c r="L39"/>
  <c r="D46"/>
  <c r="D47"/>
  <c r="D41"/>
  <c r="D40"/>
  <c r="E39" i="49"/>
  <c r="E39" i="51"/>
  <c r="I38" i="49"/>
  <c r="I38" i="51"/>
  <c r="I41" i="49"/>
  <c r="I40"/>
  <c r="I41" i="51"/>
  <c r="I40"/>
  <c r="M40" i="50"/>
  <c r="F45" i="53"/>
  <c r="I25"/>
  <c r="F39"/>
  <c r="K47"/>
  <c r="K46"/>
  <c r="K40"/>
  <c r="K41"/>
  <c r="J44"/>
  <c r="J38"/>
  <c r="M15"/>
  <c r="D45"/>
  <c r="D39"/>
  <c r="E39" i="50"/>
  <c r="E42"/>
  <c r="E41"/>
  <c r="I39" i="49"/>
  <c r="I39" i="51"/>
  <c r="M38" i="49"/>
  <c r="M42" i="50"/>
  <c r="M41"/>
  <c r="I9" i="53"/>
  <c r="I17"/>
  <c r="E30"/>
  <c r="I6"/>
  <c r="E23"/>
  <c r="E7"/>
  <c r="M9"/>
  <c r="M11"/>
  <c r="M17"/>
  <c r="M19"/>
  <c r="M27"/>
  <c r="G41"/>
  <c r="H45"/>
  <c r="H39"/>
  <c r="F47"/>
  <c r="F46"/>
  <c r="F40"/>
  <c r="F41"/>
  <c r="I35"/>
  <c r="D44"/>
  <c r="D38"/>
  <c r="J45"/>
  <c r="J39"/>
  <c r="M25"/>
  <c r="B46"/>
  <c r="B47"/>
  <c r="B40"/>
  <c r="E35"/>
  <c r="B41"/>
  <c r="L46"/>
  <c r="L47"/>
  <c r="L41"/>
  <c r="L40"/>
  <c r="E40" i="50"/>
  <c r="I39"/>
  <c r="I42"/>
  <c r="I41"/>
  <c r="M39" i="49"/>
  <c r="C44" i="53"/>
  <c r="C38"/>
  <c r="K44"/>
  <c r="K38"/>
  <c r="C47"/>
  <c r="C46"/>
  <c r="C40"/>
  <c r="C41"/>
  <c r="L44"/>
  <c r="L38"/>
  <c r="G45"/>
  <c r="G39"/>
  <c r="J46"/>
  <c r="J47"/>
  <c r="J40"/>
  <c r="M35"/>
  <c r="J41"/>
  <c r="E38" i="49"/>
  <c r="E38" i="51"/>
  <c r="E41" i="49"/>
  <c r="E40"/>
  <c r="E41" i="51"/>
  <c r="E40"/>
  <c r="I40" i="50"/>
  <c r="M39"/>
  <c r="M41" i="49"/>
  <c r="M40"/>
  <c r="M29" i="53"/>
  <c r="M33"/>
  <c r="I21"/>
  <c r="M26"/>
  <c r="M30"/>
  <c r="M34"/>
  <c r="M7"/>
  <c r="E11"/>
  <c r="M13"/>
  <c r="E19"/>
  <c r="E21"/>
  <c r="M23"/>
  <c r="M31"/>
  <c r="C39"/>
  <c r="G40"/>
</calcChain>
</file>

<file path=xl/comments1.xml><?xml version="1.0" encoding="utf-8"?>
<comments xmlns="http://schemas.openxmlformats.org/spreadsheetml/2006/main">
  <authors>
    <author/>
  </authors>
  <commentList>
    <comment ref="D36" authorId="0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<sst xmlns="http://schemas.openxmlformats.org/spreadsheetml/2006/main" count="3490" uniqueCount="267">
  <si>
    <t>Computers</t>
  </si>
  <si>
    <t>Software</t>
  </si>
  <si>
    <t>Telecommunication Equipment</t>
  </si>
  <si>
    <t>Air Transportation (481)</t>
  </si>
  <si>
    <t>Rail Transportation (482)</t>
  </si>
  <si>
    <t>List of Tables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</si>
  <si>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</si>
  <si>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</si>
  <si>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</si>
  <si>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</si>
  <si>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</si>
  <si>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</si>
  <si>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</si>
  <si>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</si>
  <si>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</si>
  <si>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</si>
  <si>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</si>
  <si>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</si>
  <si>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</si>
  <si>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</si>
  <si>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</si>
  <si>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</si>
  <si>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</si>
  <si>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</si>
  <si>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</si>
  <si>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</si>
  <si>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</si>
  <si>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</si>
  <si>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</si>
  <si>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</si>
  <si>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</si>
  <si>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</si>
  <si>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</si>
  <si>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</si>
  <si>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</si>
  <si>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</si>
  <si>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Source: Unpublished Data from Statistics Canada</t>
  </si>
  <si>
    <t>na</t>
  </si>
  <si>
    <t xml:space="preserve"> Business sector</t>
  </si>
  <si>
    <t xml:space="preserve"> Computers</t>
  </si>
  <si>
    <t xml:space="preserve"> Telecommunication equipment</t>
  </si>
  <si>
    <t xml:space="preserve"> Software</t>
  </si>
  <si>
    <t>Business Sector</t>
  </si>
  <si>
    <t>Source: BEA Detailed Data for Fixed Assets and Consumer Durable Goods</t>
  </si>
  <si>
    <t xml:space="preserve"> Air transportation [481]</t>
  </si>
  <si>
    <t xml:space="preserve"> Rail transportation [482]</t>
  </si>
  <si>
    <t>Source: Statistics Canada CANSIM Database, Table 31-0002</t>
  </si>
  <si>
    <t> </t>
  </si>
  <si>
    <t>Source: BEA Fixed Assets Accounts Tables</t>
  </si>
  <si>
    <t>Total ICT Goods</t>
  </si>
  <si>
    <t xml:space="preserve">  Air transportation</t>
  </si>
  <si>
    <t xml:space="preserve">  Railroad transportation</t>
  </si>
  <si>
    <t>Average Annual Compound Growth Rates</t>
  </si>
  <si>
    <t>1981-1990</t>
  </si>
  <si>
    <t xml:space="preserve"> Air transportation [4810]</t>
  </si>
  <si>
    <t xml:space="preserve"> Rail transportation [4820]</t>
  </si>
  <si>
    <t>Business sector</t>
  </si>
  <si>
    <t>Source: Statistics Canada CANSIM Database, Air and Rail from table 379-0023 , business sector from table 379-0024</t>
  </si>
  <si>
    <t>1981-2008</t>
  </si>
  <si>
    <t>2000-2008</t>
  </si>
  <si>
    <t>Source: Calculated from table 1a</t>
  </si>
  <si>
    <t>Source: Calculated from Tables 1a and 1c</t>
  </si>
  <si>
    <t/>
  </si>
  <si>
    <t xml:space="preserve">    Air transportation</t>
  </si>
  <si>
    <t xml:space="preserve">    Rail transportation</t>
  </si>
  <si>
    <t xml:space="preserve">Source: BEA Interactive Data </t>
  </si>
  <si>
    <t>Businesss Sector</t>
  </si>
  <si>
    <t>Source: Air and Rail from Unpublished Data from Statistics Canada, Business Sector from Statistics Canada CANSIM Database Table 310003</t>
  </si>
  <si>
    <t>Source: Calculated from table 3a</t>
  </si>
  <si>
    <t>2000-2010</t>
  </si>
  <si>
    <t>1981-2010</t>
  </si>
  <si>
    <t>1990-2000</t>
  </si>
  <si>
    <t>Total ICT Investment</t>
  </si>
  <si>
    <t>http://www.bea.gov/iTable/iTable.cfm?ReqID=10&amp;step=1</t>
  </si>
  <si>
    <t>Source: Calculated from Table 7a</t>
  </si>
  <si>
    <t>Total ICT Capital Stock</t>
  </si>
  <si>
    <t>Shares</t>
  </si>
  <si>
    <t>Absolute Change (Percentage Points)</t>
  </si>
  <si>
    <t>Note: All constant dollar BEA data has been adjusted to $2002 from $2005 by re-indexing the available $2005 series and scaling the current dollar series by this index.</t>
  </si>
  <si>
    <t>air</t>
  </si>
  <si>
    <t>Table 1d: ICT Investment, Current Dollars, as a Share of Value-Added, Air and Rail transportation and the Business Sector, Canada, 1981-2008</t>
  </si>
  <si>
    <t>Table 3a: Geometric (infinite) end-year net ICT Capital Stock, Current Dollars ($millions), Air and Rail Transportation and the Business Sector, Canada, 1981-2011</t>
  </si>
  <si>
    <t>Table 5a: ICT Investment, Current Dollars, ($ millions), Air and Rail Transportation and the Business Sector, United States, 1981-2010</t>
  </si>
  <si>
    <t>Table 1b: Nominal Value-Added GDP at Basic Prices, ($ millions), Air and Rail Transportation and the Business Sector, Canada, 1981-2008</t>
  </si>
  <si>
    <t>Total Capital Stock</t>
  </si>
  <si>
    <t>Source: Calculated from table 5a</t>
  </si>
  <si>
    <t>Source: Calculated from table 7a</t>
  </si>
  <si>
    <t>Table 5h: Employment (1,000s) by Industry , Air and Rail Transporation and the Business Sector, United States, 1981-2010</t>
  </si>
  <si>
    <t>Total ICT</t>
  </si>
  <si>
    <t>Table 5c:  Total Non-Residential Fixed Investment, Current Dollars ($ Millions), by Industry, United States, 1981-2010</t>
  </si>
  <si>
    <t>http://www.bls.gov/data/</t>
  </si>
  <si>
    <t>Database on ICT Investment and Capital Stock in the Air and Rail Sector in Canada and the United States, 1981-2011</t>
  </si>
  <si>
    <t>Table 1c: Total Non-residential Fixed Gross Investment, Current Dollars ($ millions), Air and Rail Transportation and the Business Sector, Canada, 1981-2011</t>
  </si>
  <si>
    <t>Table 1e: ICT Investment, Current Dollars, as a Share of Sector's Total Non-Residential Fixed Investment, Air and Rail Transportation and the Business Sector, Canada, 1981-2011</t>
  </si>
  <si>
    <t>Table 1f: ICT Investment, Current Dollars, as a Share of Business Sector ICT Investment, by Component, Air and Rail Transportation, Canada, 1981- 2011</t>
  </si>
  <si>
    <t>Source: Statistics Canada Labour Force Survey. Air and Rail from CANSIM Table 281-0024</t>
  </si>
  <si>
    <t>Table 1h: Employment (1,000s) by Industry, Air and Rail Transportation and the Business Sector, Canada, 1981-2010</t>
  </si>
  <si>
    <t>Source: Calculated from Table 1i</t>
  </si>
  <si>
    <t>Note: Data for 2011 are preliminary and subject to significant revisions. For this reason growth rates use 2010 as the last data point.</t>
  </si>
  <si>
    <t>Table 2a: ICT Investment in Chained 2002 dollars ($ millions), Air and Rail Transportation and the Business Sector, Canada, 1981-2011</t>
  </si>
  <si>
    <t>Table 3e: ICT Capital Stock, Current Dollars, as a Share of Business Sector ICT Capital Stock, by Component, Air and Rail Transportation Canada, 1981- 2011</t>
  </si>
  <si>
    <t>Table 3f: Distribution of ICT Capital Stock by Component, Current Dollars, Air and Rail Transportation and the Business Sector, Canada, 1981-2011</t>
  </si>
  <si>
    <t>Source: Calculated from Table 3h</t>
  </si>
  <si>
    <t>Table 4b: Geometric (infinite) End-Year Non-Residential Fixed Net Capital Stock ($2002 millions), Air and Rail Transportation and the Business Sector, Canada, 1981-2011</t>
  </si>
  <si>
    <t>Table 5b: Nominal Value-Added GDP at Producer Prices ($ millions), Air, Transportation, Rail Transportation and the Business Sector, United States, 1981-2010</t>
  </si>
  <si>
    <t>Table 5d: ICT Investment, Current Dollars, as a Share of Sector's Value Added, Air and Rail Transportation and the Business Sector, United States, 1981-2010</t>
  </si>
  <si>
    <t>Table 5e: ICT Investment, as a Share of Sector's Total Non-Residential Fixed Investment Investment, Current Dollars, Air and Rail Transportation and the Business Sector, United States, 1981-2010</t>
  </si>
  <si>
    <t>Table 5f: ICT Investment, Current Dollars, as a Share of Business Sector ICT Investment, by Component Air and Rail Transportation, United States, 1981- 2011</t>
  </si>
  <si>
    <t>Table 5g: Distribution of ICT Investment by Component, Current Dollars, Air and Rail Transportation, United States, 1981-2010</t>
  </si>
  <si>
    <t>Source: Calculated from Table 5i</t>
  </si>
  <si>
    <t xml:space="preserve">Table 7h: Ratio of ICT Investment to ICT Capital Stock, Current Dollars, Air and Rail Transportation and the Business Sector, United States, 1981-2010 </t>
  </si>
  <si>
    <t>Table 2b: Geometric (infinite) End-Year Non-Residential Fixed Net Investment ($2002 millions), Air and Rail Transportation and the Business Sector, Canada, 1981-2011</t>
  </si>
  <si>
    <t xml:space="preserve">Table 4e: Implicit Price Deflator, ICT Capital Stock, by Component, Air and Rail Transportation and the Business Sector, Canada, 1981-2011 </t>
  </si>
  <si>
    <t>Source: Calculated from Table 6c</t>
  </si>
  <si>
    <t>Source: Calculated from Table 4c</t>
  </si>
  <si>
    <t xml:space="preserve">Table 6e: Implicit Price Deflator, ICT Capital Stock, by Component, Air and Rail Transportation and the Business Sector, Canada, 1981-2011 </t>
  </si>
  <si>
    <t>Source: Calculated from Table 8c</t>
  </si>
  <si>
    <t xml:space="preserve">Table 8e: Implicit Price Deflator, ICT Capital Stock, by Component, Air and Rail Transportation and the Business Sector, United States, 1981-2011 </t>
  </si>
  <si>
    <t>481-Air Transportation</t>
  </si>
  <si>
    <t>482-Rail Transportation</t>
  </si>
  <si>
    <t>Source: Statistics Canada Labour Force Survey, Air and Rail by special request, business sector available from CANSIM 383-0009</t>
  </si>
  <si>
    <t>Table 1k: Hours Worked (Thousands), Air and Rail Transportation and the Business Sector, Canada, 1981-2011</t>
  </si>
  <si>
    <t>Source: Calculated from table 4f</t>
  </si>
  <si>
    <t xml:space="preserve"> Machinery and equipment</t>
  </si>
  <si>
    <t>Source: Statistics Canada CANSIM Database, Table 380-0057</t>
  </si>
  <si>
    <t>1992-2000</t>
  </si>
  <si>
    <t>1992-2010</t>
  </si>
  <si>
    <t>air transport</t>
  </si>
  <si>
    <t>rail transport</t>
  </si>
  <si>
    <t>rail</t>
  </si>
  <si>
    <t>Table 1a: ICT Investment, Current Dollars ($ millions), by type of ICT, Air and Rail Transportation and the Business Sector, Canada, 1981-2011</t>
  </si>
  <si>
    <t>Table 2e: ICT Investment, Chained 2002 Dollars, as a Share of Sector's Total Non-Residential Fixed Investment, Air and Rail Transportation and the Business Sector, Canada, 1981-2011</t>
  </si>
  <si>
    <t>Table 1g: Distribution of ICT Investment (Current Dollars) by Component, Air and Rail Transportation and the Business Sector, Canada, 1981-2011</t>
  </si>
  <si>
    <t>Table 2f: Distribution of ICT Investment (Chained 2002 Dollars) by Component, Air and Rail Transportation and the Business Sector, Canada, 1981-2011</t>
  </si>
  <si>
    <t>Table 2c: ICT Investment Intensity ($ 2002 per worker), Air and Rail Transportation, Canada, 1981-2010</t>
  </si>
  <si>
    <t>Table 3c: Geometric (infinite) End-Year Net ICT Capital Stock, Current Dollars, as a Share of Value Added, Air and Rail Transporation and the Business Sector, Canada, 1981-2008</t>
  </si>
  <si>
    <t>Source: Calculated from Table 3a</t>
  </si>
  <si>
    <t xml:space="preserve">Table 3g: Ratio of ICT Investment to ICT Capital Stock, Current Dollars, Air and Rail Transportation and the Business Sector, Canada, 1981-2011 </t>
  </si>
  <si>
    <t>Table 3h: ICT Capital Intensity (Capital Stock in $ Current per Worker), by Component, Air and Rail Transportation and the Business Sector, Canada, 1981-2010</t>
  </si>
  <si>
    <t>Table 3j: ICT Capital Intensity ($ current per hour worked), by Component, Air and Rail Transportation and the Business Sector, Canada, 1981-2010</t>
  </si>
  <si>
    <t>Table 4c: ICT Capital Intensity (Capital Stock in $ 2002 per Worker), Air and Rail Transportation and the Business Sector, Canada, 1981-2010</t>
  </si>
  <si>
    <t>Table 4f: ICT Capital Intensity ($ 2002 per hour worked), by Component, Air and Rail Transportation and the Business Sector, Canada, 1981-2010</t>
  </si>
  <si>
    <t>Table 5l: ICT Investment Intensity ($ current per hour worked), by Component, Air and Rail Transportation and the Business Sector, United States, 1981-2010</t>
  </si>
  <si>
    <t>Table 5m: ICT Investment Intensity ($ current per hour worked) relative to the Business Sector, by Component, Air and Rail Transportation, United States, 1981-2010</t>
  </si>
  <si>
    <t>Table 6a: ICT Investment, Chained 2002 dollars ($ millions), Air and Rail Transportation and the Business Sector, United States, 1981-2010</t>
  </si>
  <si>
    <t>Source: Calculated from Table 6a</t>
  </si>
  <si>
    <t>Source: Calculated from Tables 6a and 6b</t>
  </si>
  <si>
    <t>Table 6b: Total Private Non-residential Fixed Investment ($2002 millions), Business Sector, United States, 1981-2010</t>
  </si>
  <si>
    <t>Table 6c: ICT Investment Intensity ($2002 per Worker), Air and Rail Transportation and the Business Sector, United States, 1981-2010</t>
  </si>
  <si>
    <t>Table 6f: ICT Investment Intensity ($ 2002 per hour worked), by Component, Air and Rail Transportation and the Business Sector, United States, 1981-2010</t>
  </si>
  <si>
    <t>Table 7b: Geometric (infinite) End-Year Net ICT Capital Stock, Current Dollars, as a Share of Value Added, Air and Rail Transporation and the Business Sector, United States, 1981-2010</t>
  </si>
  <si>
    <t>Table 7c: Geometric (infinite) End-Year Net ICT Capital Stock, Current Dollars, as a Share of Sector's Total Non-Residential Fixed Capital Stock, Air and Rail Transporation and the Business Sector, United States, 1981-2010</t>
  </si>
  <si>
    <t>Table 7j: ICT Capital Intensity ($ Current per hour worked), by Component, Air and Rail Transportation and the Business Sector, United States, 1981-2010</t>
  </si>
  <si>
    <t>Table 8i: Distribution of ICT Capital Stock (Chained 2002 Dollars) by Component, Air and Rail Transportation and the Business Sector, Canada, 1981-2011</t>
  </si>
  <si>
    <t>Table 8h: ICT Capital Stock, Chained 2002 dollars ($ millions), as a Share of Sector's Total Non-Residential Fixed Investment, Air and Rail Transportation and the Business Sector, United States, 1981-2011</t>
  </si>
  <si>
    <t>Table 6i: Distribution of ICT Investment (Chained 2002 Dollars) by Component, Air and Rail Transportation and the Business Sector, United States, 1981-2011</t>
  </si>
  <si>
    <t>Table 6h: ICT Investment, Chained 2002 dollars ($ millions), as a Share of Sector's Total Non-Residential Fixed Investment, Air and Rail Transportation and the Business Sector, United States, 1981-2011</t>
  </si>
  <si>
    <t>Table 8c: ICT Capital Intensity ($2002 per Worker), Air and Rail Transportation and the Business Sector, United States, 1981-2010</t>
  </si>
  <si>
    <t>Table 8f: ICT Capital Intensity ($ 2002 per hour worked), by Component, Air and Rail Transportation and the Business Sector, United States, 1981-2010</t>
  </si>
  <si>
    <t xml:space="preserve"> Table 1n: Purchasing power parities (United States dollars per Canadian dollar), Machinery and Equipment, 1992-2010</t>
  </si>
  <si>
    <t>Table 1i: ICT Investment Intensity ($ current per worker), by Component Air and Rail Transportation, Canada, 1981-2010</t>
  </si>
  <si>
    <t>Source: Calculated from Tables 1i and 1n</t>
  </si>
  <si>
    <t>Source: Calculated from Tables 1l and 1n</t>
  </si>
  <si>
    <t>Source: Calculated from Tables 2c and 1n</t>
  </si>
  <si>
    <t>Source: Calculated from Tables 2i and 1n</t>
  </si>
  <si>
    <t>Source: Calculated from Tables 3h and 1n</t>
  </si>
  <si>
    <t>Source: Calculated from Tables 3j and 1n</t>
  </si>
  <si>
    <t>Table 5i: ICT Investment Intensity ($ Current per worker), by Component, Air and Rail Transportation, United States, 1981-2010</t>
  </si>
  <si>
    <t>Source: Tables 1o and 5i</t>
  </si>
  <si>
    <t>Source: Tables 2j and 6c</t>
  </si>
  <si>
    <t>Source: Tables 1p and 5l</t>
  </si>
  <si>
    <t>Source: Tables 2k and 6f</t>
  </si>
  <si>
    <t>Source: Tables 3l and 7f</t>
  </si>
  <si>
    <t>Source: Tables 4h and 8c</t>
  </si>
  <si>
    <t>Source: Tables 3m and 7j</t>
  </si>
  <si>
    <t>Source: Tables 4i and 8f</t>
  </si>
  <si>
    <t>Table 1l: ICT Investment Intensity ($ current per hour worked), by Component, Air and Rail Transportation and the Business Sector, Canada, 1981-2010</t>
  </si>
  <si>
    <t xml:space="preserve">Table 1o: ICT Investment Intensity ($US current per worker), Purchasing Power Parity, by Component, Air and Rail Transportation and the Business Sector, Canada, 1992-2010 </t>
  </si>
  <si>
    <t>Source: Calculated from Tables 2a and 1h</t>
  </si>
  <si>
    <t xml:space="preserve">Table 2h: Implicit Price Deflator, ICT Investment, by Component, Air and Rail Transportation and the Business Sector, Canada, 1981-2011 </t>
  </si>
  <si>
    <t>Source: Calculated from Tables 1a and 2a</t>
  </si>
  <si>
    <t>Table 2i: ICT Investment Intensity ($2002 per hour worked), by Component, Air and Rail Transportation and the Business Sector, Canada, 1981-2010</t>
  </si>
  <si>
    <t xml:space="preserve">Table 2j: ICT Investment Intensity, ($US 2002 per worker), Purchasing Power Parity, by Component, Air and Rail Transportation and the Business Sector, Canada, 1992-2010 </t>
  </si>
  <si>
    <t>Table 3b: Geometric (infinite) End-Year Non-Residential Net Capital Stock, Current Dollars ($ millions), Air and Rail Transportation and the Business Sector, Canada, 1981-2011</t>
  </si>
  <si>
    <t>Table 3d: Geometric (infinite) End-Year Net ICT Capital Stock, Current Dollars as a Share of Sector's Total Non-Residential Fixed Capital Stock, Air and Rail Transporation and the Business Sector, Canada, 1981-2011</t>
  </si>
  <si>
    <t xml:space="preserve">Table 3l: ICT Capital Intensity, ($US current per worker), Purchasing Power Parity, by Component, Air and Rail Transportation and the Business Sector, Canada, 1992-2010 </t>
  </si>
  <si>
    <t xml:space="preserve">Table 3m: ICT Capital Intensity, ($US current per hour worked), Purchasing Power Parity, by Component, Air and Rail Transportation and the Business Sector, Canada, 1992-2010 </t>
  </si>
  <si>
    <t xml:space="preserve">Table 1o: ICT Investment Intensity ($US current per hour worked), Purchasing Power Parity, by Component, Air and Rail Transportation and the Business Sector, Canada, 1992-2010 </t>
  </si>
  <si>
    <t xml:space="preserve">Table 2k: ICT Investment Intensity, ($US 2002 per hour worked), Purchasing Power Parity, by Component, Air and Rail Transportation and the Business Sector, Canada, 1992-2010 </t>
  </si>
  <si>
    <t>Table 4a:  Net ICT Capital Stock in Chained 2002 Dollars ($ millions), Geometric (infinite) End-Year, Air and Rail Transportation and the Business Sector, Canada 1981-2011</t>
  </si>
  <si>
    <t xml:space="preserve">Table 4h: ICT Capital Intensity, ($US 2002 per worker), Purchasing Power Parity, by Component, Air and Rail Transportation and the Business Sector, Canada, 1992-2010 </t>
  </si>
  <si>
    <t>http://www.bea.gov/iTable/iTable.cfm?ReqID=5&amp;step=1</t>
  </si>
  <si>
    <t>Table 5k: Hours Worked (Thousands), Air and Rail Transportation and the Business Sector, United States, 1981-2011</t>
  </si>
  <si>
    <t>Absolute Change</t>
  </si>
  <si>
    <t>Table 7a: Current-Cost Net ICT Capital Stock, Current Dollars, ($ millions), Air and Rail Transportation, United States, 1981-2011</t>
  </si>
  <si>
    <t>Table 7d: ICT Capital Stock, Current Dollars, as a Share of Total Business Sector ICT Capital Stock, by Component, Air and Rail Transportation and the business Sector, United States, 1981- 2010</t>
  </si>
  <si>
    <t>Table 7e: Distribution of ICT Capital Stock, Current Dollars, by Component, Air and Rail Transportation and Business Sector, United States 1981-2010</t>
  </si>
  <si>
    <t>Table 7f: Capital Intensity (Capital Stock in $Current per Worker), by Component Air and Rail Transportation and the Business Sector, United States, 1981-2010</t>
  </si>
  <si>
    <t>Table 8a: Net ICT Capital Stock ($2002 millions), Air and Rail Transportation and the Business Sector, United States, 1981-2010</t>
  </si>
  <si>
    <t>Table 8g: ICT Capital Intensity ($2002 per hour worked) relative to the Business Sector, by Component, Air and Rail Transportation, United States, 1981-2010</t>
  </si>
  <si>
    <t>Table 9a: Canada-United States Comparison (US=100.0) of ICT Investment Intensity ($US current per worker), by Component, Air and Rail Transportation and the Business Sector, 1992-2010</t>
  </si>
  <si>
    <t>Table 9b: Canada-United States Comparison (US=100.0) of ICT Investment Intensity ($US 2002 per worker), by Component, Air and Rail Transportation and the Business Sector, 1992-2010</t>
  </si>
  <si>
    <t>Table 9c: Canada-United States Comparison (US=100.0) of ICT Investment Intensity ($US current per hours worked), by Component Air and Rail Transportation and the Business Sector, 1992-2010</t>
  </si>
  <si>
    <t>Table 9d: Canada-United States Comparison (US=100.0) of ICT Investment Intensity ($US 2002 per hours worked), by Component Air and Rail Transportation and the Business Sector, 1992-2010</t>
  </si>
  <si>
    <t>Table 9e: Canada-United States Comparison (US=100.0) of ICT Capital Intensity ($US current per worker), by Component Air and Rail Transportation and the Business Sector, 1992-2010</t>
  </si>
  <si>
    <t>Table 9f: Canada-United States Comparison (US=100.0) of ICT Capital Intensity ($US 2002 per worker), by Component Air and Rail Transportation and the Business Sector, 1992-2010</t>
  </si>
  <si>
    <t>Table 9g: Canada-United States Comparison (US=100.0) of ICT Capital Intensity ($US current per hour worked), by Component Air and Rail Transportation and the Business Sector, 1992-2010</t>
  </si>
  <si>
    <t>Table 9h: Canada-United States Comparison (US=100.0) of ICT Capital Intensity ($US 2002 per hour worked), by Component Air and Rail Transportation and the Business Sector, 1992-2010</t>
  </si>
  <si>
    <t>Source: Calculated from Tables 1a and 1b</t>
  </si>
  <si>
    <t>Source: Calculated from Tables 1a and 1h</t>
  </si>
  <si>
    <t>Source: Calculated from Tables 1a and 1k</t>
  </si>
  <si>
    <t>Source: Calculated from Tables 2a and 1k</t>
  </si>
  <si>
    <t>Source: Calculated from Tables 3a and 1b</t>
  </si>
  <si>
    <t>Source: Calculated from Tables 3a and 3b</t>
  </si>
  <si>
    <t>Source: Calculated from Tables 1a and 3a</t>
  </si>
  <si>
    <t>Source: Calculated from Tables 3a and 1h</t>
  </si>
  <si>
    <t>Source: Calculated from Tables 3a and 1k</t>
  </si>
  <si>
    <t>Source: Calculated from Table 3j</t>
  </si>
  <si>
    <t>Source: Calculated from Tables 4a and 1h</t>
  </si>
  <si>
    <t>Source: Calculated from Tables 3a and 4a</t>
  </si>
  <si>
    <t>Source: Calculated from Tables 4a and 1k</t>
  </si>
  <si>
    <t>Source: Calculated from Tables 5a and 5b</t>
  </si>
  <si>
    <t>Source: Calculated from Tables 5a and 5h</t>
  </si>
  <si>
    <t>Source: Calculated from Tables 5a and 5k</t>
  </si>
  <si>
    <t>Source: Calculated from Table 5l</t>
  </si>
  <si>
    <t>Source: Calculated from Tables 6a and 5h</t>
  </si>
  <si>
    <t>Source: Calculated from Tables 5a and 6a</t>
  </si>
  <si>
    <t>Source: Calculated from Tables 6a and 5k</t>
  </si>
  <si>
    <t>Source: Calculated from Table 6f</t>
  </si>
  <si>
    <t>Source: Calculated from Tables 7a and 5b</t>
  </si>
  <si>
    <t>Source: Calculated from Tables 7a and 5h</t>
  </si>
  <si>
    <t>Source: Calculated from Table 7f</t>
  </si>
  <si>
    <t>Source: Calculated from Tables 7a and 5a</t>
  </si>
  <si>
    <t>Source: Calculated from Tables 7a and 5k</t>
  </si>
  <si>
    <t>Source: Calculated from Table 7j</t>
  </si>
  <si>
    <t>Source: Calculated from Tables 8a and 5h</t>
  </si>
  <si>
    <t>Source: Calculated from Tables 7a and 8a</t>
  </si>
  <si>
    <t>Source: Calculated from Tables 8a and 5k</t>
  </si>
  <si>
    <t>Source: Calculated from Table 8f</t>
  </si>
  <si>
    <t>Source: Calculated from Tables 8a and 8b</t>
  </si>
  <si>
    <t>Source: Calculated from Table 8a</t>
  </si>
  <si>
    <t>Source: Calculated from Table 1l</t>
  </si>
  <si>
    <t>Source: Calculated from Table 2i</t>
  </si>
  <si>
    <t xml:space="preserve">Table 4i: ICT Capital Intensity, ($US 2002 per hour worked), Purchasing Power Parity, by Component, Air and Rail Transportation and the Business Sector, Canada, 1992-2010 </t>
  </si>
  <si>
    <t>Table 1m: ICT Investment Intensity ($ current per hour worked) relative to the Business Sector (Business  Sector=100.0), by Component, Air and Rail Transportation, Canada, 1981-2010</t>
  </si>
  <si>
    <t>Table 2d: ICT Investment Intensity ($2002 per worker) relative to the Business Sector (Business Sector=100.0), Air and Rail Transportation, Canada, 1981-2010</t>
  </si>
  <si>
    <t>Table 2g: ICT Investment Intensity ($ 2002 per hour worked) relative to the Business Sector (Business Sector=100.0), by Component, Air and Rail Transportation, Canada, 1981-2010</t>
  </si>
  <si>
    <t>Table 3k: ICT Capital Intensity ($ current per hour worked) relative to the Business Sector (Business Sector=100.0), by Component, Air and Rail Transportation, Canada, 1981-2010</t>
  </si>
  <si>
    <t>Table 6g: ICT Investment Intensity ($ 2002 per hour worked) relative to the Business Sector (Business Sector=100.0), by Component, Air and Rail Transportation, United States, 1981-2010</t>
  </si>
  <si>
    <t>Table 7g: Capital Intensity ($Current per Worker) Relative to the Business Sector (Business Sector=100.0), by Component, Air and Rail Transportation and the Business Sector, United States, 1981-2010</t>
  </si>
  <si>
    <t>Table 4g: ICT Capital Intensity ($2002 per hour worked) relative to the Business Sector (Business Sector=100.0), by Component, Air and Rail Transportation, Canada, 1981-2010</t>
  </si>
  <si>
    <t>Table 6d: ICT Investment Intensity ($2002 per Worker) relative to the Business Sector (Business Sector=100.0), Air and Rail Transportation, United States, 1981-2010</t>
  </si>
  <si>
    <t>Table 1j: ICT Investment Intensity ($ Current per Worker) relative to the Business Sector (Business Sector=100.0), by Component, Air and Rail Transportation, Canada, 1981-2010</t>
  </si>
  <si>
    <t>Table 3i: ICT Capital Intensity ($ Current per Worker) relative to the Business Sector (Business Sector=100.0), by Component Air and Rail Transportation, Canada, 1981-2010</t>
  </si>
  <si>
    <t>Table 4d: Capital Intensity ($2002 per Worker) relative to the Business Sector (Business Sector=100.0), Air and Rail Transportation, Canada, 1981-2010</t>
  </si>
  <si>
    <t>Table 5j: ICT Capital Intensity ($ Current per Worker) relative to the Business Sector, by Component, Air and Rail Transportation, United States, 1981-2010</t>
  </si>
  <si>
    <t>Table 7k: ICT Capital Intensity ($2002 per Worker) relative to the Business Sector (Business Sector=100.0), by Component, Air and Rail Transportation, United States, 1981-2010</t>
  </si>
  <si>
    <t>Table 8b: Total Private Non-residential Fixed Assets ($ Current millions), Air and Rail Transportation and the Business Sector, United States, 1981-2010</t>
  </si>
  <si>
    <t>Table 8d: ICT Capital Intensity ($2002 per Worker) relative to the Business Sector (Business Sector=100.0), Air and Rail Transportation, United States, 1981-2010</t>
  </si>
  <si>
    <t>Source: BLS Database, Employment, Hours and Earnings-National</t>
  </si>
  <si>
    <t>Table 4j: ICT Capital Stock, 2002 Dollars, as a Share of Sector's Total Non-Residential Fixed Investment, Air and Rail Transportation and the Business Sector, Canada, 1981-2011</t>
  </si>
  <si>
    <t>Table 6j: ICT Investment, 2002 Dollars, as a Share of Sector's Total Non-Residential Fixed Investment, Air and Rail Transportation and the Business Sector, United States, 1981-2010</t>
  </si>
  <si>
    <t>Table 8j: ICT Capital Stock, 2002 Dollars, as a Share of Sector's Total Non-Residential Fixed Investment, Air and Rail Transportation and the Business Sector, United States, 1981-2010</t>
  </si>
  <si>
    <t>Source: Calculated from Tables 4a and 4b</t>
  </si>
  <si>
    <t>Note: The PPP for 2002 was 0.78 $US/$CAN</t>
  </si>
  <si>
    <t>Table 7i: Geometric (infinite) end-year Net Non-Residential Fixed Capital stock, Current Dollars ($ millions), Air and Rail Transportation and the Business Sector, United States, 1981-2010</t>
  </si>
  <si>
    <t>Note: The increase in the implicit price deflator for both the air and rail transportation sectors between 1981 and 2010 in spite of a decrease in the overall business sector appears inconsistent. This table has been checked thoroughly. The data is as it was upon being recieved from Statistics Canada.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</si>
</sst>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0.0"/>
    <numFmt numFmtId="167" formatCode="#0.0"/>
    <numFmt numFmtId="168" formatCode="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6" fontId="2" fillId="0" borderId="0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7" fontId="2" fillId="0" borderId="8" xfId="1" applyNumberFormat="1" applyFont="1" applyBorder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10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7" fontId="2" fillId="0" borderId="5" xfId="1" applyNumberFormat="1" applyFont="1" applyBorder="1" applyAlignment="1">
      <alignment horizontal="center" vertical="center"/>
    </xf>
    <xf numFmtId="37" fontId="2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6" fontId="2" fillId="0" borderId="9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6" fontId="2" fillId="0" borderId="11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2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Font="1" applyBorder="1" applyAlignment="1"/>
    <xf numFmtId="166" fontId="2" fillId="0" borderId="5" xfId="1" applyNumberFormat="1" applyFont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37" fontId="2" fillId="0" borderId="5" xfId="1" applyNumberFormat="1" applyFont="1" applyFill="1" applyBorder="1" applyAlignment="1">
      <alignment horizontal="center" vertical="center"/>
    </xf>
    <xf numFmtId="37" fontId="2" fillId="0" borderId="7" xfId="1" applyNumberFormat="1" applyFont="1" applyFill="1" applyBorder="1" applyAlignment="1">
      <alignment horizontal="center" vertical="center"/>
    </xf>
    <xf numFmtId="37" fontId="2" fillId="0" borderId="6" xfId="1" applyNumberFormat="1" applyFont="1" applyFill="1" applyBorder="1" applyAlignment="1">
      <alignment horizontal="center" vertical="center"/>
    </xf>
    <xf numFmtId="37" fontId="2" fillId="0" borderId="8" xfId="1" applyNumberFormat="1" applyFont="1" applyFill="1" applyBorder="1" applyAlignment="1">
      <alignment horizontal="center" vertical="center"/>
    </xf>
    <xf numFmtId="37" fontId="2" fillId="0" borderId="9" xfId="1" applyNumberFormat="1" applyFont="1" applyFill="1" applyBorder="1" applyAlignment="1">
      <alignment horizontal="center"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2" fillId="0" borderId="10" xfId="1" applyNumberFormat="1" applyFont="1" applyFill="1" applyBorder="1" applyAlignment="1">
      <alignment horizontal="center" vertical="center"/>
    </xf>
    <xf numFmtId="37" fontId="2" fillId="0" borderId="11" xfId="1" applyNumberFormat="1" applyFont="1" applyFill="1" applyBorder="1" applyAlignment="1">
      <alignment horizontal="center" vertical="center"/>
    </xf>
    <xf numFmtId="37" fontId="2" fillId="0" borderId="1" xfId="1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7" fontId="2" fillId="0" borderId="7" xfId="0" applyNumberFormat="1" applyFont="1" applyBorder="1" applyAlignment="1">
      <alignment horizontal="center"/>
    </xf>
    <xf numFmtId="37" fontId="2" fillId="0" borderId="9" xfId="0" applyNumberFormat="1" applyFont="1" applyBorder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10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166" fontId="2" fillId="0" borderId="7" xfId="0" applyNumberFormat="1" applyFont="1" applyBorder="1"/>
    <xf numFmtId="166" fontId="2" fillId="0" borderId="0" xfId="0" applyNumberFormat="1" applyFont="1" applyBorder="1"/>
    <xf numFmtId="166" fontId="2" fillId="0" borderId="9" xfId="0" applyNumberFormat="1" applyFont="1" applyBorder="1"/>
    <xf numFmtId="166" fontId="2" fillId="0" borderId="11" xfId="0" applyNumberFormat="1" applyFont="1" applyBorder="1"/>
    <xf numFmtId="0" fontId="2" fillId="0" borderId="0" xfId="0" applyNumberFormat="1" applyFont="1" applyFill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2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2" fillId="0" borderId="11" xfId="0" applyFont="1" applyBorder="1"/>
    <xf numFmtId="0" fontId="7" fillId="0" borderId="0" xfId="2" applyAlignment="1" applyProtection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Border="1"/>
    <xf numFmtId="167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6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0" xfId="0" applyNumberFormat="1" applyFont="1"/>
    <xf numFmtId="3" fontId="2" fillId="0" borderId="0" xfId="0" applyNumberFormat="1" applyFont="1"/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37" fontId="2" fillId="0" borderId="7" xfId="1" applyNumberFormat="1" applyFont="1" applyBorder="1" applyAlignment="1">
      <alignment horizontal="center"/>
    </xf>
    <xf numFmtId="37" fontId="2" fillId="0" borderId="9" xfId="1" applyNumberFormat="1" applyFont="1" applyBorder="1" applyAlignment="1">
      <alignment horizontal="center"/>
    </xf>
    <xf numFmtId="37" fontId="9" fillId="0" borderId="9" xfId="1" applyNumberFormat="1" applyFont="1" applyBorder="1" applyAlignment="1">
      <alignment horizontal="center"/>
    </xf>
    <xf numFmtId="37" fontId="9" fillId="0" borderId="11" xfId="1" applyNumberFormat="1" applyFont="1" applyBorder="1" applyAlignment="1">
      <alignment horizontal="center"/>
    </xf>
    <xf numFmtId="168" fontId="9" fillId="0" borderId="0" xfId="0" applyNumberFormat="1" applyFont="1" applyAlignment="1">
      <alignment horizontal="right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9" xfId="0" applyFont="1" applyBorder="1"/>
    <xf numFmtId="2" fontId="2" fillId="0" borderId="13" xfId="0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37" fontId="2" fillId="0" borderId="12" xfId="1" applyNumberFormat="1" applyFont="1" applyBorder="1" applyAlignment="1">
      <alignment horizontal="center"/>
    </xf>
    <xf numFmtId="37" fontId="2" fillId="0" borderId="13" xfId="1" applyNumberFormat="1" applyFont="1" applyBorder="1" applyAlignment="1">
      <alignment horizontal="center"/>
    </xf>
    <xf numFmtId="37" fontId="6" fillId="0" borderId="13" xfId="1" applyNumberFormat="1" applyFont="1" applyBorder="1" applyAlignment="1">
      <alignment horizontal="center"/>
    </xf>
    <xf numFmtId="37" fontId="9" fillId="0" borderId="13" xfId="1" applyNumberFormat="1" applyFont="1" applyBorder="1" applyAlignment="1">
      <alignment horizontal="center"/>
    </xf>
    <xf numFmtId="37" fontId="9" fillId="0" borderId="14" xfId="1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16885389326336"/>
          <c:y val="5.1400554097404488E-2"/>
          <c:w val="0.82060892388451478"/>
          <c:h val="0.77611512102653835"/>
        </c:manualLayout>
      </c:layout>
      <c:barChart>
        <c:barDir val="col"/>
        <c:grouping val="clustered"/>
        <c:ser>
          <c:idx val="0"/>
          <c:order val="0"/>
          <c:cat>
            <c:strRef>
              <c:f>'1a'!$B$56:$D$56</c:f>
              <c:strCache>
                <c:ptCount val="3"/>
                <c:pt idx="0">
                  <c:v>Telecommunication Equipment</c:v>
                </c:pt>
                <c:pt idx="1">
                  <c:v>Computers</c:v>
                </c:pt>
                <c:pt idx="2">
                  <c:v>Software</c:v>
                </c:pt>
              </c:strCache>
            </c:strRef>
          </c:cat>
          <c:val>
            <c:numRef>
              <c:f>'1a'!$B$57:$D$57</c:f>
              <c:numCache>
                <c:formatCode>#,##0.0</c:formatCode>
                <c:ptCount val="3"/>
                <c:pt idx="0">
                  <c:v>22.751999999999999</c:v>
                </c:pt>
                <c:pt idx="1">
                  <c:v>68.16</c:v>
                </c:pt>
                <c:pt idx="2">
                  <c:v>141.98699999999999</c:v>
                </c:pt>
              </c:numCache>
            </c:numRef>
          </c:val>
        </c:ser>
        <c:axId val="161815936"/>
        <c:axId val="186463360"/>
      </c:barChart>
      <c:catAx>
        <c:axId val="161815936"/>
        <c:scaling>
          <c:orientation val="minMax"/>
        </c:scaling>
        <c:axPos val="b"/>
        <c:tickLblPos val="nextTo"/>
        <c:crossAx val="186463360"/>
        <c:crosses val="autoZero"/>
        <c:auto val="1"/>
        <c:lblAlgn val="ctr"/>
        <c:lblOffset val="100"/>
      </c:catAx>
      <c:valAx>
        <c:axId val="186463360"/>
        <c:scaling>
          <c:orientation val="minMax"/>
        </c:scaling>
        <c:axPos val="l"/>
        <c:majorGridlines/>
        <c:numFmt formatCode="#,##0.0" sourceLinked="1"/>
        <c:tickLblPos val="nextTo"/>
        <c:crossAx val="1618159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16885389326336"/>
          <c:y val="5.1400554097404488E-2"/>
          <c:w val="0.84838670166229202"/>
          <c:h val="0.77611512102653835"/>
        </c:manualLayout>
      </c:layout>
      <c:barChart>
        <c:barDir val="col"/>
        <c:grouping val="clustered"/>
        <c:ser>
          <c:idx val="0"/>
          <c:order val="0"/>
          <c:cat>
            <c:strRef>
              <c:f>'1a'!$B$72:$D$72</c:f>
              <c:strCache>
                <c:ptCount val="3"/>
                <c:pt idx="0">
                  <c:v>Telecommunication Equipment</c:v>
                </c:pt>
                <c:pt idx="1">
                  <c:v>Computers</c:v>
                </c:pt>
                <c:pt idx="2">
                  <c:v>Software</c:v>
                </c:pt>
              </c:strCache>
            </c:strRef>
          </c:cat>
          <c:val>
            <c:numRef>
              <c:f>'1a'!$B$73:$D$73</c:f>
              <c:numCache>
                <c:formatCode>#,##0.0</c:formatCode>
                <c:ptCount val="3"/>
                <c:pt idx="0">
                  <c:v>6.0529999999999999</c:v>
                </c:pt>
                <c:pt idx="1">
                  <c:v>29.202000000000002</c:v>
                </c:pt>
                <c:pt idx="2">
                  <c:v>161.72499999999999</c:v>
                </c:pt>
              </c:numCache>
            </c:numRef>
          </c:val>
        </c:ser>
        <c:axId val="186494976"/>
        <c:axId val="186496512"/>
      </c:barChart>
      <c:catAx>
        <c:axId val="186494976"/>
        <c:scaling>
          <c:orientation val="minMax"/>
        </c:scaling>
        <c:axPos val="b"/>
        <c:tickLblPos val="nextTo"/>
        <c:crossAx val="186496512"/>
        <c:crosses val="autoZero"/>
        <c:auto val="1"/>
        <c:lblAlgn val="ctr"/>
        <c:lblOffset val="100"/>
      </c:catAx>
      <c:valAx>
        <c:axId val="186496512"/>
        <c:scaling>
          <c:orientation val="minMax"/>
        </c:scaling>
        <c:axPos val="l"/>
        <c:majorGridlines/>
        <c:numFmt formatCode="#,##0.0" sourceLinked="1"/>
        <c:tickLblPos val="nextTo"/>
        <c:crossAx val="1864949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'1a'!$B$5</c:f>
              <c:strCache>
                <c:ptCount val="1"/>
                <c:pt idx="0">
                  <c:v>Computers</c:v>
                </c:pt>
              </c:strCache>
            </c:strRef>
          </c:tx>
          <c:marker>
            <c:symbol val="none"/>
          </c:marker>
          <c:cat>
            <c:numRef>
              <c:f>'1a'!$A$21:$A$36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'1a'!$B$21:$B$36</c:f>
              <c:numCache>
                <c:formatCode>#,##0.0</c:formatCode>
                <c:ptCount val="16"/>
                <c:pt idx="0">
                  <c:v>21.001999999999999</c:v>
                </c:pt>
                <c:pt idx="1">
                  <c:v>91.394000000000005</c:v>
                </c:pt>
                <c:pt idx="2">
                  <c:v>121.592</c:v>
                </c:pt>
                <c:pt idx="3">
                  <c:v>95.703000000000003</c:v>
                </c:pt>
                <c:pt idx="4">
                  <c:v>20.7</c:v>
                </c:pt>
                <c:pt idx="5">
                  <c:v>3.6589999999999998</c:v>
                </c:pt>
                <c:pt idx="6">
                  <c:v>34.252000000000002</c:v>
                </c:pt>
                <c:pt idx="7">
                  <c:v>69.183999999999997</c:v>
                </c:pt>
                <c:pt idx="8">
                  <c:v>71.411000000000001</c:v>
                </c:pt>
                <c:pt idx="9">
                  <c:v>91.043000000000006</c:v>
                </c:pt>
                <c:pt idx="10">
                  <c:v>69.179000000000002</c:v>
                </c:pt>
                <c:pt idx="11">
                  <c:v>145.626</c:v>
                </c:pt>
                <c:pt idx="12">
                  <c:v>51.389000000000003</c:v>
                </c:pt>
                <c:pt idx="13">
                  <c:v>71.721000000000004</c:v>
                </c:pt>
                <c:pt idx="14">
                  <c:v>66.394999999999996</c:v>
                </c:pt>
                <c:pt idx="15">
                  <c:v>68.16</c:v>
                </c:pt>
              </c:numCache>
            </c:numRef>
          </c:val>
        </c:ser>
        <c:ser>
          <c:idx val="1"/>
          <c:order val="1"/>
          <c:tx>
            <c:strRef>
              <c:f>'1a'!$C$5</c:f>
              <c:strCache>
                <c:ptCount val="1"/>
                <c:pt idx="0">
                  <c:v>Software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'1a'!$A$21:$A$36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'1a'!$C$21:$C$36</c:f>
              <c:numCache>
                <c:formatCode>#,##0.0</c:formatCode>
                <c:ptCount val="16"/>
                <c:pt idx="0">
                  <c:v>51.381</c:v>
                </c:pt>
                <c:pt idx="1">
                  <c:v>111.53100000000001</c:v>
                </c:pt>
                <c:pt idx="2">
                  <c:v>132.434</c:v>
                </c:pt>
                <c:pt idx="3">
                  <c:v>200.87899999999999</c:v>
                </c:pt>
                <c:pt idx="4">
                  <c:v>233.75899999999999</c:v>
                </c:pt>
                <c:pt idx="5">
                  <c:v>171.61</c:v>
                </c:pt>
                <c:pt idx="6">
                  <c:v>116.842</c:v>
                </c:pt>
                <c:pt idx="7">
                  <c:v>107.646</c:v>
                </c:pt>
                <c:pt idx="8">
                  <c:v>134.02500000000001</c:v>
                </c:pt>
                <c:pt idx="9">
                  <c:v>198.899</c:v>
                </c:pt>
                <c:pt idx="10">
                  <c:v>159.90799999999999</c:v>
                </c:pt>
                <c:pt idx="11">
                  <c:v>171.92</c:v>
                </c:pt>
                <c:pt idx="12">
                  <c:v>172.88399999999999</c:v>
                </c:pt>
                <c:pt idx="13">
                  <c:v>177.006</c:v>
                </c:pt>
                <c:pt idx="14">
                  <c:v>138.554</c:v>
                </c:pt>
                <c:pt idx="15">
                  <c:v>141.98699999999999</c:v>
                </c:pt>
              </c:numCache>
            </c:numRef>
          </c:val>
        </c:ser>
        <c:ser>
          <c:idx val="2"/>
          <c:order val="2"/>
          <c:tx>
            <c:strRef>
              <c:f>'1a'!$D$5</c:f>
              <c:strCache>
                <c:ptCount val="1"/>
                <c:pt idx="0">
                  <c:v>Telecommunication Equipment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'1a'!$A$21:$A$36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'1a'!$D$21:$D$36</c:f>
              <c:numCache>
                <c:formatCode>#,##0.0</c:formatCode>
                <c:ptCount val="16"/>
                <c:pt idx="0">
                  <c:v>3.996</c:v>
                </c:pt>
                <c:pt idx="1">
                  <c:v>24.754000000000001</c:v>
                </c:pt>
                <c:pt idx="2">
                  <c:v>6.4459999999999997</c:v>
                </c:pt>
                <c:pt idx="3">
                  <c:v>8.1739999999999995</c:v>
                </c:pt>
                <c:pt idx="4">
                  <c:v>2.9569999999999999</c:v>
                </c:pt>
                <c:pt idx="5">
                  <c:v>1.2E-2</c:v>
                </c:pt>
                <c:pt idx="6">
                  <c:v>3.669</c:v>
                </c:pt>
                <c:pt idx="7">
                  <c:v>12.568</c:v>
                </c:pt>
                <c:pt idx="8">
                  <c:v>12.608000000000001</c:v>
                </c:pt>
                <c:pt idx="9">
                  <c:v>12.374000000000001</c:v>
                </c:pt>
                <c:pt idx="10">
                  <c:v>15.606</c:v>
                </c:pt>
                <c:pt idx="11">
                  <c:v>41.564</c:v>
                </c:pt>
                <c:pt idx="12">
                  <c:v>11.266999999999999</c:v>
                </c:pt>
                <c:pt idx="13">
                  <c:v>18.591999999999999</c:v>
                </c:pt>
                <c:pt idx="14">
                  <c:v>21.329000000000001</c:v>
                </c:pt>
                <c:pt idx="15">
                  <c:v>22.751999999999999</c:v>
                </c:pt>
              </c:numCache>
            </c:numRef>
          </c:val>
        </c:ser>
        <c:ser>
          <c:idx val="3"/>
          <c:order val="3"/>
          <c:tx>
            <c:strRef>
              <c:f>'1a'!$E$5</c:f>
              <c:strCache>
                <c:ptCount val="1"/>
                <c:pt idx="0">
                  <c:v>Total ICT Investment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'1a'!$A$21:$A$36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'1a'!$E$21:$E$36</c:f>
              <c:numCache>
                <c:formatCode>#,##0.0</c:formatCode>
                <c:ptCount val="16"/>
                <c:pt idx="0">
                  <c:v>76.378999999999991</c:v>
                </c:pt>
                <c:pt idx="1">
                  <c:v>227.679</c:v>
                </c:pt>
                <c:pt idx="2">
                  <c:v>260.47200000000004</c:v>
                </c:pt>
                <c:pt idx="3">
                  <c:v>304.75599999999997</c:v>
                </c:pt>
                <c:pt idx="4">
                  <c:v>257.416</c:v>
                </c:pt>
                <c:pt idx="5">
                  <c:v>175.28100000000001</c:v>
                </c:pt>
                <c:pt idx="6">
                  <c:v>154.76300000000001</c:v>
                </c:pt>
                <c:pt idx="7">
                  <c:v>189.398</c:v>
                </c:pt>
                <c:pt idx="8">
                  <c:v>218.04400000000001</c:v>
                </c:pt>
                <c:pt idx="9">
                  <c:v>302.31600000000003</c:v>
                </c:pt>
                <c:pt idx="10">
                  <c:v>244.69299999999998</c:v>
                </c:pt>
                <c:pt idx="11">
                  <c:v>359.11</c:v>
                </c:pt>
                <c:pt idx="12">
                  <c:v>235.54</c:v>
                </c:pt>
                <c:pt idx="13">
                  <c:v>267.31900000000002</c:v>
                </c:pt>
                <c:pt idx="14">
                  <c:v>226.27800000000002</c:v>
                </c:pt>
                <c:pt idx="15">
                  <c:v>232.899</c:v>
                </c:pt>
              </c:numCache>
            </c:numRef>
          </c:val>
        </c:ser>
        <c:marker val="1"/>
        <c:axId val="186531840"/>
        <c:axId val="186533376"/>
      </c:lineChart>
      <c:catAx>
        <c:axId val="1865318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533376"/>
        <c:crosses val="autoZero"/>
        <c:auto val="1"/>
        <c:lblAlgn val="ctr"/>
        <c:lblOffset val="100"/>
      </c:catAx>
      <c:valAx>
        <c:axId val="186533376"/>
        <c:scaling>
          <c:orientation val="minMax"/>
        </c:scaling>
        <c:axPos val="l"/>
        <c:majorGridlines/>
        <c:numFmt formatCode="#,##0.0" sourceLinked="1"/>
        <c:tickLblPos val="nextTo"/>
        <c:crossAx val="186531840"/>
        <c:crosses val="autoZero"/>
        <c:crossBetween val="between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'1a'!$F$5</c:f>
              <c:strCache>
                <c:ptCount val="1"/>
                <c:pt idx="0">
                  <c:v>Computers</c:v>
                </c:pt>
              </c:strCache>
            </c:strRef>
          </c:tx>
          <c:marker>
            <c:symbol val="none"/>
          </c:marker>
          <c:cat>
            <c:numRef>
              <c:f>'1a'!$A$22:$A$36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'1a'!$F$22:$F$36</c:f>
              <c:numCache>
                <c:formatCode>#,##0.0</c:formatCode>
                <c:ptCount val="15"/>
                <c:pt idx="0">
                  <c:v>74.356999999999999</c:v>
                </c:pt>
                <c:pt idx="1">
                  <c:v>190.375</c:v>
                </c:pt>
                <c:pt idx="2">
                  <c:v>23.271999999999998</c:v>
                </c:pt>
                <c:pt idx="3">
                  <c:v>47.241</c:v>
                </c:pt>
                <c:pt idx="4">
                  <c:v>0.18099999999999999</c:v>
                </c:pt>
                <c:pt idx="5">
                  <c:v>2.5779999999999998</c:v>
                </c:pt>
                <c:pt idx="6">
                  <c:v>16.91</c:v>
                </c:pt>
                <c:pt idx="7">
                  <c:v>17.032</c:v>
                </c:pt>
                <c:pt idx="8">
                  <c:v>25.661999999999999</c:v>
                </c:pt>
                <c:pt idx="9">
                  <c:v>24.498000000000001</c:v>
                </c:pt>
                <c:pt idx="10">
                  <c:v>10.367000000000001</c:v>
                </c:pt>
                <c:pt idx="11">
                  <c:v>11.021000000000001</c:v>
                </c:pt>
                <c:pt idx="12">
                  <c:v>16.669</c:v>
                </c:pt>
                <c:pt idx="13">
                  <c:v>24.879000000000001</c:v>
                </c:pt>
                <c:pt idx="14">
                  <c:v>29.202000000000002</c:v>
                </c:pt>
              </c:numCache>
            </c:numRef>
          </c:val>
        </c:ser>
        <c:ser>
          <c:idx val="1"/>
          <c:order val="1"/>
          <c:tx>
            <c:strRef>
              <c:f>'1a'!$G$5</c:f>
              <c:strCache>
                <c:ptCount val="1"/>
                <c:pt idx="0">
                  <c:v>Software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'1a'!$A$22:$A$36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'1a'!$G$22:$G$36</c:f>
              <c:numCache>
                <c:formatCode>#,##0.0</c:formatCode>
                <c:ptCount val="15"/>
                <c:pt idx="0">
                  <c:v>77.182000000000002</c:v>
                </c:pt>
                <c:pt idx="1">
                  <c:v>110.875</c:v>
                </c:pt>
                <c:pt idx="2">
                  <c:v>50.97</c:v>
                </c:pt>
                <c:pt idx="3">
                  <c:v>102.598</c:v>
                </c:pt>
                <c:pt idx="4">
                  <c:v>73.8</c:v>
                </c:pt>
                <c:pt idx="5">
                  <c:v>59.389000000000003</c:v>
                </c:pt>
                <c:pt idx="6">
                  <c:v>65.731999999999999</c:v>
                </c:pt>
                <c:pt idx="7">
                  <c:v>118.119</c:v>
                </c:pt>
                <c:pt idx="8">
                  <c:v>151.39500000000001</c:v>
                </c:pt>
                <c:pt idx="9">
                  <c:v>127.32299999999999</c:v>
                </c:pt>
                <c:pt idx="10">
                  <c:v>156.81299999999999</c:v>
                </c:pt>
                <c:pt idx="11">
                  <c:v>153.04400000000001</c:v>
                </c:pt>
                <c:pt idx="12">
                  <c:v>150.744</c:v>
                </c:pt>
                <c:pt idx="13">
                  <c:v>157.48099999999999</c:v>
                </c:pt>
                <c:pt idx="14">
                  <c:v>161.72499999999999</c:v>
                </c:pt>
              </c:numCache>
            </c:numRef>
          </c:val>
        </c:ser>
        <c:ser>
          <c:idx val="2"/>
          <c:order val="2"/>
          <c:tx>
            <c:strRef>
              <c:f>'1a'!$H$5</c:f>
              <c:strCache>
                <c:ptCount val="1"/>
                <c:pt idx="0">
                  <c:v>Telecommunication Equipment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'1a'!$A$22:$A$36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'1a'!$H$22:$H$36</c:f>
              <c:numCache>
                <c:formatCode>#,##0.0</c:formatCode>
                <c:ptCount val="15"/>
                <c:pt idx="0">
                  <c:v>1.1919999999999999</c:v>
                </c:pt>
                <c:pt idx="1">
                  <c:v>7.6479999999999997</c:v>
                </c:pt>
                <c:pt idx="2">
                  <c:v>0.70399999999999996</c:v>
                </c:pt>
                <c:pt idx="3">
                  <c:v>13.494999999999999</c:v>
                </c:pt>
                <c:pt idx="4">
                  <c:v>0.72399999999999998</c:v>
                </c:pt>
                <c:pt idx="5">
                  <c:v>2.782</c:v>
                </c:pt>
                <c:pt idx="6">
                  <c:v>3.5459999999999998</c:v>
                </c:pt>
                <c:pt idx="7">
                  <c:v>4.2149999999999999</c:v>
                </c:pt>
                <c:pt idx="8">
                  <c:v>8.3759999999999994</c:v>
                </c:pt>
                <c:pt idx="9">
                  <c:v>7.2519999999999998</c:v>
                </c:pt>
                <c:pt idx="10">
                  <c:v>3.8050000000000002</c:v>
                </c:pt>
                <c:pt idx="11">
                  <c:v>5.4740000000000002</c:v>
                </c:pt>
                <c:pt idx="12">
                  <c:v>2.8180000000000001</c:v>
                </c:pt>
                <c:pt idx="13">
                  <c:v>5.2320000000000002</c:v>
                </c:pt>
                <c:pt idx="14">
                  <c:v>6.0529999999999999</c:v>
                </c:pt>
              </c:numCache>
            </c:numRef>
          </c:val>
        </c:ser>
        <c:ser>
          <c:idx val="3"/>
          <c:order val="3"/>
          <c:tx>
            <c:strRef>
              <c:f>'1a'!$I$5</c:f>
              <c:strCache>
                <c:ptCount val="1"/>
                <c:pt idx="0">
                  <c:v>Total ICT Investment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'1a'!$A$22:$A$36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'1a'!$I$22:$I$36</c:f>
              <c:numCache>
                <c:formatCode>#,##0.0</c:formatCode>
                <c:ptCount val="15"/>
                <c:pt idx="0">
                  <c:v>152.73099999999999</c:v>
                </c:pt>
                <c:pt idx="1">
                  <c:v>308.89800000000002</c:v>
                </c:pt>
                <c:pt idx="2">
                  <c:v>74.945999999999984</c:v>
                </c:pt>
                <c:pt idx="3">
                  <c:v>163.334</c:v>
                </c:pt>
                <c:pt idx="4">
                  <c:v>74.704999999999998</c:v>
                </c:pt>
                <c:pt idx="5">
                  <c:v>64.749000000000009</c:v>
                </c:pt>
                <c:pt idx="6">
                  <c:v>86.188000000000002</c:v>
                </c:pt>
                <c:pt idx="7">
                  <c:v>139.36600000000001</c:v>
                </c:pt>
                <c:pt idx="8">
                  <c:v>185.43300000000002</c:v>
                </c:pt>
                <c:pt idx="9">
                  <c:v>159.07300000000001</c:v>
                </c:pt>
                <c:pt idx="10">
                  <c:v>170.98499999999999</c:v>
                </c:pt>
                <c:pt idx="11">
                  <c:v>169.53899999999999</c:v>
                </c:pt>
                <c:pt idx="12">
                  <c:v>170.23100000000002</c:v>
                </c:pt>
                <c:pt idx="13">
                  <c:v>187.59199999999998</c:v>
                </c:pt>
                <c:pt idx="14">
                  <c:v>196.98</c:v>
                </c:pt>
              </c:numCache>
            </c:numRef>
          </c:val>
        </c:ser>
        <c:marker val="1"/>
        <c:axId val="186558336"/>
        <c:axId val="186559872"/>
      </c:lineChart>
      <c:catAx>
        <c:axId val="186558336"/>
        <c:scaling>
          <c:orientation val="minMax"/>
        </c:scaling>
        <c:axPos val="b"/>
        <c:numFmt formatCode="General" sourceLinked="1"/>
        <c:tickLblPos val="nextTo"/>
        <c:crossAx val="186559872"/>
        <c:crosses val="autoZero"/>
        <c:auto val="1"/>
        <c:lblAlgn val="ctr"/>
        <c:lblOffset val="100"/>
      </c:catAx>
      <c:valAx>
        <c:axId val="186559872"/>
        <c:scaling>
          <c:orientation val="minMax"/>
        </c:scaling>
        <c:axPos val="l"/>
        <c:majorGridlines/>
        <c:numFmt formatCode="#,##0.0" sourceLinked="1"/>
        <c:tickLblPos val="nextTo"/>
        <c:crossAx val="186558336"/>
        <c:crosses val="autoZero"/>
        <c:crossBetween val="between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'1a'!$D$109:$G$109</c:f>
              <c:strCache>
                <c:ptCount val="4"/>
                <c:pt idx="0">
                  <c:v>Telecommunication Equipment</c:v>
                </c:pt>
                <c:pt idx="1">
                  <c:v>Computers</c:v>
                </c:pt>
                <c:pt idx="2">
                  <c:v>Total ICT Investment</c:v>
                </c:pt>
                <c:pt idx="3">
                  <c:v>Software</c:v>
                </c:pt>
              </c:strCache>
            </c:strRef>
          </c:cat>
          <c:val>
            <c:numRef>
              <c:f>'1a'!$D$110:$G$110</c:f>
              <c:numCache>
                <c:formatCode>General</c:formatCode>
                <c:ptCount val="4"/>
                <c:pt idx="0">
                  <c:v>0.33534275649623418</c:v>
                </c:pt>
                <c:pt idx="1">
                  <c:v>0.62996201373420702</c:v>
                </c:pt>
                <c:pt idx="2">
                  <c:v>0.68149537523372561</c:v>
                </c:pt>
                <c:pt idx="3">
                  <c:v>0.85687645968992709</c:v>
                </c:pt>
              </c:numCache>
            </c:numRef>
          </c:val>
        </c:ser>
        <c:ser>
          <c:idx val="1"/>
          <c:order val="1"/>
          <c:cat>
            <c:strRef>
              <c:f>'1a'!$D$109:$G$109</c:f>
              <c:strCache>
                <c:ptCount val="4"/>
                <c:pt idx="0">
                  <c:v>Telecommunication Equipment</c:v>
                </c:pt>
                <c:pt idx="1">
                  <c:v>Computers</c:v>
                </c:pt>
                <c:pt idx="2">
                  <c:v>Total ICT Investment</c:v>
                </c:pt>
                <c:pt idx="3">
                  <c:v>Software</c:v>
                </c:pt>
              </c:strCache>
            </c:strRef>
          </c:cat>
          <c:val>
            <c:numRef>
              <c:f>'1a'!$D$111:$G$111</c:f>
              <c:numCache>
                <c:formatCode>General</c:formatCode>
                <c:ptCount val="4"/>
                <c:pt idx="0">
                  <c:v>8.9215440623756387E-2</c:v>
                </c:pt>
                <c:pt idx="1">
                  <c:v>0.26989657753911844</c:v>
                </c:pt>
                <c:pt idx="2">
                  <c:v>0.57639130701952024</c:v>
                </c:pt>
                <c:pt idx="3">
                  <c:v>0.97599319263984363</c:v>
                </c:pt>
              </c:numCache>
            </c:numRef>
          </c:val>
        </c:ser>
        <c:axId val="186604928"/>
        <c:axId val="186619008"/>
      </c:barChart>
      <c:catAx>
        <c:axId val="186604928"/>
        <c:scaling>
          <c:orientation val="minMax"/>
        </c:scaling>
        <c:axPos val="b"/>
        <c:tickLblPos val="nextTo"/>
        <c:crossAx val="186619008"/>
        <c:crosses val="autoZero"/>
        <c:auto val="1"/>
        <c:lblAlgn val="ctr"/>
        <c:lblOffset val="100"/>
      </c:catAx>
      <c:valAx>
        <c:axId val="186619008"/>
        <c:scaling>
          <c:orientation val="minMax"/>
        </c:scaling>
        <c:axPos val="l"/>
        <c:majorGridlines/>
        <c:numFmt formatCode="General" sourceLinked="1"/>
        <c:tickLblPos val="nextTo"/>
        <c:crossAx val="186604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'1a'!$A$6:$A$36</c:f>
              <c:numCache>
                <c:formatCode>General</c:formatCode>
                <c:ptCount val="3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</c:numCache>
            </c:numRef>
          </c:cat>
          <c:val>
            <c:numRef>
              <c:f>'1a'!$E$6:$E$36</c:f>
              <c:numCache>
                <c:formatCode>#,##0.0</c:formatCode>
                <c:ptCount val="31"/>
                <c:pt idx="0">
                  <c:v>42.45</c:v>
                </c:pt>
                <c:pt idx="1">
                  <c:v>20.538</c:v>
                </c:pt>
                <c:pt idx="2">
                  <c:v>36.469000000000001</c:v>
                </c:pt>
                <c:pt idx="3">
                  <c:v>52.895000000000003</c:v>
                </c:pt>
                <c:pt idx="4">
                  <c:v>93.722000000000008</c:v>
                </c:pt>
                <c:pt idx="5">
                  <c:v>74.557000000000002</c:v>
                </c:pt>
                <c:pt idx="6">
                  <c:v>39.628</c:v>
                </c:pt>
                <c:pt idx="7">
                  <c:v>79.257999999999996</c:v>
                </c:pt>
                <c:pt idx="8">
                  <c:v>83.179000000000002</c:v>
                </c:pt>
                <c:pt idx="9">
                  <c:v>62.616</c:v>
                </c:pt>
                <c:pt idx="10">
                  <c:v>102.35300000000001</c:v>
                </c:pt>
                <c:pt idx="11">
                  <c:v>0</c:v>
                </c:pt>
                <c:pt idx="12">
                  <c:v>0</c:v>
                </c:pt>
                <c:pt idx="13">
                  <c:v>42.848000000000006</c:v>
                </c:pt>
                <c:pt idx="14">
                  <c:v>0</c:v>
                </c:pt>
                <c:pt idx="15">
                  <c:v>76.378999999999991</c:v>
                </c:pt>
                <c:pt idx="16">
                  <c:v>227.679</c:v>
                </c:pt>
                <c:pt idx="17">
                  <c:v>260.47200000000004</c:v>
                </c:pt>
                <c:pt idx="18">
                  <c:v>304.75599999999997</c:v>
                </c:pt>
                <c:pt idx="19">
                  <c:v>257.416</c:v>
                </c:pt>
                <c:pt idx="20">
                  <c:v>175.28100000000001</c:v>
                </c:pt>
                <c:pt idx="21">
                  <c:v>154.76300000000001</c:v>
                </c:pt>
                <c:pt idx="22">
                  <c:v>189.398</c:v>
                </c:pt>
                <c:pt idx="23">
                  <c:v>218.04400000000001</c:v>
                </c:pt>
                <c:pt idx="24">
                  <c:v>302.31600000000003</c:v>
                </c:pt>
                <c:pt idx="25">
                  <c:v>244.69299999999998</c:v>
                </c:pt>
                <c:pt idx="26">
                  <c:v>359.11</c:v>
                </c:pt>
                <c:pt idx="27">
                  <c:v>235.54</c:v>
                </c:pt>
                <c:pt idx="28">
                  <c:v>267.31900000000002</c:v>
                </c:pt>
                <c:pt idx="29">
                  <c:v>226.27800000000002</c:v>
                </c:pt>
                <c:pt idx="30">
                  <c:v>232.899</c:v>
                </c:pt>
              </c:numCache>
            </c:numRef>
          </c:val>
        </c:ser>
        <c:marker val="1"/>
        <c:axId val="186634624"/>
        <c:axId val="186636160"/>
      </c:lineChart>
      <c:catAx>
        <c:axId val="186634624"/>
        <c:scaling>
          <c:orientation val="minMax"/>
        </c:scaling>
        <c:axPos val="b"/>
        <c:numFmt formatCode="General" sourceLinked="1"/>
        <c:tickLblPos val="nextTo"/>
        <c:crossAx val="186636160"/>
        <c:crosses val="autoZero"/>
        <c:auto val="1"/>
        <c:lblAlgn val="ctr"/>
        <c:lblOffset val="100"/>
      </c:catAx>
      <c:valAx>
        <c:axId val="186636160"/>
        <c:scaling>
          <c:orientation val="minMax"/>
        </c:scaling>
        <c:axPos val="l"/>
        <c:majorGridlines/>
        <c:numFmt formatCode="#,##0.0" sourceLinked="1"/>
        <c:tickLblPos val="nextTo"/>
        <c:crossAx val="1866346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56</xdr:row>
      <xdr:rowOff>47625</xdr:rowOff>
    </xdr:from>
    <xdr:to>
      <xdr:col>10</xdr:col>
      <xdr:colOff>209550</xdr:colOff>
      <xdr:row>70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73</xdr:row>
      <xdr:rowOff>114300</xdr:rowOff>
    </xdr:from>
    <xdr:to>
      <xdr:col>10</xdr:col>
      <xdr:colOff>161925</xdr:colOff>
      <xdr:row>88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90</xdr:row>
      <xdr:rowOff>152400</xdr:rowOff>
    </xdr:from>
    <xdr:to>
      <xdr:col>10</xdr:col>
      <xdr:colOff>638175</xdr:colOff>
      <xdr:row>105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904875</xdr:colOff>
      <xdr:row>90</xdr:row>
      <xdr:rowOff>76200</xdr:rowOff>
    </xdr:from>
    <xdr:to>
      <xdr:col>16</xdr:col>
      <xdr:colOff>495300</xdr:colOff>
      <xdr:row>104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1457325</xdr:colOff>
      <xdr:row>98</xdr:row>
      <xdr:rowOff>76200</xdr:rowOff>
    </xdr:from>
    <xdr:to>
      <xdr:col>7</xdr:col>
      <xdr:colOff>257175</xdr:colOff>
      <xdr:row>111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285750</xdr:colOff>
      <xdr:row>11</xdr:row>
      <xdr:rowOff>47625</xdr:rowOff>
    </xdr:from>
    <xdr:to>
      <xdr:col>10</xdr:col>
      <xdr:colOff>419100</xdr:colOff>
      <xdr:row>25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www.bea.gov/iTable/iTable.cfm?ReqID=10&amp;step=1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www.bea.gov/iTable/iTable.cfm?ReqID=5&amp;step=1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www.bea.gov/iTable/iTable.cfm?ReqID=10&amp;step=1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://www.bls.gov/dat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://www.bls.gov/data/" TargetMode="External"/><Relationship Id="rId4" Type="http://schemas.openxmlformats.org/officeDocument/2006/relationships/comments" Target="../comments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://www.bea.gov/iTable/iTable.cfm?ReqID=10&amp;step=1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://www.bea.gov/iTable/iTable.cfm?ReqID=10&amp;step=1" TargetMode="Externa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hyperlink" Target="http://www.bea.gov/iTable/iTable.cfm?ReqID=10&amp;step=1" TargetMode="Externa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3.bin"/><Relationship Id="rId1" Type="http://schemas.openxmlformats.org/officeDocument/2006/relationships/hyperlink" Target="http://www.bea.gov/iTable/iTable.cfm?ReqID=10&amp;step=1" TargetMode="Externa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bea.gov/iTable/iTable.cfm?ReqID=10&amp;step=1" TargetMode="Externa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7.bin"/><Relationship Id="rId1" Type="http://schemas.openxmlformats.org/officeDocument/2006/relationships/hyperlink" Target="http://www.bea.gov/iTable/iTable.cfm?ReqID=10&amp;step=1" TargetMode="Externa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06"/>
  <sheetViews>
    <sheetView tabSelected="1" zoomScaleNormal="100" workbookViewId="0"/>
  </sheetViews>
  <sheetFormatPr defaultColWidth="97" defaultRowHeight="37.5" customHeight="1"/>
  <cols>
    <col min="1" max="1" width="93" style="70" customWidth="1"/>
    <col min="2" max="16384" width="97" style="69"/>
  </cols>
  <sheetData>
    <row r="1" spans="1:15" ht="37.5" customHeight="1">
      <c r="A1" s="68" t="s">
        <v>91</v>
      </c>
    </row>
    <row r="2" spans="1:15" ht="16.5" customHeight="1"/>
    <row r="3" spans="1:15" ht="37.5" customHeight="1">
      <c r="A3" s="71" t="s">
        <v>5</v>
      </c>
    </row>
    <row r="4" spans="1:15" ht="11.25" customHeight="1">
      <c r="A4" s="370"/>
      <c r="B4" s="68"/>
      <c r="C4" s="68"/>
      <c r="D4" s="68"/>
      <c r="E4" s="68"/>
      <c r="F4" s="118"/>
      <c r="G4" s="118"/>
      <c r="H4" s="118"/>
      <c r="I4" s="118"/>
      <c r="J4" s="118"/>
    </row>
    <row r="5" spans="1:15" ht="37.5" customHeight="1">
      <c r="A5" s="370" t="s">
        <v>130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5" ht="37.5" customHeight="1">
      <c r="A6" s="370" t="s">
        <v>83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5" ht="37.5" customHeight="1">
      <c r="A7" s="370" t="s">
        <v>92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5" ht="37.5" customHeight="1">
      <c r="A8" s="370" t="s">
        <v>80</v>
      </c>
      <c r="B8" s="68"/>
      <c r="C8" s="68"/>
      <c r="D8" s="68"/>
      <c r="E8" s="68"/>
      <c r="F8" s="68"/>
      <c r="G8" s="71"/>
      <c r="H8" s="71"/>
    </row>
    <row r="9" spans="1:15" ht="37.5" customHeight="1">
      <c r="A9" s="370" t="s">
        <v>93</v>
      </c>
      <c r="B9" s="118"/>
      <c r="C9" s="118"/>
      <c r="D9" s="118"/>
      <c r="E9" s="118"/>
      <c r="F9" s="118"/>
      <c r="G9" s="118"/>
      <c r="H9" s="118"/>
      <c r="I9" s="209"/>
      <c r="J9" s="209"/>
    </row>
    <row r="10" spans="1:15" ht="37.5" customHeight="1">
      <c r="A10" s="370" t="s">
        <v>94</v>
      </c>
      <c r="B10" s="118"/>
      <c r="C10" s="118"/>
      <c r="D10" s="118"/>
      <c r="E10" s="118"/>
      <c r="F10" s="118"/>
      <c r="G10" s="118"/>
      <c r="H10" s="118"/>
      <c r="I10" s="209"/>
      <c r="J10" s="209"/>
    </row>
    <row r="11" spans="1:15" ht="37.5" customHeight="1">
      <c r="A11" s="371" t="s">
        <v>132</v>
      </c>
      <c r="B11" s="209"/>
      <c r="C11" s="209"/>
      <c r="D11" s="209"/>
      <c r="E11" s="209"/>
      <c r="F11" s="209"/>
      <c r="G11" s="209"/>
      <c r="H11" s="71"/>
    </row>
    <row r="12" spans="1:15" ht="37.5" customHeight="1">
      <c r="A12" s="370" t="s">
        <v>96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5" ht="37.5" customHeight="1">
      <c r="A13" s="370" t="s">
        <v>160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5" ht="37.5" customHeight="1">
      <c r="A14" s="370" t="s">
        <v>252</v>
      </c>
      <c r="B14" s="118"/>
      <c r="C14" s="118"/>
      <c r="D14" s="118"/>
      <c r="E14" s="118"/>
      <c r="F14" s="118"/>
      <c r="G14" s="118"/>
      <c r="H14" s="118"/>
    </row>
    <row r="15" spans="1:15" ht="37.5" customHeight="1">
      <c r="A15" s="370" t="s">
        <v>121</v>
      </c>
      <c r="B15" s="118"/>
      <c r="C15" s="118"/>
      <c r="D15" s="118"/>
      <c r="E15" s="118"/>
      <c r="F15" s="118"/>
      <c r="G15" s="118"/>
      <c r="H15" s="118"/>
    </row>
    <row r="16" spans="1:15" ht="37.5" customHeight="1">
      <c r="A16" s="370" t="s">
        <v>176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37.5" customHeight="1">
      <c r="A17" s="371" t="s">
        <v>244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37.5" customHeight="1">
      <c r="A18" s="370" t="s">
        <v>159</v>
      </c>
      <c r="B18" s="118"/>
      <c r="C18" s="118"/>
      <c r="D18" s="118"/>
      <c r="E18" s="118"/>
      <c r="F18" s="118"/>
      <c r="G18" s="118"/>
      <c r="H18" s="118"/>
    </row>
    <row r="19" spans="1:15" ht="37.5" customHeight="1">
      <c r="A19" s="370" t="s">
        <v>177</v>
      </c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5" ht="37.5" customHeight="1">
      <c r="A20" s="370" t="s">
        <v>187</v>
      </c>
      <c r="B20" s="118"/>
      <c r="C20" s="118"/>
      <c r="D20" s="118"/>
      <c r="E20" s="118"/>
      <c r="F20" s="118"/>
      <c r="G20" s="118"/>
      <c r="H20" s="118"/>
      <c r="I20" s="209"/>
      <c r="J20" s="209"/>
      <c r="K20" s="209"/>
    </row>
    <row r="21" spans="1:15" ht="37.5" customHeight="1">
      <c r="A21" s="370" t="s">
        <v>99</v>
      </c>
      <c r="B21" s="118"/>
      <c r="C21" s="118"/>
      <c r="D21" s="118"/>
      <c r="E21" s="118"/>
      <c r="F21" s="118"/>
      <c r="G21" s="118"/>
      <c r="H21" s="118"/>
      <c r="I21" s="209"/>
      <c r="J21" s="209"/>
      <c r="K21" s="209"/>
    </row>
    <row r="22" spans="1:15" ht="37.5" customHeight="1">
      <c r="A22" s="370" t="s">
        <v>111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5" ht="37.5" customHeight="1">
      <c r="A23" s="370" t="s">
        <v>134</v>
      </c>
      <c r="B23" s="118"/>
      <c r="C23" s="118"/>
      <c r="D23" s="118"/>
      <c r="E23" s="118"/>
      <c r="F23" s="118"/>
      <c r="G23" s="118"/>
      <c r="H23" s="118"/>
    </row>
    <row r="24" spans="1:15" ht="37.5" customHeight="1">
      <c r="A24" s="370" t="s">
        <v>245</v>
      </c>
      <c r="B24" s="118"/>
      <c r="C24" s="118"/>
      <c r="D24" s="118"/>
      <c r="E24" s="118"/>
      <c r="F24" s="118"/>
      <c r="G24" s="118"/>
      <c r="H24" s="118"/>
      <c r="I24" s="209"/>
    </row>
    <row r="25" spans="1:15" ht="37.5" customHeight="1">
      <c r="A25" s="370" t="s">
        <v>131</v>
      </c>
      <c r="B25" s="118"/>
      <c r="C25" s="118"/>
      <c r="D25" s="118"/>
      <c r="E25" s="118"/>
      <c r="F25" s="209"/>
      <c r="G25" s="209"/>
      <c r="H25" s="209"/>
      <c r="I25" s="209"/>
    </row>
    <row r="26" spans="1:15" ht="37.5" customHeight="1">
      <c r="A26" s="370" t="s">
        <v>133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5" ht="37.5" customHeight="1">
      <c r="A27" s="370" t="s">
        <v>246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5" ht="37.5" customHeight="1">
      <c r="A28" s="370" t="s">
        <v>179</v>
      </c>
      <c r="B28" s="68"/>
      <c r="C28" s="118"/>
      <c r="D28" s="118"/>
      <c r="E28" s="118"/>
      <c r="F28" s="118"/>
      <c r="G28" s="118"/>
      <c r="H28" s="118"/>
      <c r="I28" s="118"/>
      <c r="J28" s="118"/>
      <c r="K28" s="256"/>
    </row>
    <row r="29" spans="1:15" ht="37.5" customHeight="1">
      <c r="A29" s="370" t="s">
        <v>181</v>
      </c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5" ht="37.5" customHeight="1">
      <c r="A30" s="370" t="s">
        <v>182</v>
      </c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5" ht="37.5" customHeight="1">
      <c r="A31" s="370" t="s">
        <v>188</v>
      </c>
      <c r="B31" s="118"/>
      <c r="C31" s="118"/>
      <c r="D31" s="118"/>
      <c r="E31" s="118"/>
      <c r="F31" s="118"/>
      <c r="G31" s="209"/>
      <c r="H31" s="209"/>
      <c r="I31" s="209"/>
      <c r="J31" s="209"/>
    </row>
    <row r="32" spans="1:15" ht="37.5" customHeight="1">
      <c r="A32" s="370" t="s">
        <v>81</v>
      </c>
      <c r="B32" s="118"/>
      <c r="C32" s="118"/>
      <c r="D32" s="118"/>
      <c r="E32" s="118"/>
      <c r="F32" s="118"/>
      <c r="G32" s="118"/>
      <c r="H32" s="118"/>
    </row>
    <row r="33" spans="1:9" ht="37.5" customHeight="1">
      <c r="A33" s="370" t="s">
        <v>183</v>
      </c>
      <c r="B33" s="118"/>
      <c r="C33" s="118"/>
      <c r="D33" s="118"/>
      <c r="E33" s="118"/>
      <c r="F33" s="118"/>
      <c r="G33" s="118"/>
      <c r="H33" s="118"/>
    </row>
    <row r="34" spans="1:9" ht="37.5" customHeight="1">
      <c r="A34" s="370" t="s">
        <v>135</v>
      </c>
      <c r="B34" s="118"/>
      <c r="C34" s="118"/>
      <c r="D34" s="118"/>
      <c r="E34" s="118"/>
      <c r="F34" s="118"/>
      <c r="G34" s="118"/>
      <c r="H34" s="118"/>
    </row>
    <row r="35" spans="1:9" ht="37.5" customHeight="1">
      <c r="A35" s="371" t="s">
        <v>184</v>
      </c>
      <c r="B35" s="209"/>
      <c r="C35" s="209"/>
      <c r="D35" s="209"/>
      <c r="E35" s="209"/>
      <c r="F35" s="209"/>
      <c r="G35" s="209"/>
      <c r="H35" s="209"/>
    </row>
    <row r="36" spans="1:9" ht="37.5" customHeight="1">
      <c r="A36" s="370" t="s">
        <v>100</v>
      </c>
      <c r="B36" s="118"/>
      <c r="C36" s="118"/>
      <c r="D36" s="118"/>
      <c r="E36" s="118"/>
      <c r="F36" s="118"/>
      <c r="G36" s="118"/>
      <c r="H36" s="118"/>
    </row>
    <row r="37" spans="1:9" ht="37.5" customHeight="1">
      <c r="A37" s="370" t="s">
        <v>101</v>
      </c>
      <c r="B37" s="118"/>
      <c r="C37" s="118"/>
      <c r="D37" s="118"/>
      <c r="E37" s="118"/>
      <c r="F37" s="118"/>
      <c r="G37" s="71"/>
      <c r="H37" s="71"/>
    </row>
    <row r="38" spans="1:9" ht="37.5" customHeight="1">
      <c r="A38" s="370" t="s">
        <v>137</v>
      </c>
      <c r="B38" s="118"/>
      <c r="C38" s="118"/>
      <c r="D38" s="118"/>
      <c r="E38" s="118"/>
      <c r="F38" s="118"/>
      <c r="G38" s="118"/>
      <c r="H38" s="118"/>
      <c r="I38" s="118"/>
    </row>
    <row r="39" spans="1:9" ht="37.5" customHeight="1">
      <c r="A39" s="370" t="s">
        <v>138</v>
      </c>
      <c r="B39" s="118"/>
      <c r="C39" s="118"/>
      <c r="D39" s="118"/>
      <c r="E39" s="118"/>
      <c r="F39" s="118"/>
      <c r="G39" s="118"/>
      <c r="H39" s="118"/>
    </row>
    <row r="40" spans="1:9" ht="37.5" customHeight="1">
      <c r="A40" s="370" t="s">
        <v>253</v>
      </c>
      <c r="B40" s="118"/>
      <c r="C40" s="118"/>
      <c r="D40" s="118"/>
      <c r="E40" s="118"/>
      <c r="F40" s="118"/>
      <c r="G40" s="118"/>
      <c r="H40" s="118"/>
    </row>
    <row r="41" spans="1:9" ht="37.5" customHeight="1">
      <c r="A41" s="370" t="s">
        <v>139</v>
      </c>
      <c r="B41" s="118"/>
      <c r="C41" s="118"/>
      <c r="D41" s="118"/>
      <c r="E41" s="118"/>
      <c r="F41" s="118"/>
      <c r="G41" s="118"/>
      <c r="H41" s="118"/>
    </row>
    <row r="42" spans="1:9" ht="37.5" customHeight="1">
      <c r="A42" s="370" t="s">
        <v>247</v>
      </c>
      <c r="B42" s="118"/>
      <c r="C42" s="118"/>
      <c r="D42" s="118"/>
      <c r="E42" s="118"/>
      <c r="F42" s="118"/>
      <c r="G42" s="118"/>
      <c r="H42" s="118"/>
    </row>
    <row r="43" spans="1:9" ht="37.5" customHeight="1">
      <c r="A43" s="371" t="s">
        <v>185</v>
      </c>
      <c r="B43" s="209"/>
      <c r="C43" s="209"/>
      <c r="D43" s="209"/>
      <c r="E43" s="209"/>
      <c r="F43" s="209"/>
      <c r="G43" s="118"/>
      <c r="H43" s="118"/>
    </row>
    <row r="44" spans="1:9" ht="37.5" customHeight="1">
      <c r="A44" s="372" t="s">
        <v>186</v>
      </c>
      <c r="B44" s="256"/>
      <c r="C44" s="256"/>
      <c r="D44" s="256"/>
      <c r="E44" s="256"/>
      <c r="F44" s="256"/>
      <c r="G44" s="71"/>
      <c r="H44" s="71"/>
    </row>
    <row r="45" spans="1:9" ht="37.5" customHeight="1">
      <c r="A45" s="370" t="s">
        <v>189</v>
      </c>
      <c r="B45" s="256"/>
      <c r="C45" s="256"/>
      <c r="D45" s="256"/>
      <c r="E45" s="256"/>
      <c r="F45" s="256"/>
    </row>
    <row r="46" spans="1:9" ht="37.5" customHeight="1">
      <c r="A46" s="370" t="s">
        <v>103</v>
      </c>
      <c r="B46" s="68"/>
      <c r="C46" s="68"/>
      <c r="D46" s="68"/>
      <c r="E46" s="68"/>
      <c r="F46" s="68"/>
    </row>
    <row r="47" spans="1:9" ht="37.5" customHeight="1">
      <c r="A47" s="370" t="s">
        <v>140</v>
      </c>
      <c r="B47" s="118"/>
      <c r="C47" s="118"/>
      <c r="D47" s="118"/>
      <c r="E47" s="118"/>
      <c r="F47" s="118"/>
      <c r="G47" s="118"/>
      <c r="H47" s="118"/>
    </row>
    <row r="48" spans="1:9" ht="37.5" customHeight="1">
      <c r="A48" s="370" t="s">
        <v>254</v>
      </c>
      <c r="B48" s="118"/>
      <c r="C48" s="118"/>
      <c r="D48" s="118"/>
      <c r="E48" s="118"/>
      <c r="F48" s="118"/>
      <c r="G48" s="118"/>
      <c r="H48" s="118"/>
    </row>
    <row r="49" spans="1:8" ht="37.5" customHeight="1">
      <c r="A49" s="371" t="s">
        <v>112</v>
      </c>
      <c r="B49" s="209"/>
      <c r="C49" s="209"/>
      <c r="D49" s="209"/>
      <c r="E49" s="209"/>
      <c r="F49" s="209"/>
      <c r="G49" s="209"/>
    </row>
    <row r="50" spans="1:8" ht="37.5" customHeight="1">
      <c r="A50" s="370" t="s">
        <v>141</v>
      </c>
      <c r="B50" s="118"/>
      <c r="C50" s="118"/>
      <c r="D50" s="118"/>
      <c r="E50" s="118"/>
      <c r="F50" s="118"/>
      <c r="G50" s="118"/>
    </row>
    <row r="51" spans="1:8" ht="37.5" customHeight="1">
      <c r="A51" s="370" t="s">
        <v>250</v>
      </c>
      <c r="B51" s="118"/>
      <c r="C51" s="118"/>
      <c r="D51" s="118"/>
      <c r="E51" s="118"/>
      <c r="F51" s="118"/>
      <c r="G51" s="118"/>
      <c r="H51" s="118"/>
    </row>
    <row r="52" spans="1:8" ht="37.5" customHeight="1">
      <c r="A52" s="370" t="s">
        <v>190</v>
      </c>
      <c r="B52" s="118"/>
      <c r="C52" s="118"/>
      <c r="D52" s="118"/>
      <c r="E52" s="118"/>
      <c r="F52" s="118"/>
      <c r="G52" s="118"/>
      <c r="H52" s="118"/>
    </row>
    <row r="53" spans="1:8" ht="37.5" customHeight="1">
      <c r="A53" s="370" t="s">
        <v>243</v>
      </c>
      <c r="B53" s="118"/>
      <c r="C53" s="118"/>
      <c r="D53" s="118"/>
      <c r="E53" s="118"/>
      <c r="F53" s="118"/>
      <c r="G53" s="118"/>
      <c r="H53" s="118"/>
    </row>
    <row r="54" spans="1:8" ht="37.5" customHeight="1">
      <c r="A54" s="370" t="s">
        <v>260</v>
      </c>
      <c r="B54" s="118"/>
      <c r="C54" s="118"/>
      <c r="D54" s="118"/>
      <c r="E54" s="118"/>
      <c r="F54" s="118"/>
      <c r="G54" s="118"/>
      <c r="H54" s="118"/>
    </row>
    <row r="55" spans="1:8" ht="37.5" customHeight="1">
      <c r="A55" s="370" t="s">
        <v>82</v>
      </c>
      <c r="B55" s="118"/>
      <c r="C55" s="118"/>
      <c r="D55" s="118"/>
      <c r="E55" s="118"/>
      <c r="F55" s="118"/>
      <c r="G55" s="208"/>
      <c r="H55" s="208"/>
    </row>
    <row r="56" spans="1:8" ht="37.5" customHeight="1">
      <c r="A56" s="370" t="s">
        <v>104</v>
      </c>
      <c r="B56" s="118"/>
      <c r="C56" s="118"/>
      <c r="D56" s="118"/>
      <c r="E56" s="118"/>
      <c r="F56" s="118"/>
      <c r="G56" s="208"/>
      <c r="H56" s="208"/>
    </row>
    <row r="57" spans="1:8" ht="37.5" customHeight="1">
      <c r="A57" s="370" t="s">
        <v>89</v>
      </c>
      <c r="B57" s="68"/>
      <c r="C57" s="68"/>
      <c r="D57" s="68"/>
      <c r="E57" s="68"/>
      <c r="F57" s="68"/>
    </row>
    <row r="58" spans="1:8" ht="37.5" customHeight="1">
      <c r="A58" s="370" t="s">
        <v>105</v>
      </c>
      <c r="B58" s="68"/>
      <c r="C58" s="68"/>
      <c r="D58" s="68"/>
      <c r="E58" s="68"/>
      <c r="F58" s="68"/>
    </row>
    <row r="59" spans="1:8" ht="37.5" customHeight="1">
      <c r="A59" s="370" t="s">
        <v>106</v>
      </c>
      <c r="B59" s="68"/>
      <c r="C59" s="68"/>
      <c r="D59" s="68"/>
      <c r="E59" s="68"/>
      <c r="F59" s="68"/>
    </row>
    <row r="60" spans="1:8" ht="37.5" customHeight="1">
      <c r="A60" s="370" t="s">
        <v>107</v>
      </c>
      <c r="B60" s="68"/>
      <c r="C60" s="68"/>
      <c r="D60" s="68"/>
      <c r="E60" s="68"/>
      <c r="F60" s="68"/>
    </row>
    <row r="61" spans="1:8" ht="37.5" customHeight="1">
      <c r="A61" s="370" t="s">
        <v>108</v>
      </c>
      <c r="B61" s="68"/>
      <c r="C61" s="68"/>
      <c r="D61" s="68"/>
      <c r="E61" s="68"/>
      <c r="F61" s="68"/>
    </row>
    <row r="62" spans="1:8" ht="37.5" customHeight="1">
      <c r="A62" s="370" t="s">
        <v>87</v>
      </c>
      <c r="B62" s="68"/>
      <c r="C62" s="68"/>
      <c r="D62" s="68"/>
      <c r="E62" s="68"/>
      <c r="F62" s="68"/>
    </row>
    <row r="63" spans="1:8" ht="37.5" customHeight="1">
      <c r="A63" s="370" t="s">
        <v>167</v>
      </c>
      <c r="B63" s="68"/>
      <c r="C63" s="68"/>
      <c r="D63" s="68"/>
      <c r="E63" s="68"/>
      <c r="F63" s="68"/>
    </row>
    <row r="64" spans="1:8" ht="37.5" customHeight="1">
      <c r="A64" s="370" t="s">
        <v>255</v>
      </c>
      <c r="B64" s="68"/>
      <c r="C64" s="68"/>
      <c r="D64" s="68"/>
      <c r="E64" s="68"/>
      <c r="F64" s="68"/>
    </row>
    <row r="65" spans="1:6" ht="37.5" customHeight="1">
      <c r="A65" s="370" t="s">
        <v>192</v>
      </c>
      <c r="B65" s="68"/>
      <c r="C65" s="68"/>
      <c r="D65" s="68"/>
      <c r="E65" s="68"/>
      <c r="F65" s="68"/>
    </row>
    <row r="66" spans="1:6" ht="37.5" customHeight="1">
      <c r="A66" s="370" t="s">
        <v>142</v>
      </c>
      <c r="B66" s="68"/>
      <c r="C66" s="68"/>
      <c r="D66" s="68"/>
      <c r="E66" s="68"/>
      <c r="F66" s="68"/>
    </row>
    <row r="67" spans="1:6" ht="37.5" customHeight="1">
      <c r="A67" s="370" t="s">
        <v>143</v>
      </c>
      <c r="B67" s="68"/>
      <c r="C67" s="68"/>
      <c r="D67" s="68"/>
      <c r="E67" s="68"/>
      <c r="F67" s="68"/>
    </row>
    <row r="68" spans="1:6" ht="37.5" customHeight="1">
      <c r="A68" s="370" t="s">
        <v>144</v>
      </c>
      <c r="B68" s="68"/>
      <c r="C68" s="68"/>
      <c r="D68" s="68"/>
      <c r="E68" s="68"/>
      <c r="F68" s="68"/>
    </row>
    <row r="69" spans="1:6" ht="37.5" customHeight="1">
      <c r="A69" s="370" t="s">
        <v>147</v>
      </c>
      <c r="B69" s="68"/>
      <c r="C69" s="68"/>
      <c r="D69" s="68"/>
      <c r="E69" s="68"/>
      <c r="F69" s="68"/>
    </row>
    <row r="70" spans="1:6" ht="37.5" customHeight="1">
      <c r="A70" s="370" t="s">
        <v>148</v>
      </c>
      <c r="B70" s="68"/>
      <c r="C70" s="68"/>
      <c r="D70" s="68"/>
      <c r="E70" s="68"/>
      <c r="F70" s="68"/>
    </row>
    <row r="71" spans="1:6" ht="37.5" customHeight="1">
      <c r="A71" s="370" t="s">
        <v>251</v>
      </c>
      <c r="B71" s="68"/>
      <c r="C71" s="68"/>
      <c r="D71" s="68"/>
      <c r="E71" s="68"/>
      <c r="F71" s="68"/>
    </row>
    <row r="72" spans="1:6" ht="37.5" customHeight="1">
      <c r="A72" s="370" t="s">
        <v>115</v>
      </c>
      <c r="B72" s="68"/>
      <c r="C72" s="68"/>
      <c r="D72" s="68"/>
      <c r="E72" s="68"/>
      <c r="F72" s="68"/>
    </row>
    <row r="73" spans="1:6" ht="37.5" customHeight="1">
      <c r="A73" s="370" t="s">
        <v>149</v>
      </c>
      <c r="B73" s="68"/>
      <c r="C73" s="68"/>
      <c r="D73" s="68"/>
      <c r="E73" s="68"/>
      <c r="F73" s="68"/>
    </row>
    <row r="74" spans="1:6" ht="37.5" customHeight="1">
      <c r="A74" s="370" t="s">
        <v>248</v>
      </c>
      <c r="B74" s="68"/>
      <c r="C74" s="68"/>
      <c r="D74" s="68"/>
      <c r="E74" s="68"/>
      <c r="F74" s="68"/>
    </row>
    <row r="75" spans="1:6" ht="37.5" customHeight="1">
      <c r="A75" s="370" t="s">
        <v>156</v>
      </c>
      <c r="B75" s="68"/>
      <c r="C75" s="68"/>
      <c r="D75" s="68"/>
      <c r="E75" s="68"/>
      <c r="F75" s="68"/>
    </row>
    <row r="76" spans="1:6" ht="37.5" customHeight="1">
      <c r="A76" s="370" t="s">
        <v>155</v>
      </c>
      <c r="B76" s="68"/>
      <c r="C76" s="68"/>
      <c r="D76" s="68"/>
      <c r="E76" s="68"/>
      <c r="F76" s="68"/>
    </row>
    <row r="77" spans="1:6" ht="37.5" customHeight="1">
      <c r="A77" s="370" t="s">
        <v>261</v>
      </c>
      <c r="B77" s="68"/>
      <c r="C77" s="68"/>
      <c r="D77" s="68"/>
      <c r="E77" s="68"/>
      <c r="F77" s="68"/>
    </row>
    <row r="78" spans="1:6" ht="37.5" customHeight="1">
      <c r="A78" s="370" t="s">
        <v>194</v>
      </c>
      <c r="B78" s="68"/>
      <c r="C78" s="68"/>
      <c r="D78" s="68"/>
      <c r="E78" s="68"/>
      <c r="F78" s="68"/>
    </row>
    <row r="79" spans="1:6" ht="37.5" customHeight="1">
      <c r="A79" s="370" t="s">
        <v>150</v>
      </c>
      <c r="B79" s="68"/>
      <c r="C79" s="68"/>
      <c r="D79" s="68"/>
      <c r="E79" s="68"/>
      <c r="F79" s="68"/>
    </row>
    <row r="80" spans="1:6" ht="37.5" customHeight="1">
      <c r="A80" s="370" t="s">
        <v>151</v>
      </c>
      <c r="B80" s="68"/>
      <c r="C80" s="68"/>
      <c r="D80" s="68"/>
      <c r="E80" s="68"/>
      <c r="F80" s="68"/>
    </row>
    <row r="81" spans="1:6" ht="37.5" customHeight="1">
      <c r="A81" s="370" t="s">
        <v>195</v>
      </c>
      <c r="B81" s="68"/>
      <c r="C81" s="68"/>
      <c r="D81" s="68"/>
      <c r="E81" s="68"/>
      <c r="F81" s="68"/>
    </row>
    <row r="82" spans="1:6" ht="37.5" customHeight="1">
      <c r="A82" s="371" t="s">
        <v>196</v>
      </c>
      <c r="B82" s="68"/>
      <c r="C82" s="68"/>
      <c r="D82" s="68"/>
      <c r="E82" s="68"/>
      <c r="F82" s="68"/>
    </row>
    <row r="83" spans="1:6" ht="37.5" customHeight="1">
      <c r="A83" s="370" t="s">
        <v>197</v>
      </c>
      <c r="B83" s="68"/>
      <c r="C83" s="68"/>
      <c r="D83" s="68"/>
      <c r="E83" s="68"/>
      <c r="F83" s="68"/>
    </row>
    <row r="84" spans="1:6" ht="37.5" customHeight="1">
      <c r="A84" s="371" t="s">
        <v>249</v>
      </c>
      <c r="B84" s="68"/>
      <c r="C84" s="68"/>
      <c r="D84" s="68"/>
      <c r="E84" s="68"/>
      <c r="F84" s="68"/>
    </row>
    <row r="85" spans="1:6" ht="37.5" customHeight="1">
      <c r="A85" s="373" t="s">
        <v>110</v>
      </c>
    </row>
    <row r="86" spans="1:6" ht="37.5" customHeight="1">
      <c r="A86" s="373" t="s">
        <v>265</v>
      </c>
    </row>
    <row r="87" spans="1:6" ht="37.5" customHeight="1">
      <c r="A87" s="373" t="s">
        <v>152</v>
      </c>
    </row>
    <row r="88" spans="1:6" ht="37.5" customHeight="1">
      <c r="A88" s="373" t="s">
        <v>256</v>
      </c>
    </row>
    <row r="89" spans="1:6" ht="37.5" customHeight="1">
      <c r="A89" s="373" t="s">
        <v>198</v>
      </c>
    </row>
    <row r="90" spans="1:6" ht="37.5" customHeight="1">
      <c r="A90" s="373" t="s">
        <v>257</v>
      </c>
    </row>
    <row r="91" spans="1:6" ht="37.5" customHeight="1">
      <c r="A91" s="373" t="s">
        <v>157</v>
      </c>
    </row>
    <row r="92" spans="1:6" ht="37.5" customHeight="1">
      <c r="A92" s="373" t="s">
        <v>258</v>
      </c>
    </row>
    <row r="93" spans="1:6" ht="37.5" customHeight="1">
      <c r="A93" s="373" t="s">
        <v>117</v>
      </c>
    </row>
    <row r="94" spans="1:6" ht="37.5" customHeight="1">
      <c r="A94" s="373" t="s">
        <v>158</v>
      </c>
    </row>
    <row r="95" spans="1:6" ht="37.5" customHeight="1">
      <c r="A95" s="373" t="s">
        <v>199</v>
      </c>
    </row>
    <row r="96" spans="1:6" ht="55.5" customHeight="1">
      <c r="A96" s="373" t="s">
        <v>154</v>
      </c>
    </row>
    <row r="97" spans="1:1" ht="37.5" customHeight="1">
      <c r="A97" s="373" t="s">
        <v>153</v>
      </c>
    </row>
    <row r="98" spans="1:1" ht="37.5" customHeight="1">
      <c r="A98" s="373" t="s">
        <v>262</v>
      </c>
    </row>
    <row r="99" spans="1:1" ht="37.5" customHeight="1">
      <c r="A99" s="373" t="s">
        <v>200</v>
      </c>
    </row>
    <row r="100" spans="1:1" ht="37.5" customHeight="1">
      <c r="A100" s="373" t="s">
        <v>201</v>
      </c>
    </row>
    <row r="101" spans="1:1" ht="37.5" customHeight="1">
      <c r="A101" s="373" t="s">
        <v>202</v>
      </c>
    </row>
    <row r="102" spans="1:1" ht="37.5" customHeight="1">
      <c r="A102" s="373" t="s">
        <v>203</v>
      </c>
    </row>
    <row r="103" spans="1:1" ht="37.5" customHeight="1">
      <c r="A103" s="373" t="s">
        <v>204</v>
      </c>
    </row>
    <row r="104" spans="1:1" ht="37.5" customHeight="1">
      <c r="A104" s="373" t="s">
        <v>205</v>
      </c>
    </row>
    <row r="105" spans="1:1" ht="37.5" customHeight="1">
      <c r="A105" s="373" t="s">
        <v>206</v>
      </c>
    </row>
    <row r="106" spans="1:1" ht="37.5" customHeight="1">
      <c r="A106" s="374" t="s">
        <v>207</v>
      </c>
    </row>
  </sheetData>
  <pageMargins left="0.7" right="0.7" top="0.75" bottom="0.75" header="0.3" footer="0.3"/>
  <pageSetup scale="80" orientation="portrait" horizontalDpi="0" verticalDpi="0" r:id="rId1"/>
  <rowBreaks count="5" manualBreakCount="5">
    <brk id="23" man="1"/>
    <brk id="42" man="1"/>
    <brk id="61" man="1"/>
    <brk id="81" man="1"/>
    <brk id="101" man="1"/>
  </rowBreaks>
  <colBreaks count="1" manualBreakCount="1">
    <brk id="16" min="2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43"/>
  <sheetViews>
    <sheetView view="pageBreakPreview" zoomScale="60" zoomScaleNormal="100" workbookViewId="0">
      <selection sqref="A1:H2"/>
    </sheetView>
  </sheetViews>
  <sheetFormatPr defaultRowHeight="15"/>
  <cols>
    <col min="1" max="1" width="11.85546875" style="1" customWidth="1"/>
    <col min="2" max="2" width="14.28515625" style="1" customWidth="1"/>
    <col min="3" max="3" width="12.7109375" style="1" customWidth="1"/>
    <col min="4" max="4" width="17.5703125" style="1" customWidth="1"/>
    <col min="5" max="5" width="13.140625" style="1" customWidth="1"/>
    <col min="6" max="6" width="13.85546875" style="1" customWidth="1"/>
    <col min="7" max="7" width="9.140625" style="1"/>
    <col min="8" max="8" width="20.85546875" style="1" customWidth="1"/>
    <col min="9" max="9" width="10.28515625" style="1" customWidth="1"/>
    <col min="10" max="10" width="10.85546875" style="1" customWidth="1"/>
    <col min="11" max="11" width="9.140625" style="1"/>
    <col min="12" max="12" width="20.5703125" style="1" customWidth="1"/>
    <col min="13" max="16384" width="9.140625" style="1"/>
  </cols>
  <sheetData>
    <row r="1" spans="1:15">
      <c r="A1" s="387" t="s">
        <v>160</v>
      </c>
      <c r="B1" s="387"/>
      <c r="C1" s="387"/>
      <c r="D1" s="387"/>
      <c r="E1" s="387"/>
      <c r="F1" s="387"/>
      <c r="G1" s="387"/>
      <c r="H1" s="387"/>
    </row>
    <row r="2" spans="1:15">
      <c r="A2" s="387"/>
      <c r="B2" s="387"/>
      <c r="C2" s="387"/>
      <c r="D2" s="387"/>
      <c r="E2" s="387"/>
      <c r="F2" s="387"/>
      <c r="G2" s="387"/>
      <c r="H2" s="387"/>
    </row>
    <row r="4" spans="1:15" ht="45" customHeight="1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5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5">
      <c r="A6" s="184">
        <v>1981</v>
      </c>
      <c r="B6" s="120" t="str">
        <f>IFERROR('1a'!B6/'1h'!$B6*1000, "na")</f>
        <v>na</v>
      </c>
      <c r="C6" s="121" t="str">
        <f>IFERROR('1a'!C6/'1h'!$B6*1000, "na")</f>
        <v>na</v>
      </c>
      <c r="D6" s="121" t="str">
        <f>IFERROR('1a'!D6/'1h'!$B6*1000, "na")</f>
        <v>na</v>
      </c>
      <c r="E6" s="122" t="str">
        <f>IFERROR('1a'!E6/'1h'!$B6*1000, "na")</f>
        <v>na</v>
      </c>
      <c r="F6" s="120" t="str">
        <f>IFERROR('1a'!F6/'1h'!$C6*1000, "na")</f>
        <v>na</v>
      </c>
      <c r="G6" s="121" t="str">
        <f>IFERROR('1a'!G6/'1h'!$C6*1000, "na")</f>
        <v>na</v>
      </c>
      <c r="H6" s="121" t="str">
        <f>IFERROR('1a'!H6/'1h'!$C6*1000, "na")</f>
        <v>na</v>
      </c>
      <c r="I6" s="122" t="str">
        <f>IFERROR('1a'!I6/'1h'!$C6*1000, "na")</f>
        <v>na</v>
      </c>
      <c r="J6" s="120" t="str">
        <f>IFERROR('1a'!J6/'1h'!$D6*1000, "na")</f>
        <v>na</v>
      </c>
      <c r="K6" s="121" t="str">
        <f>IFERROR('1a'!K6/'1h'!$D6*1000, "na")</f>
        <v>na</v>
      </c>
      <c r="L6" s="121" t="str">
        <f>IFERROR('1a'!L6/'1h'!$D6*1000, "na")</f>
        <v>na</v>
      </c>
      <c r="M6" s="122" t="str">
        <f>IFERROR('1a'!M6/'1h'!$D6*1000, "na")</f>
        <v>na</v>
      </c>
    </row>
    <row r="7" spans="1:15">
      <c r="A7" s="185">
        <v>1982</v>
      </c>
      <c r="B7" s="123" t="str">
        <f>IFERROR('1a'!B7/'1h'!$B7*1000, "na")</f>
        <v>na</v>
      </c>
      <c r="C7" s="124" t="str">
        <f>IFERROR('1a'!C7/'1h'!$B7*1000, "na")</f>
        <v>na</v>
      </c>
      <c r="D7" s="124" t="str">
        <f>IFERROR('1a'!D7/'1h'!$B7*1000, "na")</f>
        <v>na</v>
      </c>
      <c r="E7" s="125" t="str">
        <f>IFERROR('1a'!E7/'1h'!$B7*1000, "na")</f>
        <v>na</v>
      </c>
      <c r="F7" s="123" t="str">
        <f>IFERROR('1a'!F7/'1h'!$C7*1000, "na")</f>
        <v>na</v>
      </c>
      <c r="G7" s="124" t="str">
        <f>IFERROR('1a'!G7/'1h'!$C7*1000, "na")</f>
        <v>na</v>
      </c>
      <c r="H7" s="124" t="str">
        <f>IFERROR('1a'!H7/'1h'!$C7*1000, "na")</f>
        <v>na</v>
      </c>
      <c r="I7" s="125" t="str">
        <f>IFERROR('1a'!I7/'1h'!$C7*1000, "na")</f>
        <v>na</v>
      </c>
      <c r="J7" s="123" t="str">
        <f>IFERROR('1a'!J7/'1h'!$D7*1000, "na")</f>
        <v>na</v>
      </c>
      <c r="K7" s="124" t="str">
        <f>IFERROR('1a'!K7/'1h'!$D7*1000, "na")</f>
        <v>na</v>
      </c>
      <c r="L7" s="124" t="str">
        <f>IFERROR('1a'!L7/'1h'!$D7*1000, "na")</f>
        <v>na</v>
      </c>
      <c r="M7" s="125" t="str">
        <f>IFERROR('1a'!M7/'1h'!$D7*1000, "na")</f>
        <v>na</v>
      </c>
      <c r="O7" s="1">
        <v>1000</v>
      </c>
    </row>
    <row r="8" spans="1:15">
      <c r="A8" s="185">
        <v>1983</v>
      </c>
      <c r="B8" s="123" t="str">
        <f>IFERROR('1a'!B8/'1h'!$B8*1000, "na")</f>
        <v>na</v>
      </c>
      <c r="C8" s="124" t="str">
        <f>IFERROR('1a'!C8/'1h'!$B8*1000, "na")</f>
        <v>na</v>
      </c>
      <c r="D8" s="124" t="str">
        <f>IFERROR('1a'!D8/'1h'!$B8*1000, "na")</f>
        <v>na</v>
      </c>
      <c r="E8" s="125" t="str">
        <f>IFERROR('1a'!E8/'1h'!$B8*1000, "na")</f>
        <v>na</v>
      </c>
      <c r="F8" s="123" t="str">
        <f>IFERROR('1a'!F8/'1h'!$C8*1000, "na")</f>
        <v>na</v>
      </c>
      <c r="G8" s="124" t="str">
        <f>IFERROR('1a'!G8/'1h'!$C8*1000, "na")</f>
        <v>na</v>
      </c>
      <c r="H8" s="124" t="str">
        <f>IFERROR('1a'!H8/'1h'!$C8*1000, "na")</f>
        <v>na</v>
      </c>
      <c r="I8" s="125" t="str">
        <f>IFERROR('1a'!I8/'1h'!$C8*1000, "na")</f>
        <v>na</v>
      </c>
      <c r="J8" s="123" t="str">
        <f>IFERROR('1a'!J8/'1h'!$D8*1000, "na")</f>
        <v>na</v>
      </c>
      <c r="K8" s="124" t="str">
        <f>IFERROR('1a'!K8/'1h'!$D8*1000, "na")</f>
        <v>na</v>
      </c>
      <c r="L8" s="124" t="str">
        <f>IFERROR('1a'!L8/'1h'!$D8*1000, "na")</f>
        <v>na</v>
      </c>
      <c r="M8" s="125" t="str">
        <f>IFERROR('1a'!M8/'1h'!$D8*1000, "na")</f>
        <v>na</v>
      </c>
    </row>
    <row r="9" spans="1:15">
      <c r="A9" s="185">
        <v>1984</v>
      </c>
      <c r="B9" s="123" t="str">
        <f>IFERROR('1a'!B9/'1h'!$B9*1000, "na")</f>
        <v>na</v>
      </c>
      <c r="C9" s="124" t="str">
        <f>IFERROR('1a'!C9/'1h'!$B9*1000, "na")</f>
        <v>na</v>
      </c>
      <c r="D9" s="124" t="str">
        <f>IFERROR('1a'!D9/'1h'!$B9*1000, "na")</f>
        <v>na</v>
      </c>
      <c r="E9" s="125" t="str">
        <f>IFERROR('1a'!E9/'1h'!$B9*1000, "na")</f>
        <v>na</v>
      </c>
      <c r="F9" s="123" t="str">
        <f>IFERROR('1a'!F9/'1h'!$C9*1000, "na")</f>
        <v>na</v>
      </c>
      <c r="G9" s="124" t="str">
        <f>IFERROR('1a'!G9/'1h'!$C9*1000, "na")</f>
        <v>na</v>
      </c>
      <c r="H9" s="124" t="str">
        <f>IFERROR('1a'!H9/'1h'!$C9*1000, "na")</f>
        <v>na</v>
      </c>
      <c r="I9" s="125" t="str">
        <f>IFERROR('1a'!I9/'1h'!$C9*1000, "na")</f>
        <v>na</v>
      </c>
      <c r="J9" s="123" t="str">
        <f>IFERROR('1a'!J9/'1h'!$D9*1000, "na")</f>
        <v>na</v>
      </c>
      <c r="K9" s="124" t="str">
        <f>IFERROR('1a'!K9/'1h'!$D9*1000, "na")</f>
        <v>na</v>
      </c>
      <c r="L9" s="124" t="str">
        <f>IFERROR('1a'!L9/'1h'!$D9*1000, "na")</f>
        <v>na</v>
      </c>
      <c r="M9" s="125" t="str">
        <f>IFERROR('1a'!M9/'1h'!$D9*1000, "na")</f>
        <v>na</v>
      </c>
    </row>
    <row r="10" spans="1:15">
      <c r="A10" s="185">
        <v>1985</v>
      </c>
      <c r="B10" s="123" t="str">
        <f>IFERROR('1a'!B10/'1h'!$B10*1000, "na")</f>
        <v>na</v>
      </c>
      <c r="C10" s="124" t="str">
        <f>IFERROR('1a'!C10/'1h'!$B10*1000, "na")</f>
        <v>na</v>
      </c>
      <c r="D10" s="124" t="str">
        <f>IFERROR('1a'!D10/'1h'!$B10*1000, "na")</f>
        <v>na</v>
      </c>
      <c r="E10" s="125" t="str">
        <f>IFERROR('1a'!E10/'1h'!$B10*1000, "na")</f>
        <v>na</v>
      </c>
      <c r="F10" s="123" t="str">
        <f>IFERROR('1a'!F10/'1h'!$C10*1000, "na")</f>
        <v>na</v>
      </c>
      <c r="G10" s="124" t="str">
        <f>IFERROR('1a'!G10/'1h'!$C10*1000, "na")</f>
        <v>na</v>
      </c>
      <c r="H10" s="124" t="str">
        <f>IFERROR('1a'!H10/'1h'!$C10*1000, "na")</f>
        <v>na</v>
      </c>
      <c r="I10" s="125" t="str">
        <f>IFERROR('1a'!I10/'1h'!$C10*1000, "na")</f>
        <v>na</v>
      </c>
      <c r="J10" s="123" t="str">
        <f>IFERROR('1a'!J10/'1h'!$D10*1000, "na")</f>
        <v>na</v>
      </c>
      <c r="K10" s="124" t="str">
        <f>IFERROR('1a'!K10/'1h'!$D10*1000, "na")</f>
        <v>na</v>
      </c>
      <c r="L10" s="124" t="str">
        <f>IFERROR('1a'!L10/'1h'!$D10*1000, "na")</f>
        <v>na</v>
      </c>
      <c r="M10" s="125" t="str">
        <f>IFERROR('1a'!M10/'1h'!$D10*1000, "na")</f>
        <v>na</v>
      </c>
    </row>
    <row r="11" spans="1:15">
      <c r="A11" s="185">
        <v>1986</v>
      </c>
      <c r="B11" s="123" t="str">
        <f>IFERROR('1a'!B11/'1h'!$B11*1000, "na")</f>
        <v>na</v>
      </c>
      <c r="C11" s="124" t="str">
        <f>IFERROR('1a'!C11/'1h'!$B11*1000, "na")</f>
        <v>na</v>
      </c>
      <c r="D11" s="124" t="str">
        <f>IFERROR('1a'!D11/'1h'!$B11*1000, "na")</f>
        <v>na</v>
      </c>
      <c r="E11" s="125" t="str">
        <f>IFERROR('1a'!E11/'1h'!$B11*1000, "na")</f>
        <v>na</v>
      </c>
      <c r="F11" s="123" t="str">
        <f>IFERROR('1a'!F11/'1h'!$C11*1000, "na")</f>
        <v>na</v>
      </c>
      <c r="G11" s="124" t="str">
        <f>IFERROR('1a'!G11/'1h'!$C11*1000, "na")</f>
        <v>na</v>
      </c>
      <c r="H11" s="124" t="str">
        <f>IFERROR('1a'!H11/'1h'!$C11*1000, "na")</f>
        <v>na</v>
      </c>
      <c r="I11" s="125" t="str">
        <f>IFERROR('1a'!I11/'1h'!$C11*1000, "na")</f>
        <v>na</v>
      </c>
      <c r="J11" s="123" t="str">
        <f>IFERROR('1a'!J11/'1h'!$D11*1000, "na")</f>
        <v>na</v>
      </c>
      <c r="K11" s="124" t="str">
        <f>IFERROR('1a'!K11/'1h'!$D11*1000, "na")</f>
        <v>na</v>
      </c>
      <c r="L11" s="124" t="str">
        <f>IFERROR('1a'!L11/'1h'!$D11*1000, "na")</f>
        <v>na</v>
      </c>
      <c r="M11" s="125" t="str">
        <f>IFERROR('1a'!M11/'1h'!$D11*1000, "na")</f>
        <v>na</v>
      </c>
    </row>
    <row r="12" spans="1:15">
      <c r="A12" s="185">
        <v>1987</v>
      </c>
      <c r="B12" s="123" t="str">
        <f>IFERROR('1a'!B12/'1h'!$B12*1000, "na")</f>
        <v>na</v>
      </c>
      <c r="C12" s="124" t="str">
        <f>IFERROR('1a'!C12/'1h'!$B12*1000, "na")</f>
        <v>na</v>
      </c>
      <c r="D12" s="124" t="str">
        <f>IFERROR('1a'!D12/'1h'!$B12*1000, "na")</f>
        <v>na</v>
      </c>
      <c r="E12" s="125" t="str">
        <f>IFERROR('1a'!E12/'1h'!$B12*1000, "na")</f>
        <v>na</v>
      </c>
      <c r="F12" s="123" t="str">
        <f>IFERROR('1a'!F12/'1h'!$C12*1000, "na")</f>
        <v>na</v>
      </c>
      <c r="G12" s="124" t="str">
        <f>IFERROR('1a'!G12/'1h'!$C12*1000, "na")</f>
        <v>na</v>
      </c>
      <c r="H12" s="124" t="str">
        <f>IFERROR('1a'!H12/'1h'!$C12*1000, "na")</f>
        <v>na</v>
      </c>
      <c r="I12" s="125" t="str">
        <f>IFERROR('1a'!I12/'1h'!$C12*1000, "na")</f>
        <v>na</v>
      </c>
      <c r="J12" s="123" t="str">
        <f>IFERROR('1a'!J12/'1h'!$D12*1000, "na")</f>
        <v>na</v>
      </c>
      <c r="K12" s="124" t="str">
        <f>IFERROR('1a'!K12/'1h'!$D12*1000, "na")</f>
        <v>na</v>
      </c>
      <c r="L12" s="124" t="str">
        <f>IFERROR('1a'!L12/'1h'!$D12*1000, "na")</f>
        <v>na</v>
      </c>
      <c r="M12" s="125" t="str">
        <f>IFERROR('1a'!M12/'1h'!$D12*1000, "na")</f>
        <v>na</v>
      </c>
    </row>
    <row r="13" spans="1:15">
      <c r="A13" s="185">
        <v>1988</v>
      </c>
      <c r="B13" s="123" t="str">
        <f>IFERROR('1a'!B13/'1h'!$B13*1000, "na")</f>
        <v>na</v>
      </c>
      <c r="C13" s="124" t="str">
        <f>IFERROR('1a'!C13/'1h'!$B13*1000, "na")</f>
        <v>na</v>
      </c>
      <c r="D13" s="124" t="str">
        <f>IFERROR('1a'!D13/'1h'!$B13*1000, "na")</f>
        <v>na</v>
      </c>
      <c r="E13" s="125" t="str">
        <f>IFERROR('1a'!E13/'1h'!$B13*1000, "na")</f>
        <v>na</v>
      </c>
      <c r="F13" s="123" t="str">
        <f>IFERROR('1a'!F13/'1h'!$C13*1000, "na")</f>
        <v>na</v>
      </c>
      <c r="G13" s="124" t="str">
        <f>IFERROR('1a'!G13/'1h'!$C13*1000, "na")</f>
        <v>na</v>
      </c>
      <c r="H13" s="124" t="str">
        <f>IFERROR('1a'!H13/'1h'!$C13*1000, "na")</f>
        <v>na</v>
      </c>
      <c r="I13" s="125" t="str">
        <f>IFERROR('1a'!I13/'1h'!$C13*1000, "na")</f>
        <v>na</v>
      </c>
      <c r="J13" s="123" t="str">
        <f>IFERROR('1a'!J13/'1h'!$D13*1000, "na")</f>
        <v>na</v>
      </c>
      <c r="K13" s="124" t="str">
        <f>IFERROR('1a'!K13/'1h'!$D13*1000, "na")</f>
        <v>na</v>
      </c>
      <c r="L13" s="124" t="str">
        <f>IFERROR('1a'!L13/'1h'!$D13*1000, "na")</f>
        <v>na</v>
      </c>
      <c r="M13" s="125" t="str">
        <f>IFERROR('1a'!M13/'1h'!$D13*1000, "na")</f>
        <v>na</v>
      </c>
    </row>
    <row r="14" spans="1:15">
      <c r="A14" s="185">
        <v>1989</v>
      </c>
      <c r="B14" s="123" t="str">
        <f>IFERROR('1a'!B14/'1h'!$B14*1000, "na")</f>
        <v>na</v>
      </c>
      <c r="C14" s="124" t="str">
        <f>IFERROR('1a'!C14/'1h'!$B14*1000, "na")</f>
        <v>na</v>
      </c>
      <c r="D14" s="124" t="str">
        <f>IFERROR('1a'!D14/'1h'!$B14*1000, "na")</f>
        <v>na</v>
      </c>
      <c r="E14" s="125" t="str">
        <f>IFERROR('1a'!E14/'1h'!$B14*1000, "na")</f>
        <v>na</v>
      </c>
      <c r="F14" s="123" t="str">
        <f>IFERROR('1a'!F14/'1h'!$C14*1000, "na")</f>
        <v>na</v>
      </c>
      <c r="G14" s="124" t="str">
        <f>IFERROR('1a'!G14/'1h'!$C14*1000, "na")</f>
        <v>na</v>
      </c>
      <c r="H14" s="124" t="str">
        <f>IFERROR('1a'!H14/'1h'!$C14*1000, "na")</f>
        <v>na</v>
      </c>
      <c r="I14" s="125" t="str">
        <f>IFERROR('1a'!I14/'1h'!$C14*1000, "na")</f>
        <v>na</v>
      </c>
      <c r="J14" s="123" t="str">
        <f>IFERROR('1a'!J14/'1h'!$D14*1000, "na")</f>
        <v>na</v>
      </c>
      <c r="K14" s="124" t="str">
        <f>IFERROR('1a'!K14/'1h'!$D14*1000, "na")</f>
        <v>na</v>
      </c>
      <c r="L14" s="124" t="str">
        <f>IFERROR('1a'!L14/'1h'!$D14*1000, "na")</f>
        <v>na</v>
      </c>
      <c r="M14" s="125" t="str">
        <f>IFERROR('1a'!M14/'1h'!$D14*1000, "na")</f>
        <v>na</v>
      </c>
    </row>
    <row r="15" spans="1:15">
      <c r="A15" s="185">
        <v>1990</v>
      </c>
      <c r="B15" s="123" t="str">
        <f>IFERROR('1a'!B15/'1h'!$B15*1000, "na")</f>
        <v>na</v>
      </c>
      <c r="C15" s="124" t="str">
        <f>IFERROR('1a'!C15/'1h'!$B15*1000, "na")</f>
        <v>na</v>
      </c>
      <c r="D15" s="124" t="str">
        <f>IFERROR('1a'!D15/'1h'!$B15*1000, "na")</f>
        <v>na</v>
      </c>
      <c r="E15" s="125" t="str">
        <f>IFERROR('1a'!E15/'1h'!$B15*1000, "na")</f>
        <v>na</v>
      </c>
      <c r="F15" s="123" t="str">
        <f>IFERROR('1a'!F15/'1h'!$C15*1000, "na")</f>
        <v>na</v>
      </c>
      <c r="G15" s="124" t="str">
        <f>IFERROR('1a'!G15/'1h'!$C15*1000, "na")</f>
        <v>na</v>
      </c>
      <c r="H15" s="124" t="str">
        <f>IFERROR('1a'!H15/'1h'!$C15*1000, "na")</f>
        <v>na</v>
      </c>
      <c r="I15" s="125" t="str">
        <f>IFERROR('1a'!I15/'1h'!$C15*1000, "na")</f>
        <v>na</v>
      </c>
      <c r="J15" s="123" t="str">
        <f>IFERROR('1a'!J15/'1h'!$D15*1000, "na")</f>
        <v>na</v>
      </c>
      <c r="K15" s="124" t="str">
        <f>IFERROR('1a'!K15/'1h'!$D15*1000, "na")</f>
        <v>na</v>
      </c>
      <c r="L15" s="124" t="str">
        <f>IFERROR('1a'!L15/'1h'!$D15*1000, "na")</f>
        <v>na</v>
      </c>
      <c r="M15" s="125" t="str">
        <f>IFERROR('1a'!M15/'1h'!$D15*1000, "na")</f>
        <v>na</v>
      </c>
    </row>
    <row r="16" spans="1:15">
      <c r="A16" s="185">
        <v>1991</v>
      </c>
      <c r="B16" s="112">
        <f>IFERROR('1a'!B16/'1h'!$B16*1000, "na")</f>
        <v>314.8989440103378</v>
      </c>
      <c r="C16" s="113">
        <f>IFERROR('1a'!C16/'1h'!$B16*1000, "na")</f>
        <v>1549.9828376441135</v>
      </c>
      <c r="D16" s="113">
        <f>IFERROR('1a'!D16/'1h'!$B16*1000, "na")</f>
        <v>201.72835019282411</v>
      </c>
      <c r="E16" s="97">
        <f>IFERROR('1a'!E16/'1h'!$B16*1000, "na")</f>
        <v>2066.6101318472752</v>
      </c>
      <c r="F16" s="112">
        <f>IFERROR('1a'!F16/'1h'!$C16*1000, "na")</f>
        <v>231.243156673367</v>
      </c>
      <c r="G16" s="113">
        <f>IFERROR('1a'!G16/'1h'!$C16*1000, "na")</f>
        <v>179.42181039695379</v>
      </c>
      <c r="H16" s="113">
        <f>IFERROR('1a'!H16/'1h'!$C16*1000, "na")</f>
        <v>15.623212563939139</v>
      </c>
      <c r="I16" s="97">
        <f>IFERROR('1a'!I16/'1h'!$C16*1000, "na")</f>
        <v>426.28817963425985</v>
      </c>
      <c r="J16" s="112" t="str">
        <f>IFERROR('1a'!J16/'1h'!$D16*1000, "na")</f>
        <v>na</v>
      </c>
      <c r="K16" s="113" t="str">
        <f>IFERROR('1a'!K16/'1h'!$D16*1000, "na")</f>
        <v>na</v>
      </c>
      <c r="L16" s="113" t="str">
        <f>IFERROR('1a'!L16/'1h'!$D16*1000, "na")</f>
        <v>na</v>
      </c>
      <c r="M16" s="97" t="str">
        <f>IFERROR('1a'!M16/'1h'!$D16*1000, "na")</f>
        <v>na</v>
      </c>
    </row>
    <row r="17" spans="1:13">
      <c r="A17" s="185">
        <v>1992</v>
      </c>
      <c r="B17" s="112">
        <f>IFERROR('1a'!B17/'1h'!$B17*1000, "na")</f>
        <v>782.38626754608492</v>
      </c>
      <c r="C17" s="113">
        <f>IFERROR('1a'!C17/'1h'!$B17*1000, "na")</f>
        <v>1692.7532555386435</v>
      </c>
      <c r="D17" s="113" t="str">
        <f>IFERROR('1a'!D17/'1h'!$B17*1000, "na")</f>
        <v>na</v>
      </c>
      <c r="E17" s="97" t="str">
        <f>IFERROR('1a'!E17/'1h'!$B17*1000, "na")</f>
        <v>na</v>
      </c>
      <c r="F17" s="112">
        <f>IFERROR('1a'!F17/'1h'!$C17*1000, "na")</f>
        <v>216.60240038726698</v>
      </c>
      <c r="G17" s="113">
        <f>IFERROR('1a'!G17/'1h'!$C17*1000, "na")</f>
        <v>146.8442752933714</v>
      </c>
      <c r="H17" s="113" t="str">
        <f>IFERROR('1a'!H17/'1h'!$C17*1000, "na")</f>
        <v>na</v>
      </c>
      <c r="I17" s="97" t="str">
        <f>IFERROR('1a'!I17/'1h'!$C17*1000, "na")</f>
        <v>na</v>
      </c>
      <c r="J17" s="112" t="str">
        <f>IFERROR('1a'!J17/'1h'!$D17*1000, "na")</f>
        <v>na</v>
      </c>
      <c r="K17" s="113" t="str">
        <f>IFERROR('1a'!K17/'1h'!$D17*1000, "na")</f>
        <v>na</v>
      </c>
      <c r="L17" s="113" t="str">
        <f>IFERROR('1a'!L17/'1h'!$D17*1000, "na")</f>
        <v>na</v>
      </c>
      <c r="M17" s="97" t="str">
        <f>IFERROR('1a'!M17/'1h'!$D17*1000, "na")</f>
        <v>na</v>
      </c>
    </row>
    <row r="18" spans="1:13">
      <c r="A18" s="185">
        <v>1993</v>
      </c>
      <c r="B18" s="112">
        <f>IFERROR('1a'!B18/'1h'!$B18*1000, "na")</f>
        <v>1671.9192634560907</v>
      </c>
      <c r="C18" s="113">
        <f>IFERROR('1a'!C18/'1h'!$B18*1000, "na")</f>
        <v>1228.3773016997168</v>
      </c>
      <c r="D18" s="113" t="str">
        <f>IFERROR('1a'!D18/'1h'!$B18*1000, "na")</f>
        <v>na</v>
      </c>
      <c r="E18" s="97" t="str">
        <f>IFERROR('1a'!E18/'1h'!$B18*1000, "na")</f>
        <v>na</v>
      </c>
      <c r="F18" s="112">
        <f>IFERROR('1a'!F18/'1h'!$C18*1000, "na")</f>
        <v>92.342933081536657</v>
      </c>
      <c r="G18" s="113">
        <f>IFERROR('1a'!G18/'1h'!$C18*1000, "na")</f>
        <v>266.06515238944553</v>
      </c>
      <c r="H18" s="113" t="str">
        <f>IFERROR('1a'!H18/'1h'!$C18*1000, "na")</f>
        <v>na</v>
      </c>
      <c r="I18" s="97" t="str">
        <f>IFERROR('1a'!I18/'1h'!$C18*1000, "na")</f>
        <v>na</v>
      </c>
      <c r="J18" s="112" t="str">
        <f>IFERROR('1a'!J18/'1h'!$D18*1000, "na")</f>
        <v>na</v>
      </c>
      <c r="K18" s="113" t="str">
        <f>IFERROR('1a'!K18/'1h'!$D18*1000, "na")</f>
        <v>na</v>
      </c>
      <c r="L18" s="113" t="str">
        <f>IFERROR('1a'!L18/'1h'!$D18*1000, "na")</f>
        <v>na</v>
      </c>
      <c r="M18" s="97" t="str">
        <f>IFERROR('1a'!M18/'1h'!$D18*1000, "na")</f>
        <v>na</v>
      </c>
    </row>
    <row r="19" spans="1:13">
      <c r="A19" s="185">
        <v>1994</v>
      </c>
      <c r="B19" s="112">
        <f>IFERROR('1a'!B19/'1h'!$B19*1000, "na")</f>
        <v>31.829480213809642</v>
      </c>
      <c r="C19" s="113">
        <f>IFERROR('1a'!C19/'1h'!$B19*1000, "na")</f>
        <v>866.72092562856085</v>
      </c>
      <c r="D19" s="113">
        <f>IFERROR('1a'!D19/'1h'!$B19*1000, "na")</f>
        <v>43.971756010646494</v>
      </c>
      <c r="E19" s="97">
        <f>IFERROR('1a'!E19/'1h'!$B19*1000, "na")</f>
        <v>942.52216185301711</v>
      </c>
      <c r="F19" s="112">
        <f>IFERROR('1a'!F19/'1h'!$C19*1000, "na")</f>
        <v>219.11595971369775</v>
      </c>
      <c r="G19" s="113">
        <f>IFERROR('1a'!G19/'1h'!$C19*1000, "na")</f>
        <v>299.45180031689949</v>
      </c>
      <c r="H19" s="113" t="str">
        <f>IFERROR('1a'!H19/'1h'!$C19*1000, "na")</f>
        <v>na</v>
      </c>
      <c r="I19" s="97" t="str">
        <f>IFERROR('1a'!I19/'1h'!$C19*1000, "na")</f>
        <v>na</v>
      </c>
      <c r="J19" s="112" t="str">
        <f>IFERROR('1a'!J19/'1h'!$D19*1000, "na")</f>
        <v>na</v>
      </c>
      <c r="K19" s="113" t="str">
        <f>IFERROR('1a'!K19/'1h'!$D19*1000, "na")</f>
        <v>na</v>
      </c>
      <c r="L19" s="113" t="str">
        <f>IFERROR('1a'!L19/'1h'!$D19*1000, "na")</f>
        <v>na</v>
      </c>
      <c r="M19" s="97" t="str">
        <f>IFERROR('1a'!M19/'1h'!$D19*1000, "na")</f>
        <v>na</v>
      </c>
    </row>
    <row r="20" spans="1:13">
      <c r="A20" s="185">
        <v>1995</v>
      </c>
      <c r="B20" s="112">
        <f>IFERROR('1a'!B20/'1h'!$B20*1000, "na")</f>
        <v>199.59090063844295</v>
      </c>
      <c r="C20" s="113">
        <f>IFERROR('1a'!C20/'1h'!$B20*1000, "na")</f>
        <v>853.57135478005739</v>
      </c>
      <c r="D20" s="113" t="str">
        <f>IFERROR('1a'!D20/'1h'!$B20*1000, "na")</f>
        <v>na</v>
      </c>
      <c r="E20" s="97" t="str">
        <f>IFERROR('1a'!E20/'1h'!$B20*1000, "na")</f>
        <v>na</v>
      </c>
      <c r="F20" s="112">
        <f>IFERROR('1a'!F20/'1h'!$C20*1000, "na")</f>
        <v>563.74219737295607</v>
      </c>
      <c r="G20" s="113">
        <f>IFERROR('1a'!G20/'1h'!$C20*1000, "na")</f>
        <v>429.05832344043199</v>
      </c>
      <c r="H20" s="113" t="str">
        <f>IFERROR('1a'!H20/'1h'!$C20*1000, "na")</f>
        <v>na</v>
      </c>
      <c r="I20" s="97" t="str">
        <f>IFERROR('1a'!I20/'1h'!$C20*1000, "na")</f>
        <v>na</v>
      </c>
      <c r="J20" s="112" t="str">
        <f>IFERROR('1a'!J20/'1h'!$D20*1000, "na")</f>
        <v>na</v>
      </c>
      <c r="K20" s="113" t="str">
        <f>IFERROR('1a'!K20/'1h'!$D20*1000, "na")</f>
        <v>na</v>
      </c>
      <c r="L20" s="113" t="str">
        <f>IFERROR('1a'!L20/'1h'!$D20*1000, "na")</f>
        <v>na</v>
      </c>
      <c r="M20" s="97" t="str">
        <f>IFERROR('1a'!M20/'1h'!$D20*1000, "na")</f>
        <v>na</v>
      </c>
    </row>
    <row r="21" spans="1:13">
      <c r="A21" s="185">
        <v>1996</v>
      </c>
      <c r="B21" s="112">
        <f>IFERROR('1a'!B21/'1h'!$B21*1000, "na")</f>
        <v>421.53222407321914</v>
      </c>
      <c r="C21" s="113">
        <f>IFERROR('1a'!C21/'1h'!$B21*1000, "na")</f>
        <v>1031.2706982718823</v>
      </c>
      <c r="D21" s="113">
        <f>IFERROR('1a'!D21/'1h'!$B21*1000, "na")</f>
        <v>80.203921883467473</v>
      </c>
      <c r="E21" s="97">
        <f>IFERROR('1a'!E21/'1h'!$B21*1000, "na")</f>
        <v>1533.006844228569</v>
      </c>
      <c r="F21" s="112">
        <f>IFERROR('1a'!F21/'1h'!$C21*1000, "na")</f>
        <v>982.65480178384269</v>
      </c>
      <c r="G21" s="113">
        <f>IFERROR('1a'!G21/'1h'!$C21*1000, "na")</f>
        <v>694.13674756982266</v>
      </c>
      <c r="H21" s="113" t="str">
        <f>IFERROR('1a'!H21/'1h'!$C21*1000, "na")</f>
        <v>na</v>
      </c>
      <c r="I21" s="97" t="str">
        <f>IFERROR('1a'!I21/'1h'!$C21*1000, "na")</f>
        <v>na</v>
      </c>
      <c r="J21" s="112" t="str">
        <f>IFERROR('1a'!J21/'1h'!$D21*1000, "na")</f>
        <v>na</v>
      </c>
      <c r="K21" s="113" t="str">
        <f>IFERROR('1a'!K21/'1h'!$D21*1000, "na")</f>
        <v>na</v>
      </c>
      <c r="L21" s="113" t="str">
        <f>IFERROR('1a'!L21/'1h'!$D21*1000, "na")</f>
        <v>na</v>
      </c>
      <c r="M21" s="97" t="str">
        <f>IFERROR('1a'!M21/'1h'!$D21*1000, "na")</f>
        <v>na</v>
      </c>
    </row>
    <row r="22" spans="1:13">
      <c r="A22" s="185">
        <v>1997</v>
      </c>
      <c r="B22" s="112">
        <f>IFERROR('1a'!B22/'1h'!$B22*1000, "na")</f>
        <v>1649.2944021366443</v>
      </c>
      <c r="C22" s="113">
        <f>IFERROR('1a'!C22/'1h'!$B22*1000, "na")</f>
        <v>2012.6863247554772</v>
      </c>
      <c r="D22" s="113">
        <f>IFERROR('1a'!D22/'1h'!$B22*1000, "na")</f>
        <v>446.7102176345328</v>
      </c>
      <c r="E22" s="97">
        <f>IFERROR('1a'!E22/'1h'!$B22*1000, "na")</f>
        <v>4108.6909445266538</v>
      </c>
      <c r="F22" s="112">
        <f>IFERROR('1a'!F22/'1h'!$C22*1000, "na")</f>
        <v>1612.9850972906136</v>
      </c>
      <c r="G22" s="113">
        <f>IFERROR('1a'!G22/'1h'!$C22*1000, "na")</f>
        <v>1674.266253064058</v>
      </c>
      <c r="H22" s="113">
        <f>IFERROR('1a'!H22/'1h'!$C22*1000, "na")</f>
        <v>25.857393869715178</v>
      </c>
      <c r="I22" s="97">
        <f>IFERROR('1a'!I22/'1h'!$C22*1000, "na")</f>
        <v>3313.1087442243866</v>
      </c>
      <c r="J22" s="112">
        <f>IFERROR('1a'!J22/'1h'!$D22*1000, "na")</f>
        <v>525.58666797582805</v>
      </c>
      <c r="K22" s="113">
        <f>IFERROR('1a'!K22/'1h'!$D22*1000, "na")</f>
        <v>699.61885549535396</v>
      </c>
      <c r="L22" s="113">
        <f>IFERROR('1a'!L22/'1h'!$D22*1000, "na")</f>
        <v>454.99906275941476</v>
      </c>
      <c r="M22" s="97">
        <f>IFERROR('1a'!M22/'1h'!$D22*1000, "na")</f>
        <v>1680.2045862305968</v>
      </c>
    </row>
    <row r="23" spans="1:13">
      <c r="A23" s="185">
        <v>1998</v>
      </c>
      <c r="B23" s="112">
        <f>IFERROR('1a'!B23/'1h'!$B23*1000, "na")</f>
        <v>2014.2130634286946</v>
      </c>
      <c r="C23" s="113">
        <f>IFERROR('1a'!C23/'1h'!$B23*1000, "na")</f>
        <v>2193.8145013003796</v>
      </c>
      <c r="D23" s="113">
        <f>IFERROR('1a'!D23/'1h'!$B23*1000, "na")</f>
        <v>106.78019447711497</v>
      </c>
      <c r="E23" s="97">
        <f>IFERROR('1a'!E23/'1h'!$B23*1000, "na")</f>
        <v>4314.8077592061891</v>
      </c>
      <c r="F23" s="112">
        <f>IFERROR('1a'!F23/'1h'!$C23*1000, "na")</f>
        <v>4109.7295080197746</v>
      </c>
      <c r="G23" s="113">
        <f>IFERROR('1a'!G23/'1h'!$C23*1000, "na")</f>
        <v>2393.5194179996979</v>
      </c>
      <c r="H23" s="113">
        <f>IFERROR('1a'!H23/'1h'!$C23*1000, "na")</f>
        <v>165.10156941476157</v>
      </c>
      <c r="I23" s="97">
        <f>IFERROR('1a'!I23/'1h'!$C23*1000, "na")</f>
        <v>6668.3504954342343</v>
      </c>
      <c r="J23" s="112">
        <f>IFERROR('1a'!J23/'1h'!$D23*1000, "na")</f>
        <v>692.86155397807784</v>
      </c>
      <c r="K23" s="113">
        <f>IFERROR('1a'!K23/'1h'!$D23*1000, "na")</f>
        <v>777.75718772472158</v>
      </c>
      <c r="L23" s="113">
        <f>IFERROR('1a'!L23/'1h'!$D23*1000, "na")</f>
        <v>435.11073711473756</v>
      </c>
      <c r="M23" s="97">
        <f>IFERROR('1a'!M23/'1h'!$D23*1000, "na")</f>
        <v>1905.7294788175373</v>
      </c>
    </row>
    <row r="24" spans="1:13">
      <c r="A24" s="185">
        <v>1999</v>
      </c>
      <c r="B24" s="112">
        <f>IFERROR('1a'!B24/'1h'!$B24*1000, "na")</f>
        <v>1533.7019230769231</v>
      </c>
      <c r="C24" s="113">
        <f>IFERROR('1a'!C24/'1h'!$B24*1000, "na")</f>
        <v>3219.2147435897436</v>
      </c>
      <c r="D24" s="113">
        <f>IFERROR('1a'!D24/'1h'!$B24*1000, "na")</f>
        <v>130.99358974358975</v>
      </c>
      <c r="E24" s="97">
        <f>IFERROR('1a'!E24/'1h'!$B24*1000, "na")</f>
        <v>4883.9102564102559</v>
      </c>
      <c r="F24" s="112">
        <f>IFERROR('1a'!F24/'1h'!$C24*1000, "na")</f>
        <v>506.03405162103974</v>
      </c>
      <c r="G24" s="113">
        <f>IFERROR('1a'!G24/'1h'!$C24*1000, "na")</f>
        <v>1108.3085085563939</v>
      </c>
      <c r="H24" s="113">
        <f>IFERROR('1a'!H24/'1h'!$C24*1000, "na")</f>
        <v>15.308008436800105</v>
      </c>
      <c r="I24" s="97">
        <f>IFERROR('1a'!I24/'1h'!$C24*1000, "na")</f>
        <v>1629.6505686142334</v>
      </c>
      <c r="J24" s="112">
        <f>IFERROR('1a'!J24/'1h'!$D24*1000, "na")</f>
        <v>712.89043596526142</v>
      </c>
      <c r="K24" s="113">
        <f>IFERROR('1a'!K24/'1h'!$D24*1000, "na")</f>
        <v>790.45372334919216</v>
      </c>
      <c r="L24" s="113">
        <f>IFERROR('1a'!L24/'1h'!$D24*1000, "na")</f>
        <v>507.69615322789008</v>
      </c>
      <c r="M24" s="97">
        <f>IFERROR('1a'!M24/'1h'!$D24*1000, "na")</f>
        <v>2011.0403125423441</v>
      </c>
    </row>
    <row r="25" spans="1:13">
      <c r="A25" s="185">
        <v>2000</v>
      </c>
      <c r="B25" s="112">
        <f>IFERROR('1a'!B25/'1h'!$B25*1000, "na")</f>
        <v>329.87522111201417</v>
      </c>
      <c r="C25" s="113">
        <f>IFERROR('1a'!C25/'1h'!$B25*1000, "na")</f>
        <v>3725.1836624117541</v>
      </c>
      <c r="D25" s="113">
        <f>IFERROR('1a'!D25/'1h'!$B25*1000, "na")</f>
        <v>47.12275501585632</v>
      </c>
      <c r="E25" s="97">
        <f>IFERROR('1a'!E25/'1h'!$B25*1000, "na")</f>
        <v>4102.1816385396241</v>
      </c>
      <c r="F25" s="112">
        <f>IFERROR('1a'!F25/'1h'!$C25*1000, "na")</f>
        <v>999.2808038075093</v>
      </c>
      <c r="G25" s="113">
        <f>IFERROR('1a'!G25/'1h'!$C25*1000, "na")</f>
        <v>2170.2379693283979</v>
      </c>
      <c r="H25" s="113">
        <f>IFERROR('1a'!H25/'1h'!$C25*1000, "na")</f>
        <v>285.45742993125327</v>
      </c>
      <c r="I25" s="97">
        <f>IFERROR('1a'!I25/'1h'!$C25*1000, "na")</f>
        <v>3454.9762030671604</v>
      </c>
      <c r="J25" s="112">
        <f>IFERROR('1a'!J25/'1h'!$D25*1000, "na")</f>
        <v>747.4305382584821</v>
      </c>
      <c r="K25" s="113">
        <f>IFERROR('1a'!K25/'1h'!$D25*1000, "na")</f>
        <v>819.37998078776729</v>
      </c>
      <c r="L25" s="113">
        <f>IFERROR('1a'!L25/'1h'!$D25*1000, "na")</f>
        <v>623.0229188560146</v>
      </c>
      <c r="M25" s="97">
        <f>IFERROR('1a'!M25/'1h'!$D25*1000, "na")</f>
        <v>2189.833437902264</v>
      </c>
    </row>
    <row r="26" spans="1:13">
      <c r="A26" s="185">
        <v>2001</v>
      </c>
      <c r="B26" s="112">
        <f>IFERROR('1a'!B26/'1h'!$B26*1000, "na")</f>
        <v>59.035172636334302</v>
      </c>
      <c r="C26" s="113">
        <f>IFERROR('1a'!C26/'1h'!$B26*1000, "na")</f>
        <v>2768.7963859309457</v>
      </c>
      <c r="D26" s="113">
        <f>IFERROR('1a'!D26/'1h'!$B26*1000, "na")</f>
        <v>0.19361084220716362</v>
      </c>
      <c r="E26" s="97">
        <f>IFERROR('1a'!E26/'1h'!$B26*1000, "na")</f>
        <v>2828.0251694094873</v>
      </c>
      <c r="F26" s="112">
        <f>IFERROR('1a'!F26/'1h'!$C26*1000, "na")</f>
        <v>3.853851722522676</v>
      </c>
      <c r="G26" s="113">
        <f>IFERROR('1a'!G26/'1h'!$C26*1000, "na")</f>
        <v>1571.3494868628368</v>
      </c>
      <c r="H26" s="113">
        <f>IFERROR('1a'!H26/'1h'!$C26*1000, "na")</f>
        <v>15.415406890090704</v>
      </c>
      <c r="I26" s="97">
        <f>IFERROR('1a'!I26/'1h'!$C26*1000, "na")</f>
        <v>1590.6187454754504</v>
      </c>
      <c r="J26" s="112">
        <f>IFERROR('1a'!J26/'1h'!$D26*1000, "na")</f>
        <v>628.71570869942104</v>
      </c>
      <c r="K26" s="113">
        <f>IFERROR('1a'!K26/'1h'!$D26*1000, "na")</f>
        <v>890.99313228217886</v>
      </c>
      <c r="L26" s="113">
        <f>IFERROR('1a'!L26/'1h'!$D26*1000, "na")</f>
        <v>646.05280125028833</v>
      </c>
      <c r="M26" s="97">
        <f>IFERROR('1a'!M26/'1h'!$D26*1000, "na")</f>
        <v>2165.7616422318879</v>
      </c>
    </row>
    <row r="27" spans="1:13">
      <c r="A27" s="185">
        <v>2002</v>
      </c>
      <c r="B27" s="112">
        <f>IFERROR('1a'!B27/'1h'!$B27*1000, "na")</f>
        <v>595.04534241339775</v>
      </c>
      <c r="C27" s="113">
        <f>IFERROR('1a'!C27/'1h'!$B27*1000, "na")</f>
        <v>2029.8460790104582</v>
      </c>
      <c r="D27" s="113">
        <f>IFERROR('1a'!D27/'1h'!$B27*1000, "na")</f>
        <v>63.739967339564302</v>
      </c>
      <c r="E27" s="97">
        <f>IFERROR('1a'!E27/'1h'!$B27*1000, "na")</f>
        <v>2688.6313887634205</v>
      </c>
      <c r="F27" s="112">
        <f>IFERROR('1a'!F27/'1h'!$C27*1000, "na")</f>
        <v>55.034903827679692</v>
      </c>
      <c r="G27" s="113">
        <f>IFERROR('1a'!G27/'1h'!$C27*1000, "na")</f>
        <v>1267.8308391862179</v>
      </c>
      <c r="H27" s="113">
        <f>IFERROR('1a'!H27/'1h'!$C27*1000, "na")</f>
        <v>59.389876822577541</v>
      </c>
      <c r="I27" s="97">
        <f>IFERROR('1a'!I27/'1h'!$C27*1000, "na")</f>
        <v>1382.255619836475</v>
      </c>
      <c r="J27" s="112">
        <f>IFERROR('1a'!J27/'1h'!$D27*1000, "na")</f>
        <v>629.25097742920525</v>
      </c>
      <c r="K27" s="113">
        <f>IFERROR('1a'!K27/'1h'!$D27*1000, "na")</f>
        <v>838.73898616038946</v>
      </c>
      <c r="L27" s="113">
        <f>IFERROR('1a'!L27/'1h'!$D27*1000, "na")</f>
        <v>572.33612038605133</v>
      </c>
      <c r="M27" s="97">
        <f>IFERROR('1a'!M27/'1h'!$D27*1000, "na")</f>
        <v>2040.3260839756458</v>
      </c>
    </row>
    <row r="28" spans="1:13">
      <c r="A28" s="185">
        <v>2003</v>
      </c>
      <c r="B28" s="112">
        <f>IFERROR('1a'!B28/'1h'!$B28*1000, "na")</f>
        <v>1143.6884216094688</v>
      </c>
      <c r="C28" s="113">
        <f>IFERROR('1a'!C28/'1h'!$B28*1000, "na")</f>
        <v>1779.5080341202142</v>
      </c>
      <c r="D28" s="113">
        <f>IFERROR('1a'!D28/'1h'!$B28*1000, "na")</f>
        <v>207.76300998479138</v>
      </c>
      <c r="E28" s="97">
        <f>IFERROR('1a'!E28/'1h'!$B28*1000, "na")</f>
        <v>3130.9594657144748</v>
      </c>
      <c r="F28" s="112">
        <f>IFERROR('1a'!F28/'1h'!$C28*1000, "na")</f>
        <v>371.48506151142351</v>
      </c>
      <c r="G28" s="113">
        <f>IFERROR('1a'!G28/'1h'!$C28*1000, "na")</f>
        <v>1444.0246045694198</v>
      </c>
      <c r="H28" s="113">
        <f>IFERROR('1a'!H28/'1h'!$C28*1000, "na")</f>
        <v>77.899824253075565</v>
      </c>
      <c r="I28" s="97">
        <f>IFERROR('1a'!I28/'1h'!$C28*1000, "na")</f>
        <v>1893.4094903339192</v>
      </c>
      <c r="J28" s="112">
        <f>IFERROR('1a'!J28/'1h'!$D28*1000, "na")</f>
        <v>643.48702679843518</v>
      </c>
      <c r="K28" s="113">
        <f>IFERROR('1a'!K28/'1h'!$D28*1000, "na")</f>
        <v>825.23824905862955</v>
      </c>
      <c r="L28" s="113">
        <f>IFERROR('1a'!L28/'1h'!$D28*1000, "na")</f>
        <v>496.6675561506255</v>
      </c>
      <c r="M28" s="97">
        <f>IFERROR('1a'!M28/'1h'!$D28*1000, "na")</f>
        <v>1965.3928320076902</v>
      </c>
    </row>
    <row r="29" spans="1:13">
      <c r="A29" s="185">
        <v>2004</v>
      </c>
      <c r="B29" s="112">
        <f>IFERROR('1a'!B29/'1h'!$B29*1000, "na")</f>
        <v>1198.9959535922362</v>
      </c>
      <c r="C29" s="113">
        <f>IFERROR('1a'!C29/'1h'!$B29*1000, "na")</f>
        <v>2250.2896287714702</v>
      </c>
      <c r="D29" s="113">
        <f>IFERROR('1a'!D29/'1h'!$B29*1000, "na")</f>
        <v>211.68924931580452</v>
      </c>
      <c r="E29" s="97">
        <f>IFERROR('1a'!E29/'1h'!$B29*1000, "na")</f>
        <v>3660.9748316795112</v>
      </c>
      <c r="F29" s="112">
        <f>IFERROR('1a'!F29/'1h'!$C29*1000, "na")</f>
        <v>389.11608142377372</v>
      </c>
      <c r="G29" s="113">
        <f>IFERROR('1a'!G29/'1h'!$C29*1000, "na")</f>
        <v>2698.5675447213907</v>
      </c>
      <c r="H29" s="113">
        <f>IFERROR('1a'!H29/'1h'!$C29*1000, "na")</f>
        <v>96.296634758173212</v>
      </c>
      <c r="I29" s="97">
        <f>IFERROR('1a'!I29/'1h'!$C29*1000, "na")</f>
        <v>3183.9802609033381</v>
      </c>
      <c r="J29" s="112">
        <f>IFERROR('1a'!J29/'1h'!$D29*1000, "na")</f>
        <v>710.94206914419442</v>
      </c>
      <c r="K29" s="113">
        <f>IFERROR('1a'!K29/'1h'!$D29*1000, "na")</f>
        <v>888.58177213521003</v>
      </c>
      <c r="L29" s="113">
        <f>IFERROR('1a'!L29/'1h'!$D29*1000, "na")</f>
        <v>469.49771080486312</v>
      </c>
      <c r="M29" s="97">
        <f>IFERROR('1a'!M29/'1h'!$D29*1000, "na")</f>
        <v>2069.0215520842676</v>
      </c>
    </row>
    <row r="30" spans="1:13">
      <c r="A30" s="185">
        <v>2005</v>
      </c>
      <c r="B30" s="112">
        <f>IFERROR('1a'!B30/'1h'!$B30*1000, "na")</f>
        <v>1503.6996663693722</v>
      </c>
      <c r="C30" s="113">
        <f>IFERROR('1a'!C30/'1h'!$B30*1000, "na")</f>
        <v>3285.0890232220131</v>
      </c>
      <c r="D30" s="113">
        <f>IFERROR('1a'!D30/'1h'!$B30*1000, "na")</f>
        <v>204.3735341723648</v>
      </c>
      <c r="E30" s="97">
        <f>IFERROR('1a'!E30/'1h'!$B30*1000, "na")</f>
        <v>4993.1622237637503</v>
      </c>
      <c r="F30" s="112">
        <f>IFERROR('1a'!F30/'1h'!$C30*1000, "na")</f>
        <v>592.54641174840674</v>
      </c>
      <c r="G30" s="113">
        <f>IFERROR('1a'!G30/'1h'!$C30*1000, "na")</f>
        <v>3495.7744527569967</v>
      </c>
      <c r="H30" s="113">
        <f>IFERROR('1a'!H30/'1h'!$C30*1000, "na")</f>
        <v>193.40537545026319</v>
      </c>
      <c r="I30" s="97">
        <f>IFERROR('1a'!I30/'1h'!$C30*1000, "na")</f>
        <v>4281.7262399556666</v>
      </c>
      <c r="J30" s="112">
        <f>IFERROR('1a'!J30/'1h'!$D30*1000, "na")</f>
        <v>744.69053919703322</v>
      </c>
      <c r="K30" s="113">
        <f>IFERROR('1a'!K30/'1h'!$D30*1000, "na")</f>
        <v>985.16415560839948</v>
      </c>
      <c r="L30" s="113">
        <f>IFERROR('1a'!L30/'1h'!$D30*1000, "na")</f>
        <v>446.44702669061405</v>
      </c>
      <c r="M30" s="97">
        <f>IFERROR('1a'!M30/'1h'!$D30*1000, "na")</f>
        <v>2176.3017214960464</v>
      </c>
    </row>
    <row r="31" spans="1:13">
      <c r="A31" s="185">
        <v>2006</v>
      </c>
      <c r="B31" s="112">
        <f>IFERROR('1a'!B31/'1h'!$B31*1000, "na")</f>
        <v>1131.4295994635527</v>
      </c>
      <c r="C31" s="113">
        <f>IFERROR('1a'!C31/'1h'!$B31*1000, "na")</f>
        <v>2615.3116464681157</v>
      </c>
      <c r="D31" s="113">
        <f>IFERROR('1a'!D31/'1h'!$B31*1000, "na")</f>
        <v>255.23772140719296</v>
      </c>
      <c r="E31" s="97">
        <f>IFERROR('1a'!E31/'1h'!$B31*1000, "na")</f>
        <v>4001.9789673388609</v>
      </c>
      <c r="F31" s="112">
        <f>IFERROR('1a'!F31/'1h'!$C31*1000, "na")</f>
        <v>579.35438098616544</v>
      </c>
      <c r="G31" s="113">
        <f>IFERROR('1a'!G31/'1h'!$C31*1000, "na")</f>
        <v>3011.0677545228805</v>
      </c>
      <c r="H31" s="113">
        <f>IFERROR('1a'!H31/'1h'!$C31*1000, "na")</f>
        <v>171.50289700839542</v>
      </c>
      <c r="I31" s="97">
        <f>IFERROR('1a'!I31/'1h'!$C31*1000, "na")</f>
        <v>3761.9250325174417</v>
      </c>
      <c r="J31" s="112">
        <f>IFERROR('1a'!J31/'1h'!$D31*1000, "na")</f>
        <v>826.29602910663266</v>
      </c>
      <c r="K31" s="113">
        <f>IFERROR('1a'!K31/'1h'!$D31*1000, "na")</f>
        <v>987.40395131324544</v>
      </c>
      <c r="L31" s="113">
        <f>IFERROR('1a'!L31/'1h'!$D31*1000, "na")</f>
        <v>447.78919579302845</v>
      </c>
      <c r="M31" s="97">
        <f>IFERROR('1a'!M31/'1h'!$D31*1000, "na")</f>
        <v>2261.4891762129064</v>
      </c>
    </row>
    <row r="32" spans="1:13">
      <c r="A32" s="185">
        <v>2007</v>
      </c>
      <c r="B32" s="112">
        <f>IFERROR('1a'!B32/'1h'!$B32*1000, "na")</f>
        <v>2127.915132386463</v>
      </c>
      <c r="C32" s="113">
        <f>IFERROR('1a'!C32/'1h'!$B32*1000, "na")</f>
        <v>2512.1281197030794</v>
      </c>
      <c r="D32" s="113">
        <f>IFERROR('1a'!D32/'1h'!$B32*1000, "na")</f>
        <v>607.34116546846678</v>
      </c>
      <c r="E32" s="97">
        <f>IFERROR('1a'!E32/'1h'!$B32*1000, "na")</f>
        <v>5247.3844175580098</v>
      </c>
      <c r="F32" s="112">
        <f>IFERROR('1a'!F32/'1h'!$C32*1000, "na")</f>
        <v>250.08443093549477</v>
      </c>
      <c r="G32" s="113">
        <f>IFERROR('1a'!G32/'1h'!$C32*1000, "na")</f>
        <v>3782.8195107830361</v>
      </c>
      <c r="H32" s="113">
        <f>IFERROR('1a'!H32/'1h'!$C32*1000, "na")</f>
        <v>91.788488445023404</v>
      </c>
      <c r="I32" s="97">
        <f>IFERROR('1a'!I32/'1h'!$C32*1000, "na")</f>
        <v>4124.6924301635545</v>
      </c>
      <c r="J32" s="112">
        <f>IFERROR('1a'!J32/'1h'!$D32*1000, "na")</f>
        <v>786.51230909218782</v>
      </c>
      <c r="K32" s="113">
        <f>IFERROR('1a'!K32/'1h'!$D32*1000, "na")</f>
        <v>1125.7889848046291</v>
      </c>
      <c r="L32" s="113">
        <f>IFERROR('1a'!L32/'1h'!$D32*1000, "na")</f>
        <v>392.99742619956118</v>
      </c>
      <c r="M32" s="97">
        <f>IFERROR('1a'!M32/'1h'!$D32*1000, "na")</f>
        <v>2305.298720096378</v>
      </c>
    </row>
    <row r="33" spans="1:13">
      <c r="A33" s="185">
        <v>2008</v>
      </c>
      <c r="B33" s="112">
        <f>IFERROR('1a'!B33/'1h'!$B33*1000, "na")</f>
        <v>779.10520171621772</v>
      </c>
      <c r="C33" s="113">
        <f>IFERROR('1a'!C33/'1h'!$B33*1000, "na")</f>
        <v>2621.0827938567895</v>
      </c>
      <c r="D33" s="113">
        <f>IFERROR('1a'!D33/'1h'!$B33*1000, "na")</f>
        <v>170.81823557058169</v>
      </c>
      <c r="E33" s="97">
        <f>IFERROR('1a'!E33/'1h'!$B33*1000, "na")</f>
        <v>3571.006231143589</v>
      </c>
      <c r="F33" s="112">
        <f>IFERROR('1a'!F33/'1h'!$C33*1000, "na")</f>
        <v>264.04561680921921</v>
      </c>
      <c r="G33" s="113">
        <f>IFERROR('1a'!G33/'1h'!$C33*1000, "na")</f>
        <v>3666.6906250748707</v>
      </c>
      <c r="H33" s="113">
        <f>IFERROR('1a'!H33/'1h'!$C33*1000, "na")</f>
        <v>131.14832650518701</v>
      </c>
      <c r="I33" s="97">
        <f>IFERROR('1a'!I33/'1h'!$C33*1000, "na")</f>
        <v>4061.884568389276</v>
      </c>
      <c r="J33" s="112">
        <f>IFERROR('1a'!J33/'1h'!$D33*1000, "na")</f>
        <v>795.52520675948426</v>
      </c>
      <c r="K33" s="113">
        <f>IFERROR('1a'!K33/'1h'!$D33*1000, "na")</f>
        <v>1142.3454742536094</v>
      </c>
      <c r="L33" s="113">
        <f>IFERROR('1a'!L33/'1h'!$D33*1000, "na")</f>
        <v>438.61884700609238</v>
      </c>
      <c r="M33" s="97">
        <f>IFERROR('1a'!M33/'1h'!$D33*1000, "na")</f>
        <v>2376.4895280191863</v>
      </c>
    </row>
    <row r="34" spans="1:13">
      <c r="A34" s="57">
        <f>A33+1</f>
        <v>2009</v>
      </c>
      <c r="B34" s="112">
        <f>IFERROR('1a'!B34/'1h'!$B34*1000, "na")</f>
        <v>1054.208986815222</v>
      </c>
      <c r="C34" s="113">
        <f>IFERROR('1a'!C34/'1h'!$B34*1000, "na")</f>
        <v>2601.7667896462008</v>
      </c>
      <c r="D34" s="113">
        <f>IFERROR('1a'!D34/'1h'!$B34*1000, "na")</f>
        <v>273.27914394485026</v>
      </c>
      <c r="E34" s="97">
        <f>IFERROR('1a'!E34/'1h'!$B34*1000, "na")</f>
        <v>3929.2549204062739</v>
      </c>
      <c r="F34" s="112">
        <f>IFERROR('1a'!F34/'1h'!$C34*1000, "na")</f>
        <v>451.45302386046637</v>
      </c>
      <c r="G34" s="113">
        <f>IFERROR('1a'!G34/'1h'!$C34*1000, "na")</f>
        <v>4082.6585055385526</v>
      </c>
      <c r="H34" s="113">
        <f>IFERROR('1a'!H34/'1h'!$C34*1000, "na")</f>
        <v>76.320992335400703</v>
      </c>
      <c r="I34" s="97">
        <f>IFERROR('1a'!I34/'1h'!$C34*1000, "na")</f>
        <v>4610.4325217344203</v>
      </c>
      <c r="J34" s="112">
        <f>IFERROR('1a'!J34/'1h'!$D34*1000, "na")</f>
        <v>706.17641294009593</v>
      </c>
      <c r="K34" s="113">
        <f>IFERROR('1a'!K34/'1h'!$D34*1000, "na")</f>
        <v>1155.4657421517943</v>
      </c>
      <c r="L34" s="113">
        <f>IFERROR('1a'!L34/'1h'!$D34*1000, "na")</f>
        <v>435.99516697178768</v>
      </c>
      <c r="M34" s="97">
        <f>IFERROR('1a'!M34/'1h'!$D34*1000, "na")</f>
        <v>2297.6373220636779</v>
      </c>
    </row>
    <row r="35" spans="1:13">
      <c r="A35" s="58">
        <f t="shared" ref="A35" si="0">A34+1</f>
        <v>2010</v>
      </c>
      <c r="B35" s="114">
        <f>IFERROR('1a'!B35/'1h'!$B35*1000, "na")</f>
        <v>994.0412917521295</v>
      </c>
      <c r="C35" s="115">
        <f>IFERROR('1a'!C35/'1h'!$B35*1000, "na")</f>
        <v>2074.3790516970339</v>
      </c>
      <c r="D35" s="115">
        <f>IFERROR('1a'!D35/'1h'!$B35*1000, "na")</f>
        <v>319.32986989654603</v>
      </c>
      <c r="E35" s="98">
        <f>IFERROR('1a'!E35/'1h'!$B35*1000, "na")</f>
        <v>3387.7502133457101</v>
      </c>
      <c r="F35" s="114">
        <f>IFERROR('1a'!F35/'1h'!$C35*1000, "na")</f>
        <v>714.01102054873161</v>
      </c>
      <c r="G35" s="115">
        <f>IFERROR('1a'!G35/'1h'!$C35*1000, "na")</f>
        <v>4519.6016530823099</v>
      </c>
      <c r="H35" s="115">
        <f>IFERROR('1a'!H35/'1h'!$C35*1000, "na")</f>
        <v>150.15497646653657</v>
      </c>
      <c r="I35" s="98">
        <f>IFERROR('1a'!I35/'1h'!$C35*1000, "na")</f>
        <v>5383.7676500975776</v>
      </c>
      <c r="J35" s="114">
        <f>IFERROR('1a'!J35/'1h'!$D35*1000, "na")</f>
        <v>741.94855425692026</v>
      </c>
      <c r="K35" s="115">
        <f>IFERROR('1a'!K35/'1h'!$D35*1000, "na")</f>
        <v>1163.8397283462248</v>
      </c>
      <c r="L35" s="115">
        <f>IFERROR('1a'!L35/'1h'!$D35*1000, "na")</f>
        <v>463.6096402755237</v>
      </c>
      <c r="M35" s="98">
        <f>IFERROR('1a'!M35/'1h'!$D35*1000, "na")</f>
        <v>2369.3979228786689</v>
      </c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IFERROR((POWER(B$24/B14,1/($A$24-$A$14))-1)*100,"na")</f>
        <v>na</v>
      </c>
      <c r="C39" s="86" t="str">
        <f t="shared" ref="C39:M39" si="2">IFERROR((POWER(C$24/C14,1/($A$24-$A$14))-1)*100,"na")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>
        <f>IFERROR((POWER(B$35/B25,1/($A$35-$A$25))-1)*100,"na")</f>
        <v>11.662018191640966</v>
      </c>
      <c r="C40" s="86">
        <f t="shared" ref="C40:M40" si="3">IFERROR((POWER(C$35/C25,1/($A$35-$A$25))-1)*100,"na")</f>
        <v>-5.6864607144514023</v>
      </c>
      <c r="D40" s="86">
        <f t="shared" si="3"/>
        <v>21.087938943610073</v>
      </c>
      <c r="E40" s="87">
        <f t="shared" si="3"/>
        <v>-1.8953371744922953</v>
      </c>
      <c r="F40" s="85">
        <f t="shared" si="3"/>
        <v>-3.3055077938422328</v>
      </c>
      <c r="G40" s="86">
        <f t="shared" si="3"/>
        <v>7.6116474468632012</v>
      </c>
      <c r="H40" s="86">
        <f t="shared" si="3"/>
        <v>-6.222243663980298</v>
      </c>
      <c r="I40" s="87">
        <f t="shared" si="3"/>
        <v>4.5355779814834296</v>
      </c>
      <c r="J40" s="85">
        <f t="shared" si="3"/>
        <v>-7.3587597658852921E-2</v>
      </c>
      <c r="K40" s="86">
        <f t="shared" si="3"/>
        <v>3.5716232549311</v>
      </c>
      <c r="L40" s="86">
        <f t="shared" si="3"/>
        <v>-2.9121590081686799</v>
      </c>
      <c r="M40" s="87">
        <f t="shared" si="3"/>
        <v>0.79121768080763211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3" spans="1:13">
      <c r="A43" s="1" t="s">
        <v>209</v>
      </c>
    </row>
  </sheetData>
  <mergeCells count="5">
    <mergeCell ref="A1:H2"/>
    <mergeCell ref="B4:E4"/>
    <mergeCell ref="J4:M4"/>
    <mergeCell ref="F4:I4"/>
    <mergeCell ref="A37:M37"/>
  </mergeCells>
  <pageMargins left="0.7" right="0.7" top="0.75" bottom="0.75" header="0.3" footer="0.3"/>
  <pageSetup scale="71" orientation="landscape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97"/>
  <dimension ref="A1:M25"/>
  <sheetViews>
    <sheetView zoomScaleNormal="100" workbookViewId="0">
      <selection activeCell="B15" sqref="B15"/>
    </sheetView>
  </sheetViews>
  <sheetFormatPr defaultRowHeight="15"/>
  <cols>
    <col min="1" max="4" width="9.140625" style="1"/>
    <col min="5" max="5" width="12" style="1" bestFit="1" customWidth="1"/>
    <col min="6" max="7" width="9.140625" style="1"/>
    <col min="8" max="8" width="14.28515625" style="1" customWidth="1"/>
    <col min="9" max="9" width="9.140625" style="1"/>
    <col min="10" max="10" width="10.140625" style="1" bestFit="1" customWidth="1"/>
    <col min="11" max="11" width="9.140625" style="1"/>
    <col min="12" max="12" width="14.7109375" style="1" bestFit="1" customWidth="1"/>
    <col min="13" max="16384" width="9.140625" style="1"/>
  </cols>
  <sheetData>
    <row r="1" spans="1:13">
      <c r="A1" s="2" t="s">
        <v>204</v>
      </c>
    </row>
    <row r="3" spans="1:13"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36">
      <c r="B4" s="367" t="s">
        <v>0</v>
      </c>
      <c r="C4" s="368" t="s">
        <v>1</v>
      </c>
      <c r="D4" s="368" t="s">
        <v>2</v>
      </c>
      <c r="E4" s="369" t="s">
        <v>72</v>
      </c>
      <c r="F4" s="367" t="s">
        <v>0</v>
      </c>
      <c r="G4" s="368" t="s">
        <v>1</v>
      </c>
      <c r="H4" s="368" t="s">
        <v>2</v>
      </c>
      <c r="I4" s="369" t="s">
        <v>72</v>
      </c>
      <c r="J4" s="367" t="s">
        <v>0</v>
      </c>
      <c r="K4" s="368" t="s">
        <v>1</v>
      </c>
      <c r="L4" s="368" t="s">
        <v>2</v>
      </c>
      <c r="M4" s="369" t="s">
        <v>72</v>
      </c>
    </row>
    <row r="5" spans="1:13">
      <c r="A5" s="64">
        <v>1992</v>
      </c>
      <c r="B5" s="82">
        <f>IFERROR('3l'!B5/'7f'!B17*100, "na")</f>
        <v>128.85059466569905</v>
      </c>
      <c r="C5" s="83">
        <f>IFERROR('3l'!C5/'7f'!C17*100, "na")</f>
        <v>263.12959327778572</v>
      </c>
      <c r="D5" s="83">
        <f>IFERROR('3l'!D5/'7f'!D17*100, "na")</f>
        <v>3.6038782168879999</v>
      </c>
      <c r="E5" s="84">
        <f>IFERROR('3l'!E5/'7f'!E17*100, "na")</f>
        <v>32.899438094813142</v>
      </c>
      <c r="F5" s="82">
        <f>IFERROR('3l'!F5/'7f'!F17*100, "na")</f>
        <v>67.959657053109751</v>
      </c>
      <c r="G5" s="83">
        <f>IFERROR('3l'!G5/'7f'!G17*100, "na")</f>
        <v>77.347286680068393</v>
      </c>
      <c r="H5" s="83">
        <f>IFERROR('3l'!H5/'7f'!H17*100, "na")</f>
        <v>2.9194347986299265</v>
      </c>
      <c r="I5" s="84">
        <f>IFERROR('3l'!I5/'7f'!I17*100, "na")</f>
        <v>11.936452761047921</v>
      </c>
      <c r="J5" s="82" t="str">
        <f>IFERROR('3l'!J5/'7f'!J17*100, "na")</f>
        <v>na</v>
      </c>
      <c r="K5" s="83" t="str">
        <f>IFERROR('3l'!K5/'7f'!K17*100, "na")</f>
        <v>na</v>
      </c>
      <c r="L5" s="83" t="str">
        <f>IFERROR('3l'!L5/'7f'!L17*100, "na")</f>
        <v>na</v>
      </c>
      <c r="M5" s="84" t="str">
        <f>IFERROR('3l'!M5/'7f'!M17*100, "na")</f>
        <v>na</v>
      </c>
    </row>
    <row r="6" spans="1:13">
      <c r="A6" s="65">
        <v>1993</v>
      </c>
      <c r="B6" s="85">
        <f>IFERROR('3l'!B6/'7f'!B18*100, "na")</f>
        <v>222.78735340092553</v>
      </c>
      <c r="C6" s="86">
        <f>IFERROR('3l'!C6/'7f'!C18*100, "na")</f>
        <v>209.58769780014822</v>
      </c>
      <c r="D6" s="86">
        <f>IFERROR('3l'!D6/'7f'!D18*100, "na")</f>
        <v>2.4906477947300272</v>
      </c>
      <c r="E6" s="87">
        <f>IFERROR('3l'!E6/'7f'!E18*100, "na")</f>
        <v>31.12025164752033</v>
      </c>
      <c r="F6" s="85">
        <f>IFERROR('3l'!F6/'7f'!F18*100, "na")</f>
        <v>26.657518396809561</v>
      </c>
      <c r="G6" s="86">
        <f>IFERROR('3l'!G6/'7f'!G18*100, "na")</f>
        <v>34.892627744500338</v>
      </c>
      <c r="H6" s="86">
        <f>IFERROR('3l'!H6/'7f'!H18*100, "na")</f>
        <v>2.5227675046517586</v>
      </c>
      <c r="I6" s="87">
        <f>IFERROR('3l'!I6/'7f'!I18*100, "na")</f>
        <v>9.7711357087971304</v>
      </c>
      <c r="J6" s="85" t="str">
        <f>IFERROR('3l'!J6/'7f'!J18*100, "na")</f>
        <v>na</v>
      </c>
      <c r="K6" s="86" t="str">
        <f>IFERROR('3l'!K6/'7f'!K18*100, "na")</f>
        <v>na</v>
      </c>
      <c r="L6" s="86" t="str">
        <f>IFERROR('3l'!L6/'7f'!L18*100, "na")</f>
        <v>na</v>
      </c>
      <c r="M6" s="87" t="str">
        <f>IFERROR('3l'!M6/'7f'!M18*100, "na")</f>
        <v>na</v>
      </c>
    </row>
    <row r="7" spans="1:13">
      <c r="A7" s="65">
        <v>1994</v>
      </c>
      <c r="B7" s="85">
        <f>IFERROR('3l'!B7/'7f'!B19*100, "na")</f>
        <v>96.289173107281783</v>
      </c>
      <c r="C7" s="86">
        <f>IFERROR('3l'!C7/'7f'!C19*100, "na")</f>
        <v>133.81519993085934</v>
      </c>
      <c r="D7" s="86">
        <f>IFERROR('3l'!D7/'7f'!D19*100, "na")</f>
        <v>1.6834612764366468</v>
      </c>
      <c r="E7" s="87">
        <f>IFERROR('3l'!E7/'7f'!E19*100, "na")</f>
        <v>18.334212376521094</v>
      </c>
      <c r="F7" s="85">
        <f>IFERROR('3l'!F7/'7f'!F19*100, "na")</f>
        <v>18.937639608793056</v>
      </c>
      <c r="G7" s="86">
        <f>IFERROR('3l'!G7/'7f'!G19*100, "na")</f>
        <v>24.050973602596493</v>
      </c>
      <c r="H7" s="86">
        <f>IFERROR('3l'!H7/'7f'!H19*100, "na")</f>
        <v>2.0096565962835862</v>
      </c>
      <c r="I7" s="87">
        <f>IFERROR('3l'!I7/'7f'!I19*100, "na")</f>
        <v>8.6776599867236897</v>
      </c>
      <c r="J7" s="85" t="str">
        <f>IFERROR('3l'!J7/'7f'!J19*100, "na")</f>
        <v>na</v>
      </c>
      <c r="K7" s="86" t="str">
        <f>IFERROR('3l'!K7/'7f'!K19*100, "na")</f>
        <v>na</v>
      </c>
      <c r="L7" s="86" t="str">
        <f>IFERROR('3l'!L7/'7f'!L19*100, "na")</f>
        <v>na</v>
      </c>
      <c r="M7" s="87" t="str">
        <f>IFERROR('3l'!M7/'7f'!M19*100, "na")</f>
        <v>na</v>
      </c>
    </row>
    <row r="8" spans="1:13">
      <c r="A8" s="65">
        <v>1995</v>
      </c>
      <c r="B8" s="85">
        <f>IFERROR('3l'!B8/'7f'!B20*100, "na")</f>
        <v>39.241852842689582</v>
      </c>
      <c r="C8" s="86">
        <f>IFERROR('3l'!C8/'7f'!C20*100, "na")</f>
        <v>74.470288807893667</v>
      </c>
      <c r="D8" s="86">
        <f>IFERROR('3l'!D8/'7f'!D20*100, "na")</f>
        <v>0.82145504009535575</v>
      </c>
      <c r="E8" s="87">
        <f>IFERROR('3l'!E8/'7f'!E20*100, "na")</f>
        <v>9.6523312478304835</v>
      </c>
      <c r="F8" s="85">
        <f>IFERROR('3l'!F8/'7f'!F20*100, "na")</f>
        <v>27.700838425088126</v>
      </c>
      <c r="G8" s="86">
        <f>IFERROR('3l'!G8/'7f'!G20*100, "na")</f>
        <v>25.150936870741493</v>
      </c>
      <c r="H8" s="86">
        <f>IFERROR('3l'!H8/'7f'!H20*100, "na")</f>
        <v>1.6726144882950074</v>
      </c>
      <c r="I8" s="87">
        <f>IFERROR('3l'!I8/'7f'!I20*100, "na")</f>
        <v>10.700965633915748</v>
      </c>
      <c r="J8" s="85" t="str">
        <f>IFERROR('3l'!J8/'7f'!J20*100, "na")</f>
        <v>na</v>
      </c>
      <c r="K8" s="86" t="str">
        <f>IFERROR('3l'!K8/'7f'!K20*100, "na")</f>
        <v>na</v>
      </c>
      <c r="L8" s="86" t="str">
        <f>IFERROR('3l'!L8/'7f'!L20*100, "na")</f>
        <v>na</v>
      </c>
      <c r="M8" s="87" t="str">
        <f>IFERROR('3l'!M8/'7f'!M20*100, "na")</f>
        <v>na</v>
      </c>
    </row>
    <row r="9" spans="1:13">
      <c r="A9" s="65">
        <v>1996</v>
      </c>
      <c r="B9" s="85">
        <f>IFERROR('3l'!B9/'7f'!B21*100, "na")</f>
        <v>28.166927533457581</v>
      </c>
      <c r="C9" s="86">
        <f>IFERROR('3l'!C9/'7f'!C21*100, "na")</f>
        <v>54.582132203875645</v>
      </c>
      <c r="D9" s="86">
        <f>IFERROR('3l'!D9/'7f'!D21*100, "na")</f>
        <v>0.64305755933763387</v>
      </c>
      <c r="E9" s="87">
        <f>IFERROR('3l'!E9/'7f'!E21*100, "na")</f>
        <v>6.9048481303702838</v>
      </c>
      <c r="F9" s="85">
        <f>IFERROR('3l'!F9/'7f'!F21*100, "na")</f>
        <v>44.561389598665848</v>
      </c>
      <c r="G9" s="86">
        <f>IFERROR('3l'!G9/'7f'!G21*100, "na")</f>
        <v>32.758479666634443</v>
      </c>
      <c r="H9" s="86">
        <f>IFERROR('3l'!H9/'7f'!H21*100, "na")</f>
        <v>1.4953035337260752</v>
      </c>
      <c r="I9" s="87">
        <f>IFERROR('3l'!I9/'7f'!I21*100, "na")</f>
        <v>14.914877882544655</v>
      </c>
      <c r="J9" s="85" t="str">
        <f>IFERROR('3l'!J9/'7f'!J21*100, "na")</f>
        <v>na</v>
      </c>
      <c r="K9" s="86" t="str">
        <f>IFERROR('3l'!K9/'7f'!K21*100, "na")</f>
        <v>na</v>
      </c>
      <c r="L9" s="86" t="str">
        <f>IFERROR('3l'!L9/'7f'!L21*100, "na")</f>
        <v>na</v>
      </c>
      <c r="M9" s="87" t="str">
        <f>IFERROR('3l'!M9/'7f'!M21*100, "na")</f>
        <v>na</v>
      </c>
    </row>
    <row r="10" spans="1:13">
      <c r="A10" s="65">
        <v>1997</v>
      </c>
      <c r="B10" s="85">
        <f>IFERROR('3l'!B10/'7f'!B22*100, "na")</f>
        <v>49.790968500886493</v>
      </c>
      <c r="C10" s="86">
        <f>IFERROR('3l'!C10/'7f'!C22*100, "na")</f>
        <v>47.353011258890007</v>
      </c>
      <c r="D10" s="86">
        <f>IFERROR('3l'!D10/'7f'!D22*100, "na")</f>
        <v>0.99236992659873291</v>
      </c>
      <c r="E10" s="87">
        <f>IFERROR('3l'!E10/'7f'!E22*100, "na")</f>
        <v>7.8588187976867312</v>
      </c>
      <c r="F10" s="85">
        <f>IFERROR('3l'!F10/'7f'!F22*100, "na")</f>
        <v>78.276296239393602</v>
      </c>
      <c r="G10" s="86">
        <f>IFERROR('3l'!G10/'7f'!G22*100, "na")</f>
        <v>58.5526926509772</v>
      </c>
      <c r="H10" s="86">
        <f>IFERROR('3l'!H10/'7f'!H22*100, "na")</f>
        <v>1.6008203388261009</v>
      </c>
      <c r="I10" s="87">
        <f>IFERROR('3l'!I10/'7f'!I22*100, "na")</f>
        <v>26.074303431567596</v>
      </c>
      <c r="J10" s="85">
        <f>IFERROR('3l'!J10/'7f'!J22*100, "na")</f>
        <v>52.126631176383583</v>
      </c>
      <c r="K10" s="86">
        <f>IFERROR('3l'!K10/'7f'!K22*100, "na")</f>
        <v>65.191082680240271</v>
      </c>
      <c r="L10" s="86">
        <f>IFERROR('3l'!L10/'7f'!L22*100, "na")</f>
        <v>33.134109107300667</v>
      </c>
      <c r="M10" s="87">
        <f>IFERROR('3l'!M10/'7f'!M22*100, "na")</f>
        <v>44.859535181800055</v>
      </c>
    </row>
    <row r="11" spans="1:13">
      <c r="A11" s="65">
        <v>1998</v>
      </c>
      <c r="B11" s="85">
        <f>IFERROR('3l'!B11/'7f'!B23*100, "na")</f>
        <v>62.794732767305284</v>
      </c>
      <c r="C11" s="86">
        <f>IFERROR('3l'!C11/'7f'!C23*100, "na")</f>
        <v>46.511262255037231</v>
      </c>
      <c r="D11" s="86">
        <f>IFERROR('3l'!D11/'7f'!D23*100, "na")</f>
        <v>0.74266139074822812</v>
      </c>
      <c r="E11" s="87">
        <f>IFERROR('3l'!E11/'7f'!E23*100, "na")</f>
        <v>8.137772608045605</v>
      </c>
      <c r="F11" s="85">
        <f>IFERROR('3l'!F11/'7f'!F23*100, "na")</f>
        <v>161.65505597160421</v>
      </c>
      <c r="G11" s="86">
        <f>IFERROR('3l'!G11/'7f'!G23*100, "na")</f>
        <v>77.541674241118088</v>
      </c>
      <c r="H11" s="86">
        <f>IFERROR('3l'!H11/'7f'!H23*100, "na")</f>
        <v>2.7758158953070797</v>
      </c>
      <c r="I11" s="87">
        <f>IFERROR('3l'!I11/'7f'!I23*100, "na")</f>
        <v>45.90399458286663</v>
      </c>
      <c r="J11" s="85">
        <f>IFERROR('3l'!J11/'7f'!J23*100, "na")</f>
        <v>57.778921878369715</v>
      </c>
      <c r="K11" s="86">
        <f>IFERROR('3l'!K11/'7f'!K23*100, "na")</f>
        <v>59.437547891962581</v>
      </c>
      <c r="L11" s="86">
        <f>IFERROR('3l'!L11/'7f'!L23*100, "na")</f>
        <v>31.982390928858738</v>
      </c>
      <c r="M11" s="87">
        <f>IFERROR('3l'!M11/'7f'!M23*100, "na")</f>
        <v>44.26529877869477</v>
      </c>
    </row>
    <row r="12" spans="1:13">
      <c r="A12" s="65">
        <v>1999</v>
      </c>
      <c r="B12" s="85">
        <f>IFERROR('3l'!B12/'7f'!B24*100, "na")</f>
        <v>66.992269457211634</v>
      </c>
      <c r="C12" s="86">
        <f>IFERROR('3l'!C12/'7f'!C24*100, "na")</f>
        <v>65.298160940254192</v>
      </c>
      <c r="D12" s="86">
        <f>IFERROR('3l'!D12/'7f'!D24*100, "na")</f>
        <v>0.71725647537379056</v>
      </c>
      <c r="E12" s="87">
        <f>IFERROR('3l'!E12/'7f'!E24*100, "na")</f>
        <v>9.9170142947265649</v>
      </c>
      <c r="F12" s="85">
        <f>IFERROR('3l'!F12/'7f'!F24*100, "na")</f>
        <v>90.828265190812175</v>
      </c>
      <c r="G12" s="86">
        <f>IFERROR('3l'!G12/'7f'!G24*100, "na")</f>
        <v>66.496276507592952</v>
      </c>
      <c r="H12" s="86">
        <f>IFERROR('3l'!H12/'7f'!H24*100, "na")</f>
        <v>2.3936789604234594</v>
      </c>
      <c r="I12" s="87">
        <f>IFERROR('3l'!I12/'7f'!I24*100, "na")</f>
        <v>33.97130918753362</v>
      </c>
      <c r="J12" s="85">
        <f>IFERROR('3l'!J12/'7f'!J24*100, "na")</f>
        <v>54.836447822768633</v>
      </c>
      <c r="K12" s="86">
        <f>IFERROR('3l'!K12/'7f'!K24*100, "na")</f>
        <v>53.54850623601012</v>
      </c>
      <c r="L12" s="86">
        <f>IFERROR('3l'!L12/'7f'!L24*100, "na")</f>
        <v>31.523856750701963</v>
      </c>
      <c r="M12" s="87">
        <f>IFERROR('3l'!M12/'7f'!M24*100, "na")</f>
        <v>42.541195712933515</v>
      </c>
    </row>
    <row r="13" spans="1:13">
      <c r="A13" s="65">
        <v>2000</v>
      </c>
      <c r="B13" s="85">
        <f>IFERROR('3l'!B13/'7f'!B25*100, "na")</f>
        <v>40.306833341159468</v>
      </c>
      <c r="C13" s="86">
        <f>IFERROR('3l'!C13/'7f'!C25*100, "na")</f>
        <v>75.603421852631129</v>
      </c>
      <c r="D13" s="86">
        <f>IFERROR('3l'!D13/'7f'!D25*100, "na")</f>
        <v>0.56126720349433568</v>
      </c>
      <c r="E13" s="87">
        <f>IFERROR('3l'!E13/'7f'!E25*100, "na")</f>
        <v>9.9794072179513051</v>
      </c>
      <c r="F13" s="85">
        <f>IFERROR('3l'!F13/'7f'!F25*100, "na")</f>
        <v>94.89424070283799</v>
      </c>
      <c r="G13" s="86">
        <f>IFERROR('3l'!G13/'7f'!G25*100, "na")</f>
        <v>98.669257542775838</v>
      </c>
      <c r="H13" s="86">
        <f>IFERROR('3l'!H13/'7f'!H25*100, "na")</f>
        <v>4.6906148543237363</v>
      </c>
      <c r="I13" s="87">
        <f>IFERROR('3l'!I13/'7f'!I25*100, "na")</f>
        <v>42.231062369462101</v>
      </c>
      <c r="J13" s="85">
        <f>IFERROR('3l'!J13/'7f'!J25*100, "na")</f>
        <v>54.759935324195638</v>
      </c>
      <c r="K13" s="86">
        <f>IFERROR('3l'!K13/'7f'!K25*100, "na")</f>
        <v>49.296657560266148</v>
      </c>
      <c r="L13" s="86">
        <f>IFERROR('3l'!L13/'7f'!L25*100, "na")</f>
        <v>30.802632903027614</v>
      </c>
      <c r="M13" s="87">
        <f>IFERROR('3l'!M13/'7f'!M25*100, "na")</f>
        <v>41.07062510733163</v>
      </c>
    </row>
    <row r="14" spans="1:13">
      <c r="A14" s="65">
        <v>2001</v>
      </c>
      <c r="B14" s="85">
        <f>IFERROR('3l'!B14/'7f'!B26*100, "na")</f>
        <v>25.218410368495903</v>
      </c>
      <c r="C14" s="86">
        <f>IFERROR('3l'!C14/'7f'!C26*100, "na")</f>
        <v>76.571660732721838</v>
      </c>
      <c r="D14" s="86">
        <f>IFERROR('3l'!D14/'7f'!D26*100, "na")</f>
        <v>0.41793123808870042</v>
      </c>
      <c r="E14" s="87">
        <f>IFERROR('3l'!E14/'7f'!E26*100, "na")</f>
        <v>8.9431290419279836</v>
      </c>
      <c r="F14" s="85">
        <f>IFERROR('3l'!F14/'7f'!F26*100, "na")</f>
        <v>71.81784361436587</v>
      </c>
      <c r="G14" s="86">
        <f>IFERROR('3l'!G14/'7f'!G26*100, "na")</f>
        <v>128.91036826640547</v>
      </c>
      <c r="H14" s="86">
        <f>IFERROR('3l'!H14/'7f'!H26*100, "na")</f>
        <v>4.015271496892785</v>
      </c>
      <c r="I14" s="87">
        <f>IFERROR('3l'!I14/'7f'!I26*100, "na")</f>
        <v>41.213356764089923</v>
      </c>
      <c r="J14" s="85">
        <f>IFERROR('3l'!J14/'7f'!J26*100, "na")</f>
        <v>56.023580416506938</v>
      </c>
      <c r="K14" s="86">
        <f>IFERROR('3l'!K14/'7f'!K26*100, "na")</f>
        <v>48.806969863056338</v>
      </c>
      <c r="L14" s="86">
        <f>IFERROR('3l'!L14/'7f'!L26*100, "na")</f>
        <v>31.400456152454094</v>
      </c>
      <c r="M14" s="87">
        <f>IFERROR('3l'!M14/'7f'!M26*100, "na")</f>
        <v>41.219906868484046</v>
      </c>
    </row>
    <row r="15" spans="1:13">
      <c r="A15" s="65">
        <v>2002</v>
      </c>
      <c r="B15" s="85">
        <f>IFERROR('3l'!B15/'7f'!B27*100, "na")</f>
        <v>38.410025341777647</v>
      </c>
      <c r="C15" s="86">
        <f>IFERROR('3l'!C15/'7f'!C27*100, "na")</f>
        <v>96.37308250856249</v>
      </c>
      <c r="D15" s="86">
        <f>IFERROR('3l'!D15/'7f'!D27*100, "na")</f>
        <v>0.42747992206910246</v>
      </c>
      <c r="E15" s="87">
        <f>IFERROR('3l'!E15/'7f'!E27*100, "na")</f>
        <v>9.2248270444025025</v>
      </c>
      <c r="F15" s="85">
        <f>IFERROR('3l'!F15/'7f'!F27*100, "na")</f>
        <v>55.052437527474254</v>
      </c>
      <c r="G15" s="86">
        <f>IFERROR('3l'!G15/'7f'!G27*100, "na")</f>
        <v>154.74855183986057</v>
      </c>
      <c r="H15" s="86">
        <f>IFERROR('3l'!H15/'7f'!H27*100, "na")</f>
        <v>3.7948823465989108</v>
      </c>
      <c r="I15" s="87">
        <f>IFERROR('3l'!I15/'7f'!I27*100, "na")</f>
        <v>39.24840496298301</v>
      </c>
      <c r="J15" s="85">
        <f>IFERROR('3l'!J15/'7f'!J27*100, "na")</f>
        <v>55.672524475145593</v>
      </c>
      <c r="K15" s="86">
        <f>IFERROR('3l'!K15/'7f'!K27*100, "na")</f>
        <v>46.1663928459487</v>
      </c>
      <c r="L15" s="86">
        <f>IFERROR('3l'!L15/'7f'!L27*100, "na")</f>
        <v>30.587807332468671</v>
      </c>
      <c r="M15" s="87">
        <f>IFERROR('3l'!M15/'7f'!M27*100, "na")</f>
        <v>39.862442004968521</v>
      </c>
    </row>
    <row r="16" spans="1:13">
      <c r="A16" s="65">
        <v>2003</v>
      </c>
      <c r="B16" s="85">
        <f>IFERROR('3l'!B16/'7f'!B28*100, "na")</f>
        <v>77.13950018376444</v>
      </c>
      <c r="C16" s="86">
        <f>IFERROR('3l'!C16/'7f'!C28*100, "na")</f>
        <v>108.68951641088526</v>
      </c>
      <c r="D16" s="86">
        <f>IFERROR('3l'!D16/'7f'!D28*100, "na")</f>
        <v>0.58157170897764598</v>
      </c>
      <c r="E16" s="87">
        <f>IFERROR('3l'!E16/'7f'!E28*100, "na")</f>
        <v>9.7086019530403682</v>
      </c>
      <c r="F16" s="85">
        <f>IFERROR('3l'!F16/'7f'!F28*100, "na")</f>
        <v>69.584478762082597</v>
      </c>
      <c r="G16" s="86">
        <f>IFERROR('3l'!G16/'7f'!G28*100, "na")</f>
        <v>189.52445977256929</v>
      </c>
      <c r="H16" s="86">
        <f>IFERROR('3l'!H16/'7f'!H28*100, "na")</f>
        <v>3.8954553179869569</v>
      </c>
      <c r="I16" s="87">
        <f>IFERROR('3l'!I16/'7f'!I28*100, "na")</f>
        <v>43.610556836953656</v>
      </c>
      <c r="J16" s="85">
        <f>IFERROR('3l'!J16/'7f'!J28*100, "na")</f>
        <v>57.858308114106919</v>
      </c>
      <c r="K16" s="86">
        <f>IFERROR('3l'!K16/'7f'!K28*100, "na")</f>
        <v>45.431295611377493</v>
      </c>
      <c r="L16" s="86">
        <f>IFERROR('3l'!L16/'7f'!L28*100, "na")</f>
        <v>28.74018452748146</v>
      </c>
      <c r="M16" s="87">
        <f>IFERROR('3l'!M16/'7f'!M28*100, "na")</f>
        <v>39.214919151321233</v>
      </c>
    </row>
    <row r="17" spans="1:13">
      <c r="A17" s="65">
        <v>2004</v>
      </c>
      <c r="B17" s="85">
        <f>IFERROR('3l'!B17/'7f'!B29*100, "na")</f>
        <v>128.94133566901914</v>
      </c>
      <c r="C17" s="86">
        <f>IFERROR('3l'!C17/'7f'!C29*100, "na")</f>
        <v>146.92507126616792</v>
      </c>
      <c r="D17" s="86">
        <f>IFERROR('3l'!D17/'7f'!D29*100, "na")</f>
        <v>0.76846447386956018</v>
      </c>
      <c r="E17" s="87">
        <f>IFERROR('3l'!E17/'7f'!E29*100, "na")</f>
        <v>11.741929723746155</v>
      </c>
      <c r="F17" s="85">
        <f>IFERROR('3l'!F17/'7f'!F29*100, "na")</f>
        <v>88.410622305198942</v>
      </c>
      <c r="G17" s="86">
        <f>IFERROR('3l'!G17/'7f'!G29*100, "na")</f>
        <v>313.73042743209965</v>
      </c>
      <c r="H17" s="86">
        <f>IFERROR('3l'!H17/'7f'!H29*100, "na")</f>
        <v>4.425366211810168</v>
      </c>
      <c r="I17" s="87">
        <f>IFERROR('3l'!I17/'7f'!I29*100, "na")</f>
        <v>63.597407366554663</v>
      </c>
      <c r="J17" s="85">
        <f>IFERROR('3l'!J17/'7f'!J29*100, "na")</f>
        <v>62.956691569036913</v>
      </c>
      <c r="K17" s="86">
        <f>IFERROR('3l'!K17/'7f'!K29*100, "na")</f>
        <v>46.675521799307589</v>
      </c>
      <c r="L17" s="86">
        <f>IFERROR('3l'!L17/'7f'!L29*100, "na")</f>
        <v>27.154610049732263</v>
      </c>
      <c r="M17" s="87">
        <f>IFERROR('3l'!M17/'7f'!M29*100, "na")</f>
        <v>39.764509665239892</v>
      </c>
    </row>
    <row r="18" spans="1:13">
      <c r="A18" s="65">
        <v>2005</v>
      </c>
      <c r="B18" s="85">
        <f>IFERROR('3l'!B18/'7f'!B30*100, "na")</f>
        <v>217.7580154124505</v>
      </c>
      <c r="C18" s="86">
        <f>IFERROR('3l'!C18/'7f'!C30*100, "na")</f>
        <v>219.71573272040223</v>
      </c>
      <c r="D18" s="86">
        <f>IFERROR('3l'!D18/'7f'!D30*100, "na")</f>
        <v>0.91881726441676737</v>
      </c>
      <c r="E18" s="87">
        <f>IFERROR('3l'!E18/'7f'!E30*100, "na")</f>
        <v>15.304401327103506</v>
      </c>
      <c r="F18" s="85">
        <f>IFERROR('3l'!F18/'7f'!F30*100, "na")</f>
        <v>132.08296856522927</v>
      </c>
      <c r="G18" s="86">
        <f>IFERROR('3l'!G18/'7f'!G30*100, "na")</f>
        <v>461.9968417614287</v>
      </c>
      <c r="H18" s="86">
        <f>IFERROR('3l'!H18/'7f'!H30*100, "na")</f>
        <v>6.1819200588666297</v>
      </c>
      <c r="I18" s="87">
        <f>IFERROR('3l'!I18/'7f'!I30*100, "na")</f>
        <v>89.577646356584836</v>
      </c>
      <c r="J18" s="85">
        <f>IFERROR('3l'!J18/'7f'!J30*100, "na")</f>
        <v>71.630651471248825</v>
      </c>
      <c r="K18" s="86">
        <f>IFERROR('3l'!K18/'7f'!K30*100, "na")</f>
        <v>48.8078405216026</v>
      </c>
      <c r="L18" s="86">
        <f>IFERROR('3l'!L18/'7f'!L30*100, "na")</f>
        <v>26.205193472477877</v>
      </c>
      <c r="M18" s="87">
        <f>IFERROR('3l'!M18/'7f'!M30*100, "na")</f>
        <v>41.265469158602755</v>
      </c>
    </row>
    <row r="19" spans="1:13">
      <c r="A19" s="65">
        <v>2006</v>
      </c>
      <c r="B19" s="85">
        <f>IFERROR('3l'!B19/'7f'!B31*100, "na")</f>
        <v>261.55816827473444</v>
      </c>
      <c r="C19" s="86">
        <f>IFERROR('3l'!C19/'7f'!C31*100, "na")</f>
        <v>266.53523783567567</v>
      </c>
      <c r="D19" s="86">
        <f>IFERROR('3l'!D19/'7f'!D31*100, "na")</f>
        <v>1.0936861984874147</v>
      </c>
      <c r="E19" s="87">
        <f>IFERROR('3l'!E19/'7f'!E31*100, "na")</f>
        <v>15.875829064619463</v>
      </c>
      <c r="F19" s="85">
        <f>IFERROR('3l'!F19/'7f'!F31*100, "na")</f>
        <v>148.83635052541592</v>
      </c>
      <c r="G19" s="86">
        <f>IFERROR('3l'!G19/'7f'!G31*100, "na")</f>
        <v>514.34149059950323</v>
      </c>
      <c r="H19" s="86">
        <f>IFERROR('3l'!H19/'7f'!H31*100, "na")</f>
        <v>6.7758655723815853</v>
      </c>
      <c r="I19" s="87">
        <f>IFERROR('3l'!I19/'7f'!I31*100, "na")</f>
        <v>96.466652525771281</v>
      </c>
      <c r="J19" s="85">
        <f>IFERROR('3l'!J19/'7f'!J31*100, "na")</f>
        <v>78.932937581949943</v>
      </c>
      <c r="K19" s="86">
        <f>IFERROR('3l'!K19/'7f'!K31*100, "na")</f>
        <v>49.148348192041745</v>
      </c>
      <c r="L19" s="86">
        <f>IFERROR('3l'!L19/'7f'!L31*100, "na")</f>
        <v>23.898835537648829</v>
      </c>
      <c r="M19" s="87">
        <f>IFERROR('3l'!M19/'7f'!M31*100, "na")</f>
        <v>40.946357021248716</v>
      </c>
    </row>
    <row r="20" spans="1:13">
      <c r="A20" s="65">
        <v>2007</v>
      </c>
      <c r="B20" s="85">
        <f>IFERROR('3l'!B20/'7f'!B32*100, "na")</f>
        <v>352.93644859962063</v>
      </c>
      <c r="C20" s="86">
        <f>IFERROR('3l'!C20/'7f'!C32*100, "na")</f>
        <v>259.4834962924532</v>
      </c>
      <c r="D20" s="86">
        <f>IFERROR('3l'!D20/'7f'!D32*100, "na")</f>
        <v>2.0292723341096677</v>
      </c>
      <c r="E20" s="87">
        <f>IFERROR('3l'!E20/'7f'!E32*100, "na")</f>
        <v>19.888257150168968</v>
      </c>
      <c r="F20" s="85">
        <f>IFERROR('3l'!F20/'7f'!F32*100, "na")</f>
        <v>98.96653352684703</v>
      </c>
      <c r="G20" s="86">
        <f>IFERROR('3l'!G20/'7f'!G32*100, "na")</f>
        <v>565.09517636390706</v>
      </c>
      <c r="H20" s="86">
        <f>IFERROR('3l'!H20/'7f'!H32*100, "na")</f>
        <v>6.60572078971924</v>
      </c>
      <c r="I20" s="87">
        <f>IFERROR('3l'!I20/'7f'!I32*100, "na")</f>
        <v>113.54910893630014</v>
      </c>
      <c r="J20" s="85">
        <f>IFERROR('3l'!J20/'7f'!J32*100, "na")</f>
        <v>79.947946451319268</v>
      </c>
      <c r="K20" s="86">
        <f>IFERROR('3l'!K20/'7f'!K32*100, "na")</f>
        <v>50.932686058703204</v>
      </c>
      <c r="L20" s="86">
        <f>IFERROR('3l'!L20/'7f'!L32*100, "na")</f>
        <v>23.469939876408006</v>
      </c>
      <c r="M20" s="87">
        <f>IFERROR('3l'!M20/'7f'!M32*100, "na")</f>
        <v>42.302344224038144</v>
      </c>
    </row>
    <row r="21" spans="1:13">
      <c r="A21" s="65">
        <v>2008</v>
      </c>
      <c r="B21" s="85">
        <f>IFERROR('3l'!B21/'7f'!B33*100, "na")</f>
        <v>264.42294759566443</v>
      </c>
      <c r="C21" s="86">
        <f>IFERROR('3l'!C21/'7f'!C33*100, "na")</f>
        <v>277.21739861816462</v>
      </c>
      <c r="D21" s="86">
        <f>IFERROR('3l'!D21/'7f'!D33*100, "na")</f>
        <v>1.9707339030916298</v>
      </c>
      <c r="E21" s="87">
        <f>IFERROR('3l'!E21/'7f'!E33*100, "na")</f>
        <v>20.507160294431312</v>
      </c>
      <c r="F21" s="85">
        <f>IFERROR('3l'!F21/'7f'!F33*100, "na")</f>
        <v>67.141696442095181</v>
      </c>
      <c r="G21" s="86">
        <f>IFERROR('3l'!G21/'7f'!G33*100, "na")</f>
        <v>541.47001824645508</v>
      </c>
      <c r="H21" s="86">
        <f>IFERROR('3l'!H21/'7f'!H33*100, "na")</f>
        <v>6.3739043990777926</v>
      </c>
      <c r="I21" s="87">
        <f>IFERROR('3l'!I21/'7f'!I33*100, "na")</f>
        <v>113.04938758821991</v>
      </c>
      <c r="J21" s="85">
        <f>IFERROR('3l'!J21/'7f'!J33*100, "na")</f>
        <v>78.850552139217839</v>
      </c>
      <c r="K21" s="86">
        <f>IFERROR('3l'!K21/'7f'!K33*100, "na")</f>
        <v>50.589149394719591</v>
      </c>
      <c r="L21" s="86">
        <f>IFERROR('3l'!L21/'7f'!L33*100, "na")</f>
        <v>22.838565050604902</v>
      </c>
      <c r="M21" s="87">
        <f>IFERROR('3l'!M21/'7f'!M33*100, "na")</f>
        <v>41.877901809664159</v>
      </c>
    </row>
    <row r="22" spans="1:13">
      <c r="A22" s="20">
        <f>A21+1</f>
        <v>2009</v>
      </c>
      <c r="B22" s="85">
        <f>IFERROR('3l'!B22/'7f'!B34*100, "na")</f>
        <v>244.03296377580398</v>
      </c>
      <c r="C22" s="86">
        <f>IFERROR('3l'!C22/'7f'!C34*100, "na")</f>
        <v>271.50030617200127</v>
      </c>
      <c r="D22" s="86">
        <f>IFERROR('3l'!D22/'7f'!D34*100, "na")</f>
        <v>2.0409927620074044</v>
      </c>
      <c r="E22" s="87">
        <f>IFERROR('3l'!E22/'7f'!E34*100, "na")</f>
        <v>20.404972726791769</v>
      </c>
      <c r="F22" s="85">
        <f>IFERROR('3l'!F22/'7f'!F34*100, "na")</f>
        <v>77.087680773683175</v>
      </c>
      <c r="G22" s="86">
        <f>IFERROR('3l'!G22/'7f'!G34*100, "na")</f>
        <v>627.94924297277646</v>
      </c>
      <c r="H22" s="86">
        <f>IFERROR('3l'!H22/'7f'!H34*100, "na")</f>
        <v>6.1628273839226306</v>
      </c>
      <c r="I22" s="87">
        <f>IFERROR('3l'!I22/'7f'!I34*100, "na")</f>
        <v>128.03969567494678</v>
      </c>
      <c r="J22" s="85">
        <f>IFERROR('3l'!J22/'7f'!J34*100, "na")</f>
        <v>75.629732491150619</v>
      </c>
      <c r="K22" s="86">
        <f>IFERROR('3l'!K22/'7f'!K34*100, "na")</f>
        <v>48.27020274446577</v>
      </c>
      <c r="L22" s="86">
        <f>IFERROR('3l'!L22/'7f'!L34*100, "na")</f>
        <v>22.729848354160591</v>
      </c>
      <c r="M22" s="87">
        <f>IFERROR('3l'!M22/'7f'!M34*100, "na")</f>
        <v>40.596453433147786</v>
      </c>
    </row>
    <row r="23" spans="1:13">
      <c r="A23" s="21">
        <f t="shared" ref="A23" si="0">A22+1</f>
        <v>2010</v>
      </c>
      <c r="B23" s="88">
        <f>IFERROR('3l'!B23/'7f'!B35*100, "na")</f>
        <v>218.84884263861525</v>
      </c>
      <c r="C23" s="89">
        <f>IFERROR('3l'!C23/'7f'!C35*100, "na")</f>
        <v>280.54002147054928</v>
      </c>
      <c r="D23" s="89">
        <f>IFERROR('3l'!D23/'7f'!D35*100, "na")</f>
        <v>2.5570331106844462</v>
      </c>
      <c r="E23" s="90">
        <f>IFERROR('3l'!E23/'7f'!E35*100, "na")</f>
        <v>23.164595676450244</v>
      </c>
      <c r="F23" s="88">
        <f>IFERROR('3l'!F23/'7f'!F35*100, "na")</f>
        <v>91.659772761151203</v>
      </c>
      <c r="G23" s="89">
        <f>IFERROR('3l'!G23/'7f'!G35*100, "na")</f>
        <v>736.9657034412545</v>
      </c>
      <c r="H23" s="89">
        <f>IFERROR('3l'!H23/'7f'!H35*100, "na")</f>
        <v>7.1892113774555009</v>
      </c>
      <c r="I23" s="90">
        <f>IFERROR('3l'!I23/'7f'!I35*100, "na")</f>
        <v>155.67853855729737</v>
      </c>
      <c r="J23" s="88">
        <f>IFERROR('3l'!J23/'7f'!J35*100, "na")</f>
        <v>67.049888090502137</v>
      </c>
      <c r="K23" s="89">
        <f>IFERROR('3l'!K23/'7f'!K35*100, "na")</f>
        <v>49.457753275579606</v>
      </c>
      <c r="L23" s="89">
        <f>IFERROR('3l'!L23/'7f'!L35*100, "na")</f>
        <v>24.035717446569389</v>
      </c>
      <c r="M23" s="90">
        <f>IFERROR('3l'!M23/'7f'!M35*100, "na")</f>
        <v>41.426965151514743</v>
      </c>
    </row>
    <row r="25" spans="1:13">
      <c r="A25" s="1" t="s">
        <v>172</v>
      </c>
    </row>
  </sheetData>
  <mergeCells count="3">
    <mergeCell ref="F3:I3"/>
    <mergeCell ref="J3:M3"/>
    <mergeCell ref="B3:E3"/>
  </mergeCells>
  <pageMargins left="0.7" right="0.7" top="0.75" bottom="0.75" header="0.3" footer="0.3"/>
  <pageSetup scale="76" orientation="landscape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98"/>
  <dimension ref="A1:M25"/>
  <sheetViews>
    <sheetView zoomScaleNormal="100" workbookViewId="0">
      <selection activeCell="B15" sqref="B15"/>
    </sheetView>
  </sheetViews>
  <sheetFormatPr defaultRowHeight="15"/>
  <cols>
    <col min="4" max="4" width="15" customWidth="1"/>
    <col min="8" max="8" width="16.5703125" customWidth="1"/>
    <col min="12" max="12" width="17.140625" customWidth="1"/>
  </cols>
  <sheetData>
    <row r="1" spans="1:13">
      <c r="A1" s="284" t="s">
        <v>205</v>
      </c>
    </row>
    <row r="3" spans="1:13">
      <c r="A3" s="1"/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24">
      <c r="A4" s="1"/>
      <c r="B4" s="367" t="s">
        <v>0</v>
      </c>
      <c r="C4" s="368" t="s">
        <v>1</v>
      </c>
      <c r="D4" s="368" t="s">
        <v>2</v>
      </c>
      <c r="E4" s="369" t="s">
        <v>72</v>
      </c>
      <c r="F4" s="367" t="s">
        <v>0</v>
      </c>
      <c r="G4" s="368" t="s">
        <v>1</v>
      </c>
      <c r="H4" s="368" t="s">
        <v>2</v>
      </c>
      <c r="I4" s="369" t="s">
        <v>72</v>
      </c>
      <c r="J4" s="367" t="s">
        <v>0</v>
      </c>
      <c r="K4" s="368" t="s">
        <v>1</v>
      </c>
      <c r="L4" s="368" t="s">
        <v>2</v>
      </c>
      <c r="M4" s="369" t="s">
        <v>72</v>
      </c>
    </row>
    <row r="5" spans="1:13">
      <c r="A5" s="64">
        <v>1992</v>
      </c>
      <c r="B5" s="82">
        <f>IFERROR('4h'!B5/'8c'!B17*100, "na")</f>
        <v>134.61127647256831</v>
      </c>
      <c r="C5" s="83">
        <f>IFERROR('4h'!C5/'8c'!C17*100, "na")</f>
        <v>245.62980694793723</v>
      </c>
      <c r="D5" s="83">
        <f>IFERROR('4h'!D5/'8c'!D17*100, "na")</f>
        <v>5.0730514944148251</v>
      </c>
      <c r="E5" s="84">
        <f>IFERROR('4h'!E5/'8c'!E17*100, "na")</f>
        <v>37.406799925348388</v>
      </c>
      <c r="F5" s="82">
        <f>IFERROR('4h'!F5/'8c'!F17*100, "na")</f>
        <v>99.575974447385505</v>
      </c>
      <c r="G5" s="83">
        <f>IFERROR('4h'!G5/'8c'!G17*100, "na")</f>
        <v>72.937739548514045</v>
      </c>
      <c r="H5" s="83">
        <f>IFERROR('4h'!H5/'8c'!H17*100, "na")</f>
        <v>4.5630823730367043</v>
      </c>
      <c r="I5" s="84">
        <f>IFERROR('4h'!I5/'8c'!I17*100, "na")</f>
        <v>12.332140184600826</v>
      </c>
      <c r="J5" s="82" t="str">
        <f>IFERROR('4h'!J5/'8c'!J17*100, "na")</f>
        <v>na</v>
      </c>
      <c r="K5" s="83" t="str">
        <f>IFERROR('4h'!K5/'8c'!K17*100, "na")</f>
        <v>na</v>
      </c>
      <c r="L5" s="83" t="str">
        <f>IFERROR('4h'!L5/'8c'!L17*100, "na")</f>
        <v>na</v>
      </c>
      <c r="M5" s="84" t="str">
        <f>IFERROR('4h'!M5/'8c'!M17*100, "na")</f>
        <v>na</v>
      </c>
    </row>
    <row r="6" spans="1:13">
      <c r="A6" s="65">
        <v>1993</v>
      </c>
      <c r="B6" s="85">
        <f>IFERROR('4h'!B6/'8c'!B18*100, "na")</f>
        <v>199.50755926492744</v>
      </c>
      <c r="C6" s="86">
        <f>IFERROR('4h'!C6/'8c'!C18*100, "na")</f>
        <v>197.40741461506056</v>
      </c>
      <c r="D6" s="86">
        <f>IFERROR('4h'!D6/'8c'!D18*100, "na")</f>
        <v>3.4586072009477711</v>
      </c>
      <c r="E6" s="87">
        <f>IFERROR('4h'!E6/'8c'!E18*100, "na")</f>
        <v>31.18509635435003</v>
      </c>
      <c r="F6" s="85">
        <f>IFERROR('4h'!F6/'8c'!F18*100, "na")</f>
        <v>34.694622178872471</v>
      </c>
      <c r="G6" s="86">
        <f>IFERROR('4h'!G6/'8c'!G18*100, "na")</f>
        <v>33.562585094297816</v>
      </c>
      <c r="H6" s="86">
        <f>IFERROR('4h'!H6/'8c'!H18*100, "na")</f>
        <v>3.8902210679478531</v>
      </c>
      <c r="I6" s="87">
        <f>IFERROR('4h'!I6/'8c'!I18*100, "na")</f>
        <v>10.677101308296452</v>
      </c>
      <c r="J6" s="85" t="str">
        <f>IFERROR('4h'!J6/'8c'!J18*100, "na")</f>
        <v>na</v>
      </c>
      <c r="K6" s="86" t="str">
        <f>IFERROR('4h'!K6/'8c'!K18*100, "na")</f>
        <v>na</v>
      </c>
      <c r="L6" s="86" t="str">
        <f>IFERROR('4h'!L6/'8c'!L18*100, "na")</f>
        <v>na</v>
      </c>
      <c r="M6" s="87" t="str">
        <f>IFERROR('4h'!M6/'8c'!M18*100, "na")</f>
        <v>na</v>
      </c>
    </row>
    <row r="7" spans="1:13">
      <c r="A7" s="65">
        <v>1994</v>
      </c>
      <c r="B7" s="85">
        <f>IFERROR('4h'!B7/'8c'!B19*100, "na")</f>
        <v>93.58398173666086</v>
      </c>
      <c r="C7" s="86">
        <f>IFERROR('4h'!C7/'8c'!C19*100, "na")</f>
        <v>130.34875410655178</v>
      </c>
      <c r="D7" s="86">
        <f>IFERROR('4h'!D7/'8c'!D19*100, "na")</f>
        <v>2.4037293058076954</v>
      </c>
      <c r="E7" s="87">
        <f>IFERROR('4h'!E7/'8c'!E19*100, "na")</f>
        <v>20.366874582840342</v>
      </c>
      <c r="F7" s="85">
        <f>IFERROR('4h'!F7/'8c'!F19*100, "na")</f>
        <v>27.956897115220258</v>
      </c>
      <c r="G7" s="86">
        <f>IFERROR('4h'!G7/'8c'!G19*100, "na")</f>
        <v>23.639452924567898</v>
      </c>
      <c r="H7" s="86">
        <f>IFERROR('4h'!H7/'8c'!H19*100, "na")</f>
        <v>3.1870302362466338</v>
      </c>
      <c r="I7" s="87">
        <f>IFERROR('4h'!I7/'8c'!I19*100, "na")</f>
        <v>9.6124262945210308</v>
      </c>
      <c r="J7" s="85" t="str">
        <f>IFERROR('4h'!J7/'8c'!J19*100, "na")</f>
        <v>na</v>
      </c>
      <c r="K7" s="86" t="str">
        <f>IFERROR('4h'!K7/'8c'!K19*100, "na")</f>
        <v>na</v>
      </c>
      <c r="L7" s="86" t="str">
        <f>IFERROR('4h'!L7/'8c'!L19*100, "na")</f>
        <v>na</v>
      </c>
      <c r="M7" s="87" t="str">
        <f>IFERROR('4h'!M7/'8c'!M19*100, "na")</f>
        <v>na</v>
      </c>
    </row>
    <row r="8" spans="1:13">
      <c r="A8" s="65">
        <v>1995</v>
      </c>
      <c r="B8" s="85">
        <f>IFERROR('4h'!B8/'8c'!B20*100, "na")</f>
        <v>41.512292436516624</v>
      </c>
      <c r="C8" s="86">
        <f>IFERROR('4h'!C8/'8c'!C20*100, "na")</f>
        <v>76.044634171952623</v>
      </c>
      <c r="D8" s="86">
        <f>IFERROR('4h'!D8/'8c'!D20*100, "na")</f>
        <v>1.2052508232652215</v>
      </c>
      <c r="E8" s="87">
        <f>IFERROR('4h'!E8/'8c'!E20*100, "na")</f>
        <v>11.357834186559693</v>
      </c>
      <c r="F8" s="85">
        <f>IFERROR('4h'!F8/'8c'!F20*100, "na")</f>
        <v>42.215879009798989</v>
      </c>
      <c r="G8" s="86">
        <f>IFERROR('4h'!G8/'8c'!G20*100, "na")</f>
        <v>25.752706801826321</v>
      </c>
      <c r="H8" s="86">
        <f>IFERROR('4h'!H8/'8c'!H20*100, "na")</f>
        <v>2.7248823530243644</v>
      </c>
      <c r="I8" s="87">
        <f>IFERROR('4h'!I8/'8c'!I20*100, "na")</f>
        <v>11.147944007913967</v>
      </c>
      <c r="J8" s="85" t="str">
        <f>IFERROR('4h'!J8/'8c'!J20*100, "na")</f>
        <v>na</v>
      </c>
      <c r="K8" s="86" t="str">
        <f>IFERROR('4h'!K8/'8c'!K20*100, "na")</f>
        <v>na</v>
      </c>
      <c r="L8" s="86" t="str">
        <f>IFERROR('4h'!L8/'8c'!L20*100, "na")</f>
        <v>na</v>
      </c>
      <c r="M8" s="87" t="str">
        <f>IFERROR('4h'!M8/'8c'!M20*100, "na")</f>
        <v>na</v>
      </c>
    </row>
    <row r="9" spans="1:13">
      <c r="A9" s="65">
        <v>1996</v>
      </c>
      <c r="B9" s="85">
        <f>IFERROR('4h'!B9/'8c'!B21*100, "na")</f>
        <v>31.747689814053931</v>
      </c>
      <c r="C9" s="86">
        <f>IFERROR('4h'!C9/'8c'!C21*100, "na")</f>
        <v>54.899431242158329</v>
      </c>
      <c r="D9" s="86">
        <f>IFERROR('4h'!D9/'8c'!D21*100, "na")</f>
        <v>0.9017060238414748</v>
      </c>
      <c r="E9" s="87">
        <f>IFERROR('4h'!E9/'8c'!E21*100, "na")</f>
        <v>8.1856053362778205</v>
      </c>
      <c r="F9" s="85">
        <f>IFERROR('4h'!F9/'8c'!F21*100, "na")</f>
        <v>67.999325314535426</v>
      </c>
      <c r="G9" s="86">
        <f>IFERROR('4h'!G9/'8c'!G21*100, "na")</f>
        <v>32.887307136863747</v>
      </c>
      <c r="H9" s="86">
        <f>IFERROR('4h'!H9/'8c'!H21*100, "na")</f>
        <v>2.329074859928725</v>
      </c>
      <c r="I9" s="87">
        <f>IFERROR('4h'!I9/'8c'!I21*100, "na")</f>
        <v>14.986858011391607</v>
      </c>
      <c r="J9" s="85" t="str">
        <f>IFERROR('4h'!J9/'8c'!J21*100, "na")</f>
        <v>na</v>
      </c>
      <c r="K9" s="86" t="str">
        <f>IFERROR('4h'!K9/'8c'!K21*100, "na")</f>
        <v>na</v>
      </c>
      <c r="L9" s="86" t="str">
        <f>IFERROR('4h'!L9/'8c'!L21*100, "na")</f>
        <v>na</v>
      </c>
      <c r="M9" s="87" t="str">
        <f>IFERROR('4h'!M9/'8c'!M21*100, "na")</f>
        <v>na</v>
      </c>
    </row>
    <row r="10" spans="1:13">
      <c r="A10" s="65">
        <v>1997</v>
      </c>
      <c r="B10" s="85">
        <f>IFERROR('4h'!B10/'8c'!B22*100, "na")</f>
        <v>47.332916720053483</v>
      </c>
      <c r="C10" s="86">
        <f>IFERROR('4h'!C10/'8c'!C22*100, "na")</f>
        <v>47.465737681905317</v>
      </c>
      <c r="D10" s="86">
        <f>IFERROR('4h'!D10/'8c'!D22*100, "na")</f>
        <v>1.3095580394870667</v>
      </c>
      <c r="E10" s="87">
        <f>IFERROR('4h'!E10/'8c'!E22*100, "na")</f>
        <v>8.490533154135596</v>
      </c>
      <c r="F10" s="85">
        <f>IFERROR('4h'!F10/'8c'!F22*100, "na")</f>
        <v>95.838292901565779</v>
      </c>
      <c r="G10" s="86">
        <f>IFERROR('4h'!G10/'8c'!G22*100, "na")</f>
        <v>58.444444970783373</v>
      </c>
      <c r="H10" s="86">
        <f>IFERROR('4h'!H10/'8c'!H22*100, "na")</f>
        <v>2.1063303315431576</v>
      </c>
      <c r="I10" s="87">
        <f>IFERROR('4h'!I10/'8c'!I22*100, "na")</f>
        <v>25.585373284183138</v>
      </c>
      <c r="J10" s="85">
        <f>IFERROR('4h'!J10/'8c'!J22*100, "na")</f>
        <v>8.0110490851058476</v>
      </c>
      <c r="K10" s="86">
        <f>IFERROR('4h'!K10/'8c'!K22*100, "na")</f>
        <v>13.14710482613553</v>
      </c>
      <c r="L10" s="86">
        <f>IFERROR('4h'!L10/'8c'!L22*100, "na")</f>
        <v>5.8763194480528389</v>
      </c>
      <c r="M10" s="87">
        <f>IFERROR('4h'!M10/'8c'!M22*100, "na")</f>
        <v>7.9704402321342487</v>
      </c>
    </row>
    <row r="11" spans="1:13">
      <c r="A11" s="65">
        <v>1998</v>
      </c>
      <c r="B11" s="85">
        <f>IFERROR('4h'!B11/'8c'!B23*100, "na")</f>
        <v>56.483004343833684</v>
      </c>
      <c r="C11" s="86">
        <f>IFERROR('4h'!C11/'8c'!C23*100, "na")</f>
        <v>48.965220435447961</v>
      </c>
      <c r="D11" s="86">
        <f>IFERROR('4h'!D11/'8c'!D23*100, "na")</f>
        <v>0.92510115153858397</v>
      </c>
      <c r="E11" s="87">
        <f>IFERROR('4h'!E11/'8c'!E23*100, "na")</f>
        <v>8.6244385614099173</v>
      </c>
      <c r="F11" s="85">
        <f>IFERROR('4h'!F11/'8c'!F23*100, "na")</f>
        <v>180.89931808028803</v>
      </c>
      <c r="G11" s="86">
        <f>IFERROR('4h'!G11/'8c'!G23*100, "na")</f>
        <v>83.596589898982202</v>
      </c>
      <c r="H11" s="86">
        <f>IFERROR('4h'!H11/'8c'!H23*100, "na")</f>
        <v>3.4438163404455913</v>
      </c>
      <c r="I11" s="87">
        <f>IFERROR('4h'!I11/'8c'!I23*100, "na")</f>
        <v>45.025448687541271</v>
      </c>
      <c r="J11" s="85">
        <f>IFERROR('4h'!J11/'8c'!J23*100, "na")</f>
        <v>7.7285012645326976</v>
      </c>
      <c r="K11" s="86">
        <f>IFERROR('4h'!K11/'8c'!K23*100, "na")</f>
        <v>10.625295432524267</v>
      </c>
      <c r="L11" s="86">
        <f>IFERROR('4h'!L11/'8c'!L23*100, "na")</f>
        <v>5.1120458533444815</v>
      </c>
      <c r="M11" s="87">
        <f>IFERROR('4h'!M11/'8c'!M23*100, "na")</f>
        <v>7.0247988411456754</v>
      </c>
    </row>
    <row r="12" spans="1:13">
      <c r="A12" s="65">
        <v>1999</v>
      </c>
      <c r="B12" s="85">
        <f>IFERROR('4h'!B12/'8c'!B24*100, "na")</f>
        <v>65.349177921560624</v>
      </c>
      <c r="C12" s="86">
        <f>IFERROR('4h'!C12/'8c'!C24*100, "na")</f>
        <v>69.083792589595262</v>
      </c>
      <c r="D12" s="86">
        <f>IFERROR('4h'!D12/'8c'!D24*100, "na")</f>
        <v>0.83869108123816349</v>
      </c>
      <c r="E12" s="87">
        <f>IFERROR('4h'!E12/'8c'!E24*100, "na")</f>
        <v>10.622616128789229</v>
      </c>
      <c r="F12" s="85">
        <f>IFERROR('4h'!F12/'8c'!F24*100, "na")</f>
        <v>103.7508813690541</v>
      </c>
      <c r="G12" s="86">
        <f>IFERROR('4h'!G12/'8c'!G24*100, "na")</f>
        <v>71.913223647444951</v>
      </c>
      <c r="H12" s="86">
        <f>IFERROR('4h'!H12/'8c'!H24*100, "na")</f>
        <v>2.7878087586698461</v>
      </c>
      <c r="I12" s="87">
        <f>IFERROR('4h'!I12/'8c'!I24*100, "na")</f>
        <v>35.800626028458886</v>
      </c>
      <c r="J12" s="85">
        <f>IFERROR('4h'!J12/'8c'!J24*100, "na")</f>
        <v>6.4089805556899169</v>
      </c>
      <c r="K12" s="86">
        <f>IFERROR('4h'!K12/'8c'!K24*100, "na")</f>
        <v>7.7633518087526481</v>
      </c>
      <c r="L12" s="86">
        <f>IFERROR('4h'!L12/'8c'!L24*100, "na")</f>
        <v>4.409153868325439</v>
      </c>
      <c r="M12" s="87">
        <f>IFERROR('4h'!M12/'8c'!M24*100, "na")</f>
        <v>5.7877435596901128</v>
      </c>
    </row>
    <row r="13" spans="1:13">
      <c r="A13" s="65">
        <v>2000</v>
      </c>
      <c r="B13" s="85">
        <f>IFERROR('4h'!B13/'8c'!B25*100, "na")</f>
        <v>41.440873811699717</v>
      </c>
      <c r="C13" s="86">
        <f>IFERROR('4h'!C13/'8c'!C25*100, "na")</f>
        <v>79.014778581473806</v>
      </c>
      <c r="D13" s="86">
        <f>IFERROR('4h'!D13/'8c'!D25*100, "na")</f>
        <v>0.63224735546262023</v>
      </c>
      <c r="E13" s="87">
        <f>IFERROR('4h'!E13/'8c'!E25*100, "na")</f>
        <v>10.619865482795944</v>
      </c>
      <c r="F13" s="85">
        <f>IFERROR('4h'!F13/'8c'!F25*100, "na")</f>
        <v>107.10057954235705</v>
      </c>
      <c r="G13" s="86">
        <f>IFERROR('4h'!G13/'8c'!G25*100, "na")</f>
        <v>104.96818545256912</v>
      </c>
      <c r="H13" s="86">
        <f>IFERROR('4h'!H13/'8c'!H25*100, "na")</f>
        <v>5.2621199019146729</v>
      </c>
      <c r="I13" s="87">
        <f>IFERROR('4h'!I13/'8c'!I25*100, "na")</f>
        <v>44.741907135229937</v>
      </c>
      <c r="J13" s="85">
        <f>IFERROR('4h'!J13/'8c'!J25*100, "na")</f>
        <v>5.6219957692127958</v>
      </c>
      <c r="K13" s="86">
        <f>IFERROR('4h'!K13/'8c'!K25*100, "na")</f>
        <v>5.8293024957638062</v>
      </c>
      <c r="L13" s="86">
        <f>IFERROR('4h'!L13/'8c'!L25*100, "na")</f>
        <v>3.6982595393919953</v>
      </c>
      <c r="M13" s="87">
        <f>IFERROR('4h'!M13/'8c'!M25*100, "na")</f>
        <v>4.7213154056586122</v>
      </c>
    </row>
    <row r="14" spans="1:13">
      <c r="A14" s="65">
        <v>2001</v>
      </c>
      <c r="B14" s="85">
        <f>IFERROR('4h'!B14/'8c'!B26*100, "na")</f>
        <v>25.194911623866634</v>
      </c>
      <c r="C14" s="86">
        <f>IFERROR('4h'!C14/'8c'!C26*100, "na")</f>
        <v>78.073331705179157</v>
      </c>
      <c r="D14" s="86">
        <f>IFERROR('4h'!D14/'8c'!D26*100, "na")</f>
        <v>0.44096708294514253</v>
      </c>
      <c r="E14" s="87">
        <f>IFERROR('4h'!E14/'8c'!E26*100, "na")</f>
        <v>9.221593351443758</v>
      </c>
      <c r="F14" s="85">
        <f>IFERROR('4h'!F14/'8c'!F26*100, "na")</f>
        <v>74.088393045557453</v>
      </c>
      <c r="G14" s="86">
        <f>IFERROR('4h'!G14/'8c'!G26*100, "na")</f>
        <v>133.22337956151117</v>
      </c>
      <c r="H14" s="86">
        <f>IFERROR('4h'!H14/'8c'!H26*100, "na")</f>
        <v>4.2179953190626085</v>
      </c>
      <c r="I14" s="87">
        <f>IFERROR('4h'!I14/'8c'!I26*100, "na")</f>
        <v>42.679383322173166</v>
      </c>
      <c r="J14" s="85">
        <f>IFERROR('4h'!J14/'8c'!J26*100, "na")</f>
        <v>5.5949975914815777</v>
      </c>
      <c r="K14" s="86">
        <f>IFERROR('4h'!K14/'8c'!K26*100, "na")</f>
        <v>5.1671199508856835</v>
      </c>
      <c r="L14" s="86">
        <f>IFERROR('4h'!L14/'8c'!L26*100, "na")</f>
        <v>3.3173273433203954</v>
      </c>
      <c r="M14" s="87">
        <f>IFERROR('4h'!M14/'8c'!M26*100, "na")</f>
        <v>4.2935318766867487</v>
      </c>
    </row>
    <row r="15" spans="1:13">
      <c r="A15" s="65">
        <v>2002</v>
      </c>
      <c r="B15" s="85">
        <f>IFERROR('4h'!B15/'8c'!B27*100, "na")</f>
        <v>38.410025341777647</v>
      </c>
      <c r="C15" s="86">
        <f>IFERROR('4h'!C15/'8c'!C27*100, "na")</f>
        <v>96.37308250856249</v>
      </c>
      <c r="D15" s="86">
        <f>IFERROR('4h'!D15/'8c'!D27*100, "na")</f>
        <v>0.42747992206910246</v>
      </c>
      <c r="E15" s="87">
        <f>IFERROR('4h'!E15/'8c'!E27*100, "na")</f>
        <v>9.2248270444025025</v>
      </c>
      <c r="F15" s="85">
        <f>IFERROR('4h'!F15/'8c'!F27*100, "na")</f>
        <v>55.052437527474254</v>
      </c>
      <c r="G15" s="86">
        <f>IFERROR('4h'!G15/'8c'!G27*100, "na")</f>
        <v>154.74855183986048</v>
      </c>
      <c r="H15" s="86">
        <f>IFERROR('4h'!H15/'8c'!H27*100, "na")</f>
        <v>3.794882346598913</v>
      </c>
      <c r="I15" s="87">
        <f>IFERROR('4h'!I15/'8c'!I27*100, "na")</f>
        <v>39.248404962982995</v>
      </c>
      <c r="J15" s="85">
        <f>IFERROR('4h'!J15/'8c'!J27*100, "na")</f>
        <v>5.5672524475145586</v>
      </c>
      <c r="K15" s="86">
        <f>IFERROR('4h'!K15/'8c'!K27*100, "na")</f>
        <v>4.6166392845948696</v>
      </c>
      <c r="L15" s="86">
        <f>IFERROR('4h'!L15/'8c'!L27*100, "na")</f>
        <v>3.0587807332468668</v>
      </c>
      <c r="M15" s="87">
        <f>IFERROR('4h'!M15/'8c'!M27*100, "na")</f>
        <v>3.9862442004968517</v>
      </c>
    </row>
    <row r="16" spans="1:13">
      <c r="A16" s="65">
        <v>2003</v>
      </c>
      <c r="B16" s="85">
        <f>IFERROR('4h'!B16/'8c'!B28*100, "na")</f>
        <v>79.052341654171016</v>
      </c>
      <c r="C16" s="86">
        <f>IFERROR('4h'!C16/'8c'!C28*100, "na")</f>
        <v>108.36966531639405</v>
      </c>
      <c r="D16" s="86">
        <f>IFERROR('4h'!D16/'8c'!D28*100, "na")</f>
        <v>0.59164655054586679</v>
      </c>
      <c r="E16" s="87">
        <f>IFERROR('4h'!E16/'8c'!E28*100, "na")</f>
        <v>9.4663958141869422</v>
      </c>
      <c r="F16" s="85">
        <f>IFERROR('4h'!F16/'8c'!F28*100, "na")</f>
        <v>69.199567507920193</v>
      </c>
      <c r="G16" s="86">
        <f>IFERROR('4h'!G16/'8c'!G28*100, "na")</f>
        <v>188.81001777657082</v>
      </c>
      <c r="H16" s="86">
        <f>IFERROR('4h'!H16/'8c'!H28*100, "na")</f>
        <v>3.9252158237462078</v>
      </c>
      <c r="I16" s="87">
        <f>IFERROR('4h'!I16/'8c'!I28*100, "na")</f>
        <v>42.871352011368209</v>
      </c>
      <c r="J16" s="85">
        <f>IFERROR('4h'!J16/'8c'!J28*100, "na")</f>
        <v>5.7716551633427056</v>
      </c>
      <c r="K16" s="86">
        <f>IFERROR('4h'!K16/'8c'!K28*100, "na")</f>
        <v>4.2737351995689625</v>
      </c>
      <c r="L16" s="86">
        <f>IFERROR('4h'!L16/'8c'!L28*100, "na")</f>
        <v>2.952715474692599</v>
      </c>
      <c r="M16" s="87">
        <f>IFERROR('4h'!M16/'8c'!M28*100, "na")</f>
        <v>3.8767354738996138</v>
      </c>
    </row>
    <row r="17" spans="1:13">
      <c r="A17" s="65">
        <v>2004</v>
      </c>
      <c r="B17" s="85">
        <f>IFERROR('4h'!B17/'8c'!B29*100, "na")</f>
        <v>138.32885730230367</v>
      </c>
      <c r="C17" s="86">
        <f>IFERROR('4h'!C17/'8c'!C29*100, "na")</f>
        <v>144.22154404144928</v>
      </c>
      <c r="D17" s="86">
        <f>IFERROR('4h'!D17/'8c'!D29*100, "na")</f>
        <v>0.80399257166645988</v>
      </c>
      <c r="E17" s="87">
        <f>IFERROR('4h'!E17/'8c'!E29*100, "na")</f>
        <v>11.425596250317676</v>
      </c>
      <c r="F17" s="85">
        <f>IFERROR('4h'!F17/'8c'!F29*100, "na")</f>
        <v>90.280672659044939</v>
      </c>
      <c r="G17" s="86">
        <f>IFERROR('4h'!G17/'8c'!G29*100, "na")</f>
        <v>301.05036504283595</v>
      </c>
      <c r="H17" s="86">
        <f>IFERROR('4h'!H17/'8c'!H29*100, "na")</f>
        <v>4.5823497594110307</v>
      </c>
      <c r="I17" s="87">
        <f>IFERROR('4h'!I17/'8c'!I29*100, "na")</f>
        <v>60.71865126873778</v>
      </c>
      <c r="J17" s="85">
        <f>IFERROR('4h'!J17/'8c'!J29*100, "na")</f>
        <v>6.5320969712035408</v>
      </c>
      <c r="K17" s="86">
        <f>IFERROR('4h'!K17/'8c'!K29*100, "na")</f>
        <v>4.0290252379908047</v>
      </c>
      <c r="L17" s="86">
        <f>IFERROR('4h'!L17/'8c'!L29*100, "na")</f>
        <v>2.8326974403638672</v>
      </c>
      <c r="M17" s="87">
        <f>IFERROR('4h'!M17/'8c'!M29*100, "na")</f>
        <v>3.8715995511213088</v>
      </c>
    </row>
    <row r="18" spans="1:13">
      <c r="A18" s="65">
        <v>2005</v>
      </c>
      <c r="B18" s="85">
        <f>IFERROR('4h'!B18/'8c'!B30*100, "na")</f>
        <v>238.15967005405105</v>
      </c>
      <c r="C18" s="86">
        <f>IFERROR('4h'!C18/'8c'!C30*100, "na")</f>
        <v>216.06297389947508</v>
      </c>
      <c r="D18" s="86">
        <f>IFERROR('4h'!D18/'8c'!D30*100, "na")</f>
        <v>0.98206318842094698</v>
      </c>
      <c r="E18" s="87">
        <f>IFERROR('4h'!E18/'8c'!E30*100, "na")</f>
        <v>15.254994140226291</v>
      </c>
      <c r="F18" s="85">
        <f>IFERROR('4h'!F18/'8c'!F30*100, "na")</f>
        <v>131.97619400719731</v>
      </c>
      <c r="G18" s="86">
        <f>IFERROR('4h'!G18/'8c'!G30*100, "na")</f>
        <v>436.39904221741324</v>
      </c>
      <c r="H18" s="86">
        <f>IFERROR('4h'!H18/'8c'!H30*100, "na")</f>
        <v>6.5429603895739614</v>
      </c>
      <c r="I18" s="87">
        <f>IFERROR('4h'!I18/'8c'!I30*100, "na")</f>
        <v>84.856831881710605</v>
      </c>
      <c r="J18" s="85">
        <f>IFERROR('4h'!J18/'8c'!J30*100, "na")</f>
        <v>7.7208196911031273</v>
      </c>
      <c r="K18" s="86">
        <f>IFERROR('4h'!K18/'8c'!K30*100, "na")</f>
        <v>3.9413853446098761</v>
      </c>
      <c r="L18" s="86">
        <f>IFERROR('4h'!L18/'8c'!L30*100, "na")</f>
        <v>2.7191994560286274</v>
      </c>
      <c r="M18" s="87">
        <f>IFERROR('4h'!M18/'8c'!M30*100, "na")</f>
        <v>3.97001694145415</v>
      </c>
    </row>
    <row r="19" spans="1:13">
      <c r="A19" s="65">
        <v>2006</v>
      </c>
      <c r="B19" s="85">
        <f>IFERROR('4h'!B19/'8c'!B31*100, "na")</f>
        <v>287.4183774018411</v>
      </c>
      <c r="C19" s="86">
        <f>IFERROR('4h'!C19/'8c'!C31*100, "na")</f>
        <v>271.88172865024421</v>
      </c>
      <c r="D19" s="86">
        <f>IFERROR('4h'!D19/'8c'!D31*100, "na")</f>
        <v>1.2624144767063801</v>
      </c>
      <c r="E19" s="87">
        <f>IFERROR('4h'!E19/'8c'!E31*100, "na")</f>
        <v>17.17618073661146</v>
      </c>
      <c r="F19" s="85">
        <f>IFERROR('4h'!F19/'8c'!F31*100, "na")</f>
        <v>141.03183718981109</v>
      </c>
      <c r="G19" s="86">
        <f>IFERROR('4h'!G19/'8c'!G31*100, "na")</f>
        <v>492.7915599196109</v>
      </c>
      <c r="H19" s="86">
        <f>IFERROR('4h'!H19/'8c'!H31*100, "na")</f>
        <v>7.7428193953067614</v>
      </c>
      <c r="I19" s="87">
        <f>IFERROR('4h'!I19/'8c'!I31*100, "na")</f>
        <v>95.553703429114549</v>
      </c>
      <c r="J19" s="85">
        <f>IFERROR('4h'!J19/'8c'!J31*100, "na")</f>
        <v>8.3872566572485674</v>
      </c>
      <c r="K19" s="86">
        <f>IFERROR('4h'!K19/'8c'!K31*100, "na")</f>
        <v>3.7948682724916099</v>
      </c>
      <c r="L19" s="86">
        <f>IFERROR('4h'!L19/'8c'!L31*100, "na")</f>
        <v>2.4517699624804825</v>
      </c>
      <c r="M19" s="87">
        <f>IFERROR('4h'!M19/'8c'!M31*100, "na")</f>
        <v>3.9046006933479238</v>
      </c>
    </row>
    <row r="20" spans="1:13">
      <c r="A20" s="65">
        <v>2007</v>
      </c>
      <c r="B20" s="85">
        <f>IFERROR('4h'!B20/'8c'!B32*100, "na")</f>
        <v>370.35061388272641</v>
      </c>
      <c r="C20" s="86">
        <f>IFERROR('4h'!C20/'8c'!C32*100, "na")</f>
        <v>265.07401029095809</v>
      </c>
      <c r="D20" s="86">
        <f>IFERROR('4h'!D20/'8c'!D32*100, "na")</f>
        <v>2.2379097693166017</v>
      </c>
      <c r="E20" s="87">
        <f>IFERROR('4h'!E20/'8c'!E32*100, "na")</f>
        <v>21.074837188841219</v>
      </c>
      <c r="F20" s="85">
        <f>IFERROR('4h'!F20/'8c'!F32*100, "na")</f>
        <v>89.441553689029334</v>
      </c>
      <c r="G20" s="86">
        <f>IFERROR('4h'!G20/'8c'!G32*100, "na")</f>
        <v>532.30565961079844</v>
      </c>
      <c r="H20" s="86">
        <f>IFERROR('4h'!H20/'8c'!H32*100, "na")</f>
        <v>7.2079531609963121</v>
      </c>
      <c r="I20" s="87">
        <f>IFERROR('4h'!I20/'8c'!I32*100, "na")</f>
        <v>100.65166046486098</v>
      </c>
      <c r="J20" s="85">
        <f>IFERROR('4h'!J20/'8c'!J32*100, "na")</f>
        <v>8.2377867566157565</v>
      </c>
      <c r="K20" s="86">
        <f>IFERROR('4h'!K20/'8c'!K32*100, "na")</f>
        <v>3.7279558645604443</v>
      </c>
      <c r="L20" s="86">
        <f>IFERROR('4h'!L20/'8c'!L32*100, "na")</f>
        <v>2.399421053665812</v>
      </c>
      <c r="M20" s="87">
        <f>IFERROR('4h'!M20/'8c'!M32*100, "na")</f>
        <v>3.9232795602480448</v>
      </c>
    </row>
    <row r="21" spans="1:13">
      <c r="A21" s="65">
        <v>2008</v>
      </c>
      <c r="B21" s="85">
        <f>IFERROR('4h'!B21/'8c'!B33*100, "na")</f>
        <v>271.62159878389718</v>
      </c>
      <c r="C21" s="86">
        <f>IFERROR('4h'!C21/'8c'!C33*100, "na")</f>
        <v>280.80257110143089</v>
      </c>
      <c r="D21" s="86">
        <f>IFERROR('4h'!D21/'8c'!D33*100, "na")</f>
        <v>2.1825470423876796</v>
      </c>
      <c r="E21" s="87">
        <f>IFERROR('4h'!E21/'8c'!E33*100, "na")</f>
        <v>21.209426300944905</v>
      </c>
      <c r="F21" s="85">
        <f>IFERROR('4h'!F21/'8c'!F33*100, "na")</f>
        <v>59.74537130561469</v>
      </c>
      <c r="G21" s="86">
        <f>IFERROR('4h'!G21/'8c'!G33*100, "na")</f>
        <v>497.65081183054355</v>
      </c>
      <c r="H21" s="86">
        <f>IFERROR('4h'!H21/'8c'!H33*100, "na")</f>
        <v>6.985456374182454</v>
      </c>
      <c r="I21" s="87">
        <f>IFERROR('4h'!I21/'8c'!I33*100, "na")</f>
        <v>94.933588318664036</v>
      </c>
      <c r="J21" s="85">
        <f>IFERROR('4h'!J21/'8c'!J33*100, "na")</f>
        <v>8.0941128137008302</v>
      </c>
      <c r="K21" s="86">
        <f>IFERROR('4h'!K21/'8c'!K33*100, "na")</f>
        <v>3.5046314763231239</v>
      </c>
      <c r="L21" s="86">
        <f>IFERROR('4h'!L21/'8c'!L33*100, "na")</f>
        <v>2.3065371921417057</v>
      </c>
      <c r="M21" s="87">
        <f>IFERROR('4h'!M21/'8c'!M33*100, "na")</f>
        <v>3.8098254382426298</v>
      </c>
    </row>
    <row r="22" spans="1:13">
      <c r="A22" s="20">
        <f>A21+1</f>
        <v>2009</v>
      </c>
      <c r="B22" s="85">
        <f>IFERROR('4h'!B22/'8c'!B34*100, "na")</f>
        <v>233.35697805618619</v>
      </c>
      <c r="C22" s="86">
        <f>IFERROR('4h'!C22/'8c'!C34*100, "na")</f>
        <v>277.3412257712024</v>
      </c>
      <c r="D22" s="86">
        <f>IFERROR('4h'!D22/'8c'!D34*100, "na")</f>
        <v>2.164289554134958</v>
      </c>
      <c r="E22" s="87">
        <f>IFERROR('4h'!E22/'8c'!E34*100, "na")</f>
        <v>20.452020590845947</v>
      </c>
      <c r="F22" s="85">
        <f>IFERROR('4h'!F22/'8c'!F34*100, "na")</f>
        <v>64.077905610124859</v>
      </c>
      <c r="G22" s="86">
        <f>IFERROR('4h'!G22/'8c'!G34*100, "na")</f>
        <v>579.0714776985343</v>
      </c>
      <c r="H22" s="86">
        <f>IFERROR('4h'!H22/'8c'!H34*100, "na")</f>
        <v>6.4697362014578115</v>
      </c>
      <c r="I22" s="87">
        <f>IFERROR('4h'!I22/'8c'!I34*100, "na")</f>
        <v>103.97776989819883</v>
      </c>
      <c r="J22" s="85">
        <f>IFERROR('4h'!J22/'8c'!J34*100, "na")</f>
        <v>7.6381435658984893</v>
      </c>
      <c r="K22" s="86">
        <f>IFERROR('4h'!K22/'8c'!K34*100, "na")</f>
        <v>3.3315710992692571</v>
      </c>
      <c r="L22" s="86">
        <f>IFERROR('4h'!L22/'8c'!L34*100, "na")</f>
        <v>2.2558566743129944</v>
      </c>
      <c r="M22" s="87">
        <f>IFERROR('4h'!M22/'8c'!M34*100, "na")</f>
        <v>3.648802010963041</v>
      </c>
    </row>
    <row r="23" spans="1:13">
      <c r="A23" s="21">
        <f t="shared" ref="A23" si="0">A22+1</f>
        <v>2010</v>
      </c>
      <c r="B23" s="88">
        <f>IFERROR('4h'!B23/'8c'!B35*100, "na")</f>
        <v>213.14568942070431</v>
      </c>
      <c r="C23" s="89">
        <f>IFERROR('4h'!C23/'8c'!C35*100, "na")</f>
        <v>273.98515418950649</v>
      </c>
      <c r="D23" s="89">
        <f>IFERROR('4h'!D23/'8c'!D35*100, "na")</f>
        <v>2.521376249127516</v>
      </c>
      <c r="E23" s="90">
        <f>IFERROR('4h'!E23/'8c'!E35*100, "na")</f>
        <v>21.280586697436828</v>
      </c>
      <c r="F23" s="88">
        <f>IFERROR('4h'!F23/'8c'!F35*100, "na")</f>
        <v>78.672564580143558</v>
      </c>
      <c r="G23" s="89">
        <f>IFERROR('4h'!G23/'8c'!G35*100, "na")</f>
        <v>635.44814679773185</v>
      </c>
      <c r="H23" s="89">
        <f>IFERROR('4h'!H23/'8c'!H35*100, "na")</f>
        <v>7.0187047593130183</v>
      </c>
      <c r="I23" s="90">
        <f>IFERROR('4h'!I23/'8c'!I35*100, "na")</f>
        <v>112.48030303768192</v>
      </c>
      <c r="J23" s="88">
        <f>IFERROR('4h'!J23/'8c'!J35*100, "na")</f>
        <v>6.5245441564300704</v>
      </c>
      <c r="K23" s="89">
        <f>IFERROR('4h'!K23/'8c'!K35*100, "na")</f>
        <v>3.1922484381350271</v>
      </c>
      <c r="L23" s="89">
        <f>IFERROR('4h'!L23/'8c'!L35*100, "na")</f>
        <v>2.3797324486369527</v>
      </c>
      <c r="M23" s="90">
        <f>IFERROR('4h'!M23/'8c'!M35*100, "na")</f>
        <v>3.577037747560849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 t="s">
        <v>173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3">
    <mergeCell ref="F3:I3"/>
    <mergeCell ref="J3:M3"/>
    <mergeCell ref="B3:E3"/>
  </mergeCells>
  <pageMargins left="0.7" right="0.7" top="0.75" bottom="0.75" header="0.3" footer="0.3"/>
  <pageSetup scale="74" orientation="landscape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99"/>
  <dimension ref="A1:M25"/>
  <sheetViews>
    <sheetView zoomScaleNormal="100" workbookViewId="0">
      <selection activeCell="B15" sqref="B15"/>
    </sheetView>
  </sheetViews>
  <sheetFormatPr defaultColWidth="11.42578125" defaultRowHeight="15"/>
  <cols>
    <col min="1" max="1" width="11.42578125" style="1"/>
    <col min="2" max="2" width="12.7109375" style="1" bestFit="1" customWidth="1"/>
    <col min="3" max="3" width="11.42578125" style="1"/>
    <col min="4" max="4" width="19" style="1" bestFit="1" customWidth="1"/>
    <col min="5" max="5" width="12.5703125" style="1" bestFit="1" customWidth="1"/>
    <col min="6" max="6" width="12.7109375" style="1" bestFit="1" customWidth="1"/>
    <col min="7" max="7" width="11.42578125" style="1"/>
    <col min="8" max="8" width="19" style="1" bestFit="1" customWidth="1"/>
    <col min="9" max="9" width="12.5703125" style="1" bestFit="1" customWidth="1"/>
    <col min="10" max="10" width="12.7109375" style="1" bestFit="1" customWidth="1"/>
    <col min="11" max="11" width="11.42578125" style="1"/>
    <col min="12" max="12" width="19" style="1" bestFit="1" customWidth="1"/>
    <col min="13" max="13" width="12.5703125" style="1" bestFit="1" customWidth="1"/>
    <col min="14" max="16384" width="11.42578125" style="1"/>
  </cols>
  <sheetData>
    <row r="1" spans="1:13">
      <c r="A1" s="2" t="s">
        <v>206</v>
      </c>
    </row>
    <row r="3" spans="1:13"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30">
      <c r="B4" s="273" t="s">
        <v>0</v>
      </c>
      <c r="C4" s="274" t="s">
        <v>1</v>
      </c>
      <c r="D4" s="274" t="s">
        <v>2</v>
      </c>
      <c r="E4" s="275" t="s">
        <v>72</v>
      </c>
      <c r="F4" s="273" t="s">
        <v>0</v>
      </c>
      <c r="G4" s="274" t="s">
        <v>1</v>
      </c>
      <c r="H4" s="274" t="s">
        <v>2</v>
      </c>
      <c r="I4" s="275" t="s">
        <v>72</v>
      </c>
      <c r="J4" s="273" t="s">
        <v>0</v>
      </c>
      <c r="K4" s="274" t="s">
        <v>1</v>
      </c>
      <c r="L4" s="274" t="s">
        <v>2</v>
      </c>
      <c r="M4" s="275" t="s">
        <v>72</v>
      </c>
    </row>
    <row r="5" spans="1:13">
      <c r="A5" s="64">
        <v>1992</v>
      </c>
      <c r="B5" s="82" t="str">
        <f>IFERROR('3m'!B5/'7j'!B17*100, "na")</f>
        <v>na</v>
      </c>
      <c r="C5" s="83" t="str">
        <f>IFERROR('3m'!C5/'7j'!C17*100, "na")</f>
        <v>na</v>
      </c>
      <c r="D5" s="83" t="str">
        <f>IFERROR('3m'!D5/'7j'!D17*100, "na")</f>
        <v>na</v>
      </c>
      <c r="E5" s="84" t="str">
        <f>IFERROR('3m'!E5/'7j'!E17*100, "na")</f>
        <v>na</v>
      </c>
      <c r="F5" s="82" t="str">
        <f>IFERROR('3m'!F5/'7j'!F17*100, "na")</f>
        <v>na</v>
      </c>
      <c r="G5" s="83" t="str">
        <f>IFERROR('3m'!G5/'7j'!G17*100, "na")</f>
        <v>na</v>
      </c>
      <c r="H5" s="83" t="str">
        <f>IFERROR('3m'!H5/'7j'!H17*100, "na")</f>
        <v>na</v>
      </c>
      <c r="I5" s="84" t="str">
        <f>IFERROR('3m'!I5/'7j'!I17*100, "na")</f>
        <v>na</v>
      </c>
      <c r="J5" s="82" t="str">
        <f>IFERROR('3m'!J5/'7j'!J17*100, "na")</f>
        <v>na</v>
      </c>
      <c r="K5" s="83" t="str">
        <f>IFERROR('3m'!K5/'7j'!K17*100, "na")</f>
        <v>na</v>
      </c>
      <c r="L5" s="83" t="str">
        <f>IFERROR('3m'!L5/'7j'!L17*100, "na")</f>
        <v>na</v>
      </c>
      <c r="M5" s="84" t="str">
        <f>IFERROR('3m'!M5/'7j'!M17*100, "na")</f>
        <v>na</v>
      </c>
    </row>
    <row r="6" spans="1:13">
      <c r="A6" s="65">
        <v>1993</v>
      </c>
      <c r="B6" s="85" t="str">
        <f>IFERROR('3m'!B6/'7j'!B18*100, "na")</f>
        <v>na</v>
      </c>
      <c r="C6" s="86" t="str">
        <f>IFERROR('3m'!C6/'7j'!C18*100, "na")</f>
        <v>na</v>
      </c>
      <c r="D6" s="86" t="str">
        <f>IFERROR('3m'!D6/'7j'!D18*100, "na")</f>
        <v>na</v>
      </c>
      <c r="E6" s="87" t="str">
        <f>IFERROR('3m'!E6/'7j'!E18*100, "na")</f>
        <v>na</v>
      </c>
      <c r="F6" s="85" t="str">
        <f>IFERROR('3m'!F6/'7j'!F18*100, "na")</f>
        <v>na</v>
      </c>
      <c r="G6" s="86" t="str">
        <f>IFERROR('3m'!G6/'7j'!G18*100, "na")</f>
        <v>na</v>
      </c>
      <c r="H6" s="86" t="str">
        <f>IFERROR('3m'!H6/'7j'!H18*100, "na")</f>
        <v>na</v>
      </c>
      <c r="I6" s="87" t="str">
        <f>IFERROR('3m'!I6/'7j'!I18*100, "na")</f>
        <v>na</v>
      </c>
      <c r="J6" s="85" t="str">
        <f>IFERROR('3m'!J6/'7j'!J18*100, "na")</f>
        <v>na</v>
      </c>
      <c r="K6" s="86" t="str">
        <f>IFERROR('3m'!K6/'7j'!K18*100, "na")</f>
        <v>na</v>
      </c>
      <c r="L6" s="86" t="str">
        <f>IFERROR('3m'!L6/'7j'!L18*100, "na")</f>
        <v>na</v>
      </c>
      <c r="M6" s="87" t="str">
        <f>IFERROR('3m'!M6/'7j'!M18*100, "na")</f>
        <v>na</v>
      </c>
    </row>
    <row r="7" spans="1:13">
      <c r="A7" s="65">
        <v>1994</v>
      </c>
      <c r="B7" s="85" t="str">
        <f>IFERROR('3m'!B7/'7j'!B19*100, "na")</f>
        <v>na</v>
      </c>
      <c r="C7" s="86" t="str">
        <f>IFERROR('3m'!C7/'7j'!C19*100, "na")</f>
        <v>na</v>
      </c>
      <c r="D7" s="86" t="str">
        <f>IFERROR('3m'!D7/'7j'!D19*100, "na")</f>
        <v>na</v>
      </c>
      <c r="E7" s="87" t="str">
        <f>IFERROR('3m'!E7/'7j'!E19*100, "na")</f>
        <v>na</v>
      </c>
      <c r="F7" s="85" t="str">
        <f>IFERROR('3m'!F7/'7j'!F19*100, "na")</f>
        <v>na</v>
      </c>
      <c r="G7" s="86" t="str">
        <f>IFERROR('3m'!G7/'7j'!G19*100, "na")</f>
        <v>na</v>
      </c>
      <c r="H7" s="86" t="str">
        <f>IFERROR('3m'!H7/'7j'!H19*100, "na")</f>
        <v>na</v>
      </c>
      <c r="I7" s="87" t="str">
        <f>IFERROR('3m'!I7/'7j'!I19*100, "na")</f>
        <v>na</v>
      </c>
      <c r="J7" s="85" t="str">
        <f>IFERROR('3m'!J7/'7j'!J19*100, "na")</f>
        <v>na</v>
      </c>
      <c r="K7" s="86" t="str">
        <f>IFERROR('3m'!K7/'7j'!K19*100, "na")</f>
        <v>na</v>
      </c>
      <c r="L7" s="86" t="str">
        <f>IFERROR('3m'!L7/'7j'!L19*100, "na")</f>
        <v>na</v>
      </c>
      <c r="M7" s="87" t="str">
        <f>IFERROR('3m'!M7/'7j'!M19*100, "na")</f>
        <v>na</v>
      </c>
    </row>
    <row r="8" spans="1:13">
      <c r="A8" s="65">
        <v>1995</v>
      </c>
      <c r="B8" s="85" t="str">
        <f>IFERROR('3m'!B8/'7j'!B20*100, "na")</f>
        <v>na</v>
      </c>
      <c r="C8" s="86" t="str">
        <f>IFERROR('3m'!C8/'7j'!C20*100, "na")</f>
        <v>na</v>
      </c>
      <c r="D8" s="86" t="str">
        <f>IFERROR('3m'!D8/'7j'!D20*100, "na")</f>
        <v>na</v>
      </c>
      <c r="E8" s="87" t="str">
        <f>IFERROR('3m'!E8/'7j'!E20*100, "na")</f>
        <v>na</v>
      </c>
      <c r="F8" s="85" t="str">
        <f>IFERROR('3m'!F8/'7j'!F20*100, "na")</f>
        <v>na</v>
      </c>
      <c r="G8" s="86" t="str">
        <f>IFERROR('3m'!G8/'7j'!G20*100, "na")</f>
        <v>na</v>
      </c>
      <c r="H8" s="86" t="str">
        <f>IFERROR('3m'!H8/'7j'!H20*100, "na")</f>
        <v>na</v>
      </c>
      <c r="I8" s="87" t="str">
        <f>IFERROR('3m'!I8/'7j'!I20*100, "na")</f>
        <v>na</v>
      </c>
      <c r="J8" s="85" t="str">
        <f>IFERROR('3m'!J8/'7j'!J20*100, "na")</f>
        <v>na</v>
      </c>
      <c r="K8" s="86" t="str">
        <f>IFERROR('3m'!K8/'7j'!K20*100, "na")</f>
        <v>na</v>
      </c>
      <c r="L8" s="86" t="str">
        <f>IFERROR('3m'!L8/'7j'!L20*100, "na")</f>
        <v>na</v>
      </c>
      <c r="M8" s="87" t="str">
        <f>IFERROR('3m'!M8/'7j'!M20*100, "na")</f>
        <v>na</v>
      </c>
    </row>
    <row r="9" spans="1:13">
      <c r="A9" s="65">
        <v>1996</v>
      </c>
      <c r="B9" s="85" t="str">
        <f>IFERROR('3m'!B9/'7j'!B21*100, "na")</f>
        <v>na</v>
      </c>
      <c r="C9" s="86" t="str">
        <f>IFERROR('3m'!C9/'7j'!C21*100, "na")</f>
        <v>na</v>
      </c>
      <c r="D9" s="86" t="str">
        <f>IFERROR('3m'!D9/'7j'!D21*100, "na")</f>
        <v>na</v>
      </c>
      <c r="E9" s="87" t="str">
        <f>IFERROR('3m'!E9/'7j'!E21*100, "na")</f>
        <v>na</v>
      </c>
      <c r="F9" s="85" t="str">
        <f>IFERROR('3m'!F9/'7j'!F21*100, "na")</f>
        <v>na</v>
      </c>
      <c r="G9" s="86" t="str">
        <f>IFERROR('3m'!G9/'7j'!G21*100, "na")</f>
        <v>na</v>
      </c>
      <c r="H9" s="86" t="str">
        <f>IFERROR('3m'!H9/'7j'!H21*100, "na")</f>
        <v>na</v>
      </c>
      <c r="I9" s="87" t="str">
        <f>IFERROR('3m'!I9/'7j'!I21*100, "na")</f>
        <v>na</v>
      </c>
      <c r="J9" s="85" t="str">
        <f>IFERROR('3m'!J9/'7j'!J21*100, "na")</f>
        <v>na</v>
      </c>
      <c r="K9" s="86" t="str">
        <f>IFERROR('3m'!K9/'7j'!K21*100, "na")</f>
        <v>na</v>
      </c>
      <c r="L9" s="86" t="str">
        <f>IFERROR('3m'!L9/'7j'!L21*100, "na")</f>
        <v>na</v>
      </c>
      <c r="M9" s="87" t="str">
        <f>IFERROR('3m'!M9/'7j'!M21*100, "na")</f>
        <v>na</v>
      </c>
    </row>
    <row r="10" spans="1:13">
      <c r="A10" s="65">
        <v>1997</v>
      </c>
      <c r="B10" s="85" t="str">
        <f>IFERROR('3m'!B10/'7j'!B22*100, "na")</f>
        <v>na</v>
      </c>
      <c r="C10" s="86" t="str">
        <f>IFERROR('3m'!C10/'7j'!C22*100, "na")</f>
        <v>na</v>
      </c>
      <c r="D10" s="86" t="str">
        <f>IFERROR('3m'!D10/'7j'!D22*100, "na")</f>
        <v>na</v>
      </c>
      <c r="E10" s="87" t="str">
        <f>IFERROR('3m'!E10/'7j'!E22*100, "na")</f>
        <v>na</v>
      </c>
      <c r="F10" s="85" t="str">
        <f>IFERROR('3m'!F10/'7j'!F22*100, "na")</f>
        <v>na</v>
      </c>
      <c r="G10" s="86" t="str">
        <f>IFERROR('3m'!G10/'7j'!G22*100, "na")</f>
        <v>na</v>
      </c>
      <c r="H10" s="86" t="str">
        <f>IFERROR('3m'!H10/'7j'!H22*100, "na")</f>
        <v>na</v>
      </c>
      <c r="I10" s="87" t="str">
        <f>IFERROR('3m'!I10/'7j'!I22*100, "na")</f>
        <v>na</v>
      </c>
      <c r="J10" s="85" t="str">
        <f>IFERROR('3m'!J10/'7j'!J22*100, "na")</f>
        <v>na</v>
      </c>
      <c r="K10" s="86" t="str">
        <f>IFERROR('3m'!K10/'7j'!K22*100, "na")</f>
        <v>na</v>
      </c>
      <c r="L10" s="86" t="str">
        <f>IFERROR('3m'!L10/'7j'!L22*100, "na")</f>
        <v>na</v>
      </c>
      <c r="M10" s="87" t="str">
        <f>IFERROR('3m'!M10/'7j'!M22*100, "na")</f>
        <v>na</v>
      </c>
    </row>
    <row r="11" spans="1:13">
      <c r="A11" s="65">
        <v>1998</v>
      </c>
      <c r="B11" s="85" t="str">
        <f>IFERROR('3m'!B11/'7j'!B23*100, "na")</f>
        <v>na</v>
      </c>
      <c r="C11" s="86" t="str">
        <f>IFERROR('3m'!C11/'7j'!C23*100, "na")</f>
        <v>na</v>
      </c>
      <c r="D11" s="86" t="str">
        <f>IFERROR('3m'!D11/'7j'!D23*100, "na")</f>
        <v>na</v>
      </c>
      <c r="E11" s="87" t="str">
        <f>IFERROR('3m'!E11/'7j'!E23*100, "na")</f>
        <v>na</v>
      </c>
      <c r="F11" s="85" t="str">
        <f>IFERROR('3m'!F11/'7j'!F23*100, "na")</f>
        <v>na</v>
      </c>
      <c r="G11" s="86" t="str">
        <f>IFERROR('3m'!G11/'7j'!G23*100, "na")</f>
        <v>na</v>
      </c>
      <c r="H11" s="86" t="str">
        <f>IFERROR('3m'!H11/'7j'!H23*100, "na")</f>
        <v>na</v>
      </c>
      <c r="I11" s="87" t="str">
        <f>IFERROR('3m'!I11/'7j'!I23*100, "na")</f>
        <v>na</v>
      </c>
      <c r="J11" s="85" t="str">
        <f>IFERROR('3m'!J11/'7j'!J23*100, "na")</f>
        <v>na</v>
      </c>
      <c r="K11" s="86" t="str">
        <f>IFERROR('3m'!K11/'7j'!K23*100, "na")</f>
        <v>na</v>
      </c>
      <c r="L11" s="86" t="str">
        <f>IFERROR('3m'!L11/'7j'!L23*100, "na")</f>
        <v>na</v>
      </c>
      <c r="M11" s="87" t="str">
        <f>IFERROR('3m'!M11/'7j'!M23*100, "na")</f>
        <v>na</v>
      </c>
    </row>
    <row r="12" spans="1:13">
      <c r="A12" s="65">
        <v>1999</v>
      </c>
      <c r="B12" s="85" t="str">
        <f>IFERROR('3m'!B12/'7j'!B24*100, "na")</f>
        <v>na</v>
      </c>
      <c r="C12" s="86" t="str">
        <f>IFERROR('3m'!C12/'7j'!C24*100, "na")</f>
        <v>na</v>
      </c>
      <c r="D12" s="86" t="str">
        <f>IFERROR('3m'!D12/'7j'!D24*100, "na")</f>
        <v>na</v>
      </c>
      <c r="E12" s="87" t="str">
        <f>IFERROR('3m'!E12/'7j'!E24*100, "na")</f>
        <v>na</v>
      </c>
      <c r="F12" s="85" t="str">
        <f>IFERROR('3m'!F12/'7j'!F24*100, "na")</f>
        <v>na</v>
      </c>
      <c r="G12" s="86" t="str">
        <f>IFERROR('3m'!G12/'7j'!G24*100, "na")</f>
        <v>na</v>
      </c>
      <c r="H12" s="86" t="str">
        <f>IFERROR('3m'!H12/'7j'!H24*100, "na")</f>
        <v>na</v>
      </c>
      <c r="I12" s="87" t="str">
        <f>IFERROR('3m'!I12/'7j'!I24*100, "na")</f>
        <v>na</v>
      </c>
      <c r="J12" s="85" t="str">
        <f>IFERROR('3m'!J12/'7j'!J24*100, "na")</f>
        <v>na</v>
      </c>
      <c r="K12" s="86" t="str">
        <f>IFERROR('3m'!K12/'7j'!K24*100, "na")</f>
        <v>na</v>
      </c>
      <c r="L12" s="86" t="str">
        <f>IFERROR('3m'!L12/'7j'!L24*100, "na")</f>
        <v>na</v>
      </c>
      <c r="M12" s="87" t="str">
        <f>IFERROR('3m'!M12/'7j'!M24*100, "na")</f>
        <v>na</v>
      </c>
    </row>
    <row r="13" spans="1:13">
      <c r="A13" s="65">
        <v>2000</v>
      </c>
      <c r="B13" s="85" t="str">
        <f>IFERROR('3m'!B13/'7j'!B25*100, "na")</f>
        <v>na</v>
      </c>
      <c r="C13" s="86" t="str">
        <f>IFERROR('3m'!C13/'7j'!C25*100, "na")</f>
        <v>na</v>
      </c>
      <c r="D13" s="86" t="str">
        <f>IFERROR('3m'!D13/'7j'!D25*100, "na")</f>
        <v>na</v>
      </c>
      <c r="E13" s="87" t="str">
        <f>IFERROR('3m'!E13/'7j'!E25*100, "na")</f>
        <v>na</v>
      </c>
      <c r="F13" s="85" t="str">
        <f>IFERROR('3m'!F13/'7j'!F25*100, "na")</f>
        <v>na</v>
      </c>
      <c r="G13" s="86" t="str">
        <f>IFERROR('3m'!G13/'7j'!G25*100, "na")</f>
        <v>na</v>
      </c>
      <c r="H13" s="86" t="str">
        <f>IFERROR('3m'!H13/'7j'!H25*100, "na")</f>
        <v>na</v>
      </c>
      <c r="I13" s="87" t="str">
        <f>IFERROR('3m'!I13/'7j'!I25*100, "na")</f>
        <v>na</v>
      </c>
      <c r="J13" s="85" t="str">
        <f>IFERROR('3m'!J13/'7j'!J25*100, "na")</f>
        <v>na</v>
      </c>
      <c r="K13" s="86" t="str">
        <f>IFERROR('3m'!K13/'7j'!K25*100, "na")</f>
        <v>na</v>
      </c>
      <c r="L13" s="86" t="str">
        <f>IFERROR('3m'!L13/'7j'!L25*100, "na")</f>
        <v>na</v>
      </c>
      <c r="M13" s="87" t="str">
        <f>IFERROR('3m'!M13/'7j'!M25*100, "na")</f>
        <v>na</v>
      </c>
    </row>
    <row r="14" spans="1:13">
      <c r="A14" s="65">
        <v>2001</v>
      </c>
      <c r="B14" s="85" t="str">
        <f>IFERROR('3m'!B14/'7j'!B26*100, "na")</f>
        <v>na</v>
      </c>
      <c r="C14" s="86" t="str">
        <f>IFERROR('3m'!C14/'7j'!C26*100, "na")</f>
        <v>na</v>
      </c>
      <c r="D14" s="86" t="str">
        <f>IFERROR('3m'!D14/'7j'!D26*100, "na")</f>
        <v>na</v>
      </c>
      <c r="E14" s="87" t="str">
        <f>IFERROR('3m'!E14/'7j'!E26*100, "na")</f>
        <v>na</v>
      </c>
      <c r="F14" s="85" t="str">
        <f>IFERROR('3m'!F14/'7j'!F26*100, "na")</f>
        <v>na</v>
      </c>
      <c r="G14" s="86" t="str">
        <f>IFERROR('3m'!G14/'7j'!G26*100, "na")</f>
        <v>na</v>
      </c>
      <c r="H14" s="86" t="str">
        <f>IFERROR('3m'!H14/'7j'!H26*100, "na")</f>
        <v>na</v>
      </c>
      <c r="I14" s="87" t="str">
        <f>IFERROR('3m'!I14/'7j'!I26*100, "na")</f>
        <v>na</v>
      </c>
      <c r="J14" s="85" t="str">
        <f>IFERROR('3m'!J14/'7j'!J26*100, "na")</f>
        <v>na</v>
      </c>
      <c r="K14" s="86" t="str">
        <f>IFERROR('3m'!K14/'7j'!K26*100, "na")</f>
        <v>na</v>
      </c>
      <c r="L14" s="86" t="str">
        <f>IFERROR('3m'!L14/'7j'!L26*100, "na")</f>
        <v>na</v>
      </c>
      <c r="M14" s="87" t="str">
        <f>IFERROR('3m'!M14/'7j'!M26*100, "na")</f>
        <v>na</v>
      </c>
    </row>
    <row r="15" spans="1:13">
      <c r="A15" s="65">
        <v>2002</v>
      </c>
      <c r="B15" s="85" t="str">
        <f>IFERROR('3m'!B15/'7j'!B27*100, "na")</f>
        <v>na</v>
      </c>
      <c r="C15" s="86" t="str">
        <f>IFERROR('3m'!C15/'7j'!C27*100, "na")</f>
        <v>na</v>
      </c>
      <c r="D15" s="86" t="str">
        <f>IFERROR('3m'!D15/'7j'!D27*100, "na")</f>
        <v>na</v>
      </c>
      <c r="E15" s="87" t="str">
        <f>IFERROR('3m'!E15/'7j'!E27*100, "na")</f>
        <v>na</v>
      </c>
      <c r="F15" s="85" t="str">
        <f>IFERROR('3m'!F15/'7j'!F27*100, "na")</f>
        <v>na</v>
      </c>
      <c r="G15" s="86" t="str">
        <f>IFERROR('3m'!G15/'7j'!G27*100, "na")</f>
        <v>na</v>
      </c>
      <c r="H15" s="86" t="str">
        <f>IFERROR('3m'!H15/'7j'!H27*100, "na")</f>
        <v>na</v>
      </c>
      <c r="I15" s="87" t="str">
        <f>IFERROR('3m'!I15/'7j'!I27*100, "na")</f>
        <v>na</v>
      </c>
      <c r="J15" s="85" t="str">
        <f>IFERROR('3m'!J15/'7j'!J27*100, "na")</f>
        <v>na</v>
      </c>
      <c r="K15" s="86" t="str">
        <f>IFERROR('3m'!K15/'7j'!K27*100, "na")</f>
        <v>na</v>
      </c>
      <c r="L15" s="86" t="str">
        <f>IFERROR('3m'!L15/'7j'!L27*100, "na")</f>
        <v>na</v>
      </c>
      <c r="M15" s="87" t="str">
        <f>IFERROR('3m'!M15/'7j'!M27*100, "na")</f>
        <v>na</v>
      </c>
    </row>
    <row r="16" spans="1:13">
      <c r="A16" s="65">
        <v>2003</v>
      </c>
      <c r="B16" s="85" t="str">
        <f>IFERROR('3m'!B16/'7j'!B28*100, "na")</f>
        <v>na</v>
      </c>
      <c r="C16" s="86" t="str">
        <f>IFERROR('3m'!C16/'7j'!C28*100, "na")</f>
        <v>na</v>
      </c>
      <c r="D16" s="86" t="str">
        <f>IFERROR('3m'!D16/'7j'!D28*100, "na")</f>
        <v>na</v>
      </c>
      <c r="E16" s="87" t="str">
        <f>IFERROR('3m'!E16/'7j'!E28*100, "na")</f>
        <v>na</v>
      </c>
      <c r="F16" s="85" t="str">
        <f>IFERROR('3m'!F16/'7j'!F28*100, "na")</f>
        <v>na</v>
      </c>
      <c r="G16" s="86" t="str">
        <f>IFERROR('3m'!G16/'7j'!G28*100, "na")</f>
        <v>na</v>
      </c>
      <c r="H16" s="86" t="str">
        <f>IFERROR('3m'!H16/'7j'!H28*100, "na")</f>
        <v>na</v>
      </c>
      <c r="I16" s="87" t="str">
        <f>IFERROR('3m'!I16/'7j'!I28*100, "na")</f>
        <v>na</v>
      </c>
      <c r="J16" s="85" t="str">
        <f>IFERROR('3m'!J16/'7j'!J28*100, "na")</f>
        <v>na</v>
      </c>
      <c r="K16" s="86" t="str">
        <f>IFERROR('3m'!K16/'7j'!K28*100, "na")</f>
        <v>na</v>
      </c>
      <c r="L16" s="86" t="str">
        <f>IFERROR('3m'!L16/'7j'!L28*100, "na")</f>
        <v>na</v>
      </c>
      <c r="M16" s="87" t="str">
        <f>IFERROR('3m'!M16/'7j'!M28*100, "na")</f>
        <v>na</v>
      </c>
    </row>
    <row r="17" spans="1:13">
      <c r="A17" s="65">
        <v>2004</v>
      </c>
      <c r="B17" s="85" t="str">
        <f>IFERROR('3m'!B17/'7j'!B29*100, "na")</f>
        <v>na</v>
      </c>
      <c r="C17" s="86" t="str">
        <f>IFERROR('3m'!C17/'7j'!C29*100, "na")</f>
        <v>na</v>
      </c>
      <c r="D17" s="86" t="str">
        <f>IFERROR('3m'!D17/'7j'!D29*100, "na")</f>
        <v>na</v>
      </c>
      <c r="E17" s="87" t="str">
        <f>IFERROR('3m'!E17/'7j'!E29*100, "na")</f>
        <v>na</v>
      </c>
      <c r="F17" s="85" t="str">
        <f>IFERROR('3m'!F17/'7j'!F29*100, "na")</f>
        <v>na</v>
      </c>
      <c r="G17" s="86" t="str">
        <f>IFERROR('3m'!G17/'7j'!G29*100, "na")</f>
        <v>na</v>
      </c>
      <c r="H17" s="86" t="str">
        <f>IFERROR('3m'!H17/'7j'!H29*100, "na")</f>
        <v>na</v>
      </c>
      <c r="I17" s="87" t="str">
        <f>IFERROR('3m'!I17/'7j'!I29*100, "na")</f>
        <v>na</v>
      </c>
      <c r="J17" s="85" t="str">
        <f>IFERROR('3m'!J17/'7j'!J29*100, "na")</f>
        <v>na</v>
      </c>
      <c r="K17" s="86" t="str">
        <f>IFERROR('3m'!K17/'7j'!K29*100, "na")</f>
        <v>na</v>
      </c>
      <c r="L17" s="86" t="str">
        <f>IFERROR('3m'!L17/'7j'!L29*100, "na")</f>
        <v>na</v>
      </c>
      <c r="M17" s="87" t="str">
        <f>IFERROR('3m'!M17/'7j'!M29*100, "na")</f>
        <v>na</v>
      </c>
    </row>
    <row r="18" spans="1:13">
      <c r="A18" s="65">
        <v>2005</v>
      </c>
      <c r="B18" s="85" t="str">
        <f>IFERROR('3m'!B18/'7j'!B30*100, "na")</f>
        <v>na</v>
      </c>
      <c r="C18" s="86" t="str">
        <f>IFERROR('3m'!C18/'7j'!C30*100, "na")</f>
        <v>na</v>
      </c>
      <c r="D18" s="86" t="str">
        <f>IFERROR('3m'!D18/'7j'!D30*100, "na")</f>
        <v>na</v>
      </c>
      <c r="E18" s="87" t="str">
        <f>IFERROR('3m'!E18/'7j'!E30*100, "na")</f>
        <v>na</v>
      </c>
      <c r="F18" s="85" t="str">
        <f>IFERROR('3m'!F18/'7j'!F30*100, "na")</f>
        <v>na</v>
      </c>
      <c r="G18" s="86" t="str">
        <f>IFERROR('3m'!G18/'7j'!G30*100, "na")</f>
        <v>na</v>
      </c>
      <c r="H18" s="86" t="str">
        <f>IFERROR('3m'!H18/'7j'!H30*100, "na")</f>
        <v>na</v>
      </c>
      <c r="I18" s="87" t="str">
        <f>IFERROR('3m'!I18/'7j'!I30*100, "na")</f>
        <v>na</v>
      </c>
      <c r="J18" s="85" t="str">
        <f>IFERROR('3m'!J18/'7j'!J30*100, "na")</f>
        <v>na</v>
      </c>
      <c r="K18" s="86" t="str">
        <f>IFERROR('3m'!K18/'7j'!K30*100, "na")</f>
        <v>na</v>
      </c>
      <c r="L18" s="86" t="str">
        <f>IFERROR('3m'!L18/'7j'!L30*100, "na")</f>
        <v>na</v>
      </c>
      <c r="M18" s="87" t="str">
        <f>IFERROR('3m'!M18/'7j'!M30*100, "na")</f>
        <v>na</v>
      </c>
    </row>
    <row r="19" spans="1:13">
      <c r="A19" s="65">
        <v>2006</v>
      </c>
      <c r="B19" s="85" t="str">
        <f>IFERROR('3m'!B19/'7j'!B31*100, "na")</f>
        <v>na</v>
      </c>
      <c r="C19" s="86" t="str">
        <f>IFERROR('3m'!C19/'7j'!C31*100, "na")</f>
        <v>na</v>
      </c>
      <c r="D19" s="86" t="str">
        <f>IFERROR('3m'!D19/'7j'!D31*100, "na")</f>
        <v>na</v>
      </c>
      <c r="E19" s="87" t="str">
        <f>IFERROR('3m'!E19/'7j'!E31*100, "na")</f>
        <v>na</v>
      </c>
      <c r="F19" s="85" t="str">
        <f>IFERROR('3m'!F19/'7j'!F31*100, "na")</f>
        <v>na</v>
      </c>
      <c r="G19" s="86" t="str">
        <f>IFERROR('3m'!G19/'7j'!G31*100, "na")</f>
        <v>na</v>
      </c>
      <c r="H19" s="86" t="str">
        <f>IFERROR('3m'!H19/'7j'!H31*100, "na")</f>
        <v>na</v>
      </c>
      <c r="I19" s="87" t="str">
        <f>IFERROR('3m'!I19/'7j'!I31*100, "na")</f>
        <v>na</v>
      </c>
      <c r="J19" s="85" t="str">
        <f>IFERROR('3m'!J19/'7j'!J31*100, "na")</f>
        <v>na</v>
      </c>
      <c r="K19" s="86" t="str">
        <f>IFERROR('3m'!K19/'7j'!K31*100, "na")</f>
        <v>na</v>
      </c>
      <c r="L19" s="86" t="str">
        <f>IFERROR('3m'!L19/'7j'!L31*100, "na")</f>
        <v>na</v>
      </c>
      <c r="M19" s="87" t="str">
        <f>IFERROR('3m'!M19/'7j'!M31*100, "na")</f>
        <v>na</v>
      </c>
    </row>
    <row r="20" spans="1:13">
      <c r="A20" s="65">
        <v>2007</v>
      </c>
      <c r="B20" s="85">
        <f>IFERROR('3m'!B20/'7j'!B32*100, "na")</f>
        <v>413.62161541224759</v>
      </c>
      <c r="C20" s="86">
        <f>IFERROR('3m'!C20/'7j'!C32*100, "na")</f>
        <v>304.1000251891179</v>
      </c>
      <c r="D20" s="86">
        <f>IFERROR('3m'!D20/'7j'!D32*100, "na")</f>
        <v>2.3781927434137082</v>
      </c>
      <c r="E20" s="87">
        <f>IFERROR('3m'!E20/'7j'!E32*100, "na")</f>
        <v>23.307915866516467</v>
      </c>
      <c r="F20" s="85" t="str">
        <f>IFERROR('3m'!F20/'7j'!F32*100, "na")</f>
        <v>na</v>
      </c>
      <c r="G20" s="86" t="str">
        <f>IFERROR('3m'!G20/'7j'!G32*100, "na")</f>
        <v>na</v>
      </c>
      <c r="H20" s="86" t="str">
        <f>IFERROR('3m'!H20/'7j'!H32*100, "na")</f>
        <v>na</v>
      </c>
      <c r="I20" s="87" t="str">
        <f>IFERROR('3m'!I20/'7j'!I32*100, "na")</f>
        <v>na</v>
      </c>
      <c r="J20" s="85">
        <f>IFERROR('3m'!J20/'7j'!J32*100, "na")</f>
        <v>81.077066166396335</v>
      </c>
      <c r="K20" s="86">
        <f>IFERROR('3m'!K20/'7j'!K32*100, "na")</f>
        <v>51.652017855495878</v>
      </c>
      <c r="L20" s="86">
        <f>IFERROR('3m'!L20/'7j'!L32*100, "na")</f>
        <v>23.801410201818577</v>
      </c>
      <c r="M20" s="87">
        <f>IFERROR('3m'!M20/'7j'!M32*100, "na")</f>
        <v>42.899788098177197</v>
      </c>
    </row>
    <row r="21" spans="1:13">
      <c r="A21" s="65">
        <v>2008</v>
      </c>
      <c r="B21" s="85" t="str">
        <f>IFERROR('3m'!B21/'7j'!B33*100, "na")</f>
        <v>na</v>
      </c>
      <c r="C21" s="86" t="str">
        <f>IFERROR('3m'!C21/'7j'!C33*100, "na")</f>
        <v>na</v>
      </c>
      <c r="D21" s="86" t="str">
        <f>IFERROR('3m'!D21/'7j'!D33*100, "na")</f>
        <v>na</v>
      </c>
      <c r="E21" s="87" t="str">
        <f>IFERROR('3m'!E21/'7j'!E33*100, "na")</f>
        <v>na</v>
      </c>
      <c r="F21" s="85" t="str">
        <f>IFERROR('3m'!F21/'7j'!F33*100, "na")</f>
        <v>na</v>
      </c>
      <c r="G21" s="86" t="str">
        <f>IFERROR('3m'!G21/'7j'!G33*100, "na")</f>
        <v>na</v>
      </c>
      <c r="H21" s="86" t="str">
        <f>IFERROR('3m'!H21/'7j'!H33*100, "na")</f>
        <v>na</v>
      </c>
      <c r="I21" s="87" t="str">
        <f>IFERROR('3m'!I21/'7j'!I33*100, "na")</f>
        <v>na</v>
      </c>
      <c r="J21" s="85">
        <f>IFERROR('3m'!J21/'7j'!J33*100, "na")</f>
        <v>80.111397160051069</v>
      </c>
      <c r="K21" s="86">
        <f>IFERROR('3m'!K21/'7j'!K33*100, "na")</f>
        <v>51.398085735582541</v>
      </c>
      <c r="L21" s="86">
        <f>IFERROR('3m'!L21/'7j'!L33*100, "na")</f>
        <v>23.203760857682944</v>
      </c>
      <c r="M21" s="87">
        <f>IFERROR('3m'!M21/'7j'!M33*100, "na")</f>
        <v>42.547542573706401</v>
      </c>
    </row>
    <row r="22" spans="1:13">
      <c r="A22" s="20">
        <f>A21+1</f>
        <v>2009</v>
      </c>
      <c r="B22" s="85" t="str">
        <f>IFERROR('3m'!B22/'7j'!B34*100, "na")</f>
        <v>na</v>
      </c>
      <c r="C22" s="86" t="str">
        <f>IFERROR('3m'!C22/'7j'!C34*100, "na")</f>
        <v>na</v>
      </c>
      <c r="D22" s="86" t="str">
        <f>IFERROR('3m'!D22/'7j'!D34*100, "na")</f>
        <v>na</v>
      </c>
      <c r="E22" s="87" t="str">
        <f>IFERROR('3m'!E22/'7j'!E34*100, "na")</f>
        <v>na</v>
      </c>
      <c r="F22" s="85" t="str">
        <f>IFERROR('3m'!F22/'7j'!F34*100, "na")</f>
        <v>na</v>
      </c>
      <c r="G22" s="86" t="str">
        <f>IFERROR('3m'!G22/'7j'!G34*100, "na")</f>
        <v>na</v>
      </c>
      <c r="H22" s="86" t="str">
        <f>IFERROR('3m'!H22/'7j'!H34*100, "na")</f>
        <v>na</v>
      </c>
      <c r="I22" s="87" t="str">
        <f>IFERROR('3m'!I22/'7j'!I34*100, "na")</f>
        <v>na</v>
      </c>
      <c r="J22" s="85">
        <f>IFERROR('3m'!J22/'7j'!J34*100, "na")</f>
        <v>77.015911546553411</v>
      </c>
      <c r="K22" s="86">
        <f>IFERROR('3m'!K22/'7j'!K34*100, "na")</f>
        <v>49.154922838540585</v>
      </c>
      <c r="L22" s="86">
        <f>IFERROR('3m'!L22/'7j'!L34*100, "na")</f>
        <v>23.146452230482716</v>
      </c>
      <c r="M22" s="87">
        <f>IFERROR('3m'!M22/'7j'!M34*100, "na")</f>
        <v>41.340525263353562</v>
      </c>
    </row>
    <row r="23" spans="1:13">
      <c r="A23" s="21">
        <f t="shared" ref="A23" si="0">A22+1</f>
        <v>2010</v>
      </c>
      <c r="B23" s="88" t="str">
        <f>IFERROR('3m'!B23/'7j'!B35*100, "na")</f>
        <v>na</v>
      </c>
      <c r="C23" s="89" t="str">
        <f>IFERROR('3m'!C23/'7j'!C35*100, "na")</f>
        <v>na</v>
      </c>
      <c r="D23" s="89" t="str">
        <f>IFERROR('3m'!D23/'7j'!D35*100, "na")</f>
        <v>na</v>
      </c>
      <c r="E23" s="90" t="str">
        <f>IFERROR('3m'!E23/'7j'!E35*100, "na")</f>
        <v>na</v>
      </c>
      <c r="F23" s="88" t="str">
        <f>IFERROR('3m'!F23/'7j'!F35*100, "na")</f>
        <v>na</v>
      </c>
      <c r="G23" s="89" t="str">
        <f>IFERROR('3m'!G23/'7j'!G35*100, "na")</f>
        <v>na</v>
      </c>
      <c r="H23" s="89" t="str">
        <f>IFERROR('3m'!H23/'7j'!H35*100, "na")</f>
        <v>na</v>
      </c>
      <c r="I23" s="90" t="str">
        <f>IFERROR('3m'!I23/'7j'!I35*100, "na")</f>
        <v>na</v>
      </c>
      <c r="J23" s="88">
        <f>IFERROR('3m'!J23/'7j'!J35*100, "na")</f>
        <v>68.66003619179736</v>
      </c>
      <c r="K23" s="89">
        <f>IFERROR('3m'!K23/'7j'!K35*100, "na")</f>
        <v>50.645440679673612</v>
      </c>
      <c r="L23" s="89">
        <f>IFERROR('3m'!L23/'7j'!L35*100, "na")</f>
        <v>24.612915498826009</v>
      </c>
      <c r="M23" s="90">
        <f>IFERROR('3m'!M23/'7j'!M35*100, "na")</f>
        <v>42.421799761694849</v>
      </c>
    </row>
    <row r="25" spans="1:13">
      <c r="A25" s="1" t="s">
        <v>174</v>
      </c>
    </row>
  </sheetData>
  <mergeCells count="3">
    <mergeCell ref="F3:I3"/>
    <mergeCell ref="J3:M3"/>
    <mergeCell ref="B3:E3"/>
  </mergeCells>
  <pageMargins left="0.7" right="0.7" top="0.75" bottom="0.75" header="0.3" footer="0.3"/>
  <pageSetup scale="61" orientation="landscape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100"/>
  <dimension ref="A1:M25"/>
  <sheetViews>
    <sheetView zoomScaleNormal="100" workbookViewId="0">
      <selection activeCell="B15" sqref="B15"/>
    </sheetView>
  </sheetViews>
  <sheetFormatPr defaultRowHeight="15"/>
  <cols>
    <col min="1" max="1" width="9.140625" style="1"/>
    <col min="2" max="2" width="10.42578125" style="1" customWidth="1"/>
    <col min="3" max="3" width="9.140625" style="1"/>
    <col min="4" max="4" width="17.7109375" style="1" customWidth="1"/>
    <col min="5" max="5" width="12" style="1" customWidth="1"/>
    <col min="6" max="6" width="12.7109375" style="1" customWidth="1"/>
    <col min="7" max="7" width="9.140625" style="1"/>
    <col min="8" max="8" width="18.85546875" style="1" customWidth="1"/>
    <col min="9" max="9" width="16" style="1" customWidth="1"/>
    <col min="10" max="10" width="10.5703125" style="1" customWidth="1"/>
    <col min="11" max="11" width="9.140625" style="1"/>
    <col min="12" max="12" width="17.7109375" style="1" customWidth="1"/>
    <col min="13" max="13" width="12.42578125" style="1" customWidth="1"/>
    <col min="14" max="16384" width="9.140625" style="1"/>
  </cols>
  <sheetData>
    <row r="1" spans="1:13">
      <c r="A1" s="2" t="s">
        <v>207</v>
      </c>
    </row>
    <row r="3" spans="1:13"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30">
      <c r="B4" s="273" t="s">
        <v>0</v>
      </c>
      <c r="C4" s="274" t="s">
        <v>1</v>
      </c>
      <c r="D4" s="274" t="s">
        <v>2</v>
      </c>
      <c r="E4" s="275" t="s">
        <v>72</v>
      </c>
      <c r="F4" s="273" t="s">
        <v>0</v>
      </c>
      <c r="G4" s="274" t="s">
        <v>1</v>
      </c>
      <c r="H4" s="274" t="s">
        <v>2</v>
      </c>
      <c r="I4" s="275" t="s">
        <v>72</v>
      </c>
      <c r="J4" s="273" t="s">
        <v>0</v>
      </c>
      <c r="K4" s="274" t="s">
        <v>1</v>
      </c>
      <c r="L4" s="274" t="s">
        <v>2</v>
      </c>
      <c r="M4" s="275" t="s">
        <v>72</v>
      </c>
    </row>
    <row r="5" spans="1:13">
      <c r="A5" s="64">
        <v>1992</v>
      </c>
      <c r="B5" s="82" t="str">
        <f>IFERROR('4i'!B5/'8f'!B17*100, "na")</f>
        <v>na</v>
      </c>
      <c r="C5" s="83" t="str">
        <f>IFERROR('4i'!C5/'8f'!C17*100, "na")</f>
        <v>na</v>
      </c>
      <c r="D5" s="83" t="str">
        <f>IFERROR('4i'!D5/'8f'!D17*100, "na")</f>
        <v>na</v>
      </c>
      <c r="E5" s="84" t="str">
        <f>IFERROR('4i'!E5/'8f'!E17*100, "na")</f>
        <v>na</v>
      </c>
      <c r="F5" s="82" t="str">
        <f>IFERROR('4i'!F5/'8f'!F17*100, "na")</f>
        <v>na</v>
      </c>
      <c r="G5" s="83" t="str">
        <f>IFERROR('4i'!G5/'8f'!G17*100, "na")</f>
        <v>na</v>
      </c>
      <c r="H5" s="83" t="str">
        <f>IFERROR('4i'!H5/'8f'!H17*100, "na")</f>
        <v>na</v>
      </c>
      <c r="I5" s="84" t="str">
        <f>IFERROR('4i'!I5/'8f'!I17*100, "na")</f>
        <v>na</v>
      </c>
      <c r="J5" s="82" t="str">
        <f>IFERROR('4i'!J5/'8f'!J17*100, "na")</f>
        <v>na</v>
      </c>
      <c r="K5" s="83" t="str">
        <f>IFERROR('4i'!K5/'8f'!K17*100, "na")</f>
        <v>na</v>
      </c>
      <c r="L5" s="83" t="str">
        <f>IFERROR('4i'!L5/'8f'!L17*100, "na")</f>
        <v>na</v>
      </c>
      <c r="M5" s="84" t="str">
        <f>IFERROR('4i'!M5/'8f'!M17*100, "na")</f>
        <v>na</v>
      </c>
    </row>
    <row r="6" spans="1:13">
      <c r="A6" s="65">
        <v>1993</v>
      </c>
      <c r="B6" s="85" t="str">
        <f>IFERROR('4i'!B6/'8f'!B18*100, "na")</f>
        <v>na</v>
      </c>
      <c r="C6" s="86" t="str">
        <f>IFERROR('4i'!C6/'8f'!C18*100, "na")</f>
        <v>na</v>
      </c>
      <c r="D6" s="86" t="str">
        <f>IFERROR('4i'!D6/'8f'!D18*100, "na")</f>
        <v>na</v>
      </c>
      <c r="E6" s="87" t="str">
        <f>IFERROR('4i'!E6/'8f'!E18*100, "na")</f>
        <v>na</v>
      </c>
      <c r="F6" s="85" t="str">
        <f>IFERROR('4i'!F6/'8f'!F18*100, "na")</f>
        <v>na</v>
      </c>
      <c r="G6" s="86" t="str">
        <f>IFERROR('4i'!G6/'8f'!G18*100, "na")</f>
        <v>na</v>
      </c>
      <c r="H6" s="86" t="str">
        <f>IFERROR('4i'!H6/'8f'!H18*100, "na")</f>
        <v>na</v>
      </c>
      <c r="I6" s="87" t="str">
        <f>IFERROR('4i'!I6/'8f'!I18*100, "na")</f>
        <v>na</v>
      </c>
      <c r="J6" s="85" t="str">
        <f>IFERROR('4i'!J6/'8f'!J18*100, "na")</f>
        <v>na</v>
      </c>
      <c r="K6" s="86" t="str">
        <f>IFERROR('4i'!K6/'8f'!K18*100, "na")</f>
        <v>na</v>
      </c>
      <c r="L6" s="86" t="str">
        <f>IFERROR('4i'!L6/'8f'!L18*100, "na")</f>
        <v>na</v>
      </c>
      <c r="M6" s="87" t="str">
        <f>IFERROR('4i'!M6/'8f'!M18*100, "na")</f>
        <v>na</v>
      </c>
    </row>
    <row r="7" spans="1:13">
      <c r="A7" s="65">
        <v>1994</v>
      </c>
      <c r="B7" s="85" t="str">
        <f>IFERROR('4i'!B7/'8f'!B19*100, "na")</f>
        <v>na</v>
      </c>
      <c r="C7" s="86" t="str">
        <f>IFERROR('4i'!C7/'8f'!C19*100, "na")</f>
        <v>na</v>
      </c>
      <c r="D7" s="86" t="str">
        <f>IFERROR('4i'!D7/'8f'!D19*100, "na")</f>
        <v>na</v>
      </c>
      <c r="E7" s="87" t="str">
        <f>IFERROR('4i'!E7/'8f'!E19*100, "na")</f>
        <v>na</v>
      </c>
      <c r="F7" s="85" t="str">
        <f>IFERROR('4i'!F7/'8f'!F19*100, "na")</f>
        <v>na</v>
      </c>
      <c r="G7" s="86" t="str">
        <f>IFERROR('4i'!G7/'8f'!G19*100, "na")</f>
        <v>na</v>
      </c>
      <c r="H7" s="86" t="str">
        <f>IFERROR('4i'!H7/'8f'!H19*100, "na")</f>
        <v>na</v>
      </c>
      <c r="I7" s="87" t="str">
        <f>IFERROR('4i'!I7/'8f'!I19*100, "na")</f>
        <v>na</v>
      </c>
      <c r="J7" s="85" t="str">
        <f>IFERROR('4i'!J7/'8f'!J19*100, "na")</f>
        <v>na</v>
      </c>
      <c r="K7" s="86" t="str">
        <f>IFERROR('4i'!K7/'8f'!K19*100, "na")</f>
        <v>na</v>
      </c>
      <c r="L7" s="86" t="str">
        <f>IFERROR('4i'!L7/'8f'!L19*100, "na")</f>
        <v>na</v>
      </c>
      <c r="M7" s="87" t="str">
        <f>IFERROR('4i'!M7/'8f'!M19*100, "na")</f>
        <v>na</v>
      </c>
    </row>
    <row r="8" spans="1:13">
      <c r="A8" s="65">
        <v>1995</v>
      </c>
      <c r="B8" s="85" t="str">
        <f>IFERROR('4i'!B8/'8f'!B20*100, "na")</f>
        <v>na</v>
      </c>
      <c r="C8" s="86" t="str">
        <f>IFERROR('4i'!C8/'8f'!C20*100, "na")</f>
        <v>na</v>
      </c>
      <c r="D8" s="86" t="str">
        <f>IFERROR('4i'!D8/'8f'!D20*100, "na")</f>
        <v>na</v>
      </c>
      <c r="E8" s="87" t="str">
        <f>IFERROR('4i'!E8/'8f'!E20*100, "na")</f>
        <v>na</v>
      </c>
      <c r="F8" s="85" t="str">
        <f>IFERROR('4i'!F8/'8f'!F20*100, "na")</f>
        <v>na</v>
      </c>
      <c r="G8" s="86" t="str">
        <f>IFERROR('4i'!G8/'8f'!G20*100, "na")</f>
        <v>na</v>
      </c>
      <c r="H8" s="86" t="str">
        <f>IFERROR('4i'!H8/'8f'!H20*100, "na")</f>
        <v>na</v>
      </c>
      <c r="I8" s="87" t="str">
        <f>IFERROR('4i'!I8/'8f'!I20*100, "na")</f>
        <v>na</v>
      </c>
      <c r="J8" s="85" t="str">
        <f>IFERROR('4i'!J8/'8f'!J20*100, "na")</f>
        <v>na</v>
      </c>
      <c r="K8" s="86" t="str">
        <f>IFERROR('4i'!K8/'8f'!K20*100, "na")</f>
        <v>na</v>
      </c>
      <c r="L8" s="86" t="str">
        <f>IFERROR('4i'!L8/'8f'!L20*100, "na")</f>
        <v>na</v>
      </c>
      <c r="M8" s="87" t="str">
        <f>IFERROR('4i'!M8/'8f'!M20*100, "na")</f>
        <v>na</v>
      </c>
    </row>
    <row r="9" spans="1:13">
      <c r="A9" s="65">
        <v>1996</v>
      </c>
      <c r="B9" s="85" t="str">
        <f>IFERROR('4i'!B9/'8f'!B21*100, "na")</f>
        <v>na</v>
      </c>
      <c r="C9" s="86" t="str">
        <f>IFERROR('4i'!C9/'8f'!C21*100, "na")</f>
        <v>na</v>
      </c>
      <c r="D9" s="86" t="str">
        <f>IFERROR('4i'!D9/'8f'!D21*100, "na")</f>
        <v>na</v>
      </c>
      <c r="E9" s="87" t="str">
        <f>IFERROR('4i'!E9/'8f'!E21*100, "na")</f>
        <v>na</v>
      </c>
      <c r="F9" s="85" t="str">
        <f>IFERROR('4i'!F9/'8f'!F21*100, "na")</f>
        <v>na</v>
      </c>
      <c r="G9" s="86" t="str">
        <f>IFERROR('4i'!G9/'8f'!G21*100, "na")</f>
        <v>na</v>
      </c>
      <c r="H9" s="86" t="str">
        <f>IFERROR('4i'!H9/'8f'!H21*100, "na")</f>
        <v>na</v>
      </c>
      <c r="I9" s="87" t="str">
        <f>IFERROR('4i'!I9/'8f'!I21*100, "na")</f>
        <v>na</v>
      </c>
      <c r="J9" s="85" t="str">
        <f>IFERROR('4i'!J9/'8f'!J21*100, "na")</f>
        <v>na</v>
      </c>
      <c r="K9" s="86" t="str">
        <f>IFERROR('4i'!K9/'8f'!K21*100, "na")</f>
        <v>na</v>
      </c>
      <c r="L9" s="86" t="str">
        <f>IFERROR('4i'!L9/'8f'!L21*100, "na")</f>
        <v>na</v>
      </c>
      <c r="M9" s="87" t="str">
        <f>IFERROR('4i'!M9/'8f'!M21*100, "na")</f>
        <v>na</v>
      </c>
    </row>
    <row r="10" spans="1:13">
      <c r="A10" s="65">
        <v>1997</v>
      </c>
      <c r="B10" s="85" t="str">
        <f>IFERROR('4i'!B10/'8f'!B22*100, "na")</f>
        <v>na</v>
      </c>
      <c r="C10" s="86" t="str">
        <f>IFERROR('4i'!C10/'8f'!C22*100, "na")</f>
        <v>na</v>
      </c>
      <c r="D10" s="86" t="str">
        <f>IFERROR('4i'!D10/'8f'!D22*100, "na")</f>
        <v>na</v>
      </c>
      <c r="E10" s="87" t="str">
        <f>IFERROR('4i'!E10/'8f'!E22*100, "na")</f>
        <v>na</v>
      </c>
      <c r="F10" s="85" t="str">
        <f>IFERROR('4i'!F10/'8f'!F22*100, "na")</f>
        <v>na</v>
      </c>
      <c r="G10" s="86" t="str">
        <f>IFERROR('4i'!G10/'8f'!G22*100, "na")</f>
        <v>na</v>
      </c>
      <c r="H10" s="86" t="str">
        <f>IFERROR('4i'!H10/'8f'!H22*100, "na")</f>
        <v>na</v>
      </c>
      <c r="I10" s="87" t="str">
        <f>IFERROR('4i'!I10/'8f'!I22*100, "na")</f>
        <v>na</v>
      </c>
      <c r="J10" s="85" t="str">
        <f>IFERROR('4i'!J10/'8f'!J22*100, "na")</f>
        <v>na</v>
      </c>
      <c r="K10" s="86" t="str">
        <f>IFERROR('4i'!K10/'8f'!K22*100, "na")</f>
        <v>na</v>
      </c>
      <c r="L10" s="86" t="str">
        <f>IFERROR('4i'!L10/'8f'!L22*100, "na")</f>
        <v>na</v>
      </c>
      <c r="M10" s="87" t="str">
        <f>IFERROR('4i'!M10/'8f'!M22*100, "na")</f>
        <v>na</v>
      </c>
    </row>
    <row r="11" spans="1:13">
      <c r="A11" s="65">
        <v>1998</v>
      </c>
      <c r="B11" s="85" t="str">
        <f>IFERROR('4i'!B11/'8f'!B23*100, "na")</f>
        <v>na</v>
      </c>
      <c r="C11" s="86" t="str">
        <f>IFERROR('4i'!C11/'8f'!C23*100, "na")</f>
        <v>na</v>
      </c>
      <c r="D11" s="86" t="str">
        <f>IFERROR('4i'!D11/'8f'!D23*100, "na")</f>
        <v>na</v>
      </c>
      <c r="E11" s="87" t="str">
        <f>IFERROR('4i'!E11/'8f'!E23*100, "na")</f>
        <v>na</v>
      </c>
      <c r="F11" s="85" t="str">
        <f>IFERROR('4i'!F11/'8f'!F23*100, "na")</f>
        <v>na</v>
      </c>
      <c r="G11" s="86" t="str">
        <f>IFERROR('4i'!G11/'8f'!G23*100, "na")</f>
        <v>na</v>
      </c>
      <c r="H11" s="86" t="str">
        <f>IFERROR('4i'!H11/'8f'!H23*100, "na")</f>
        <v>na</v>
      </c>
      <c r="I11" s="87" t="str">
        <f>IFERROR('4i'!I11/'8f'!I23*100, "na")</f>
        <v>na</v>
      </c>
      <c r="J11" s="85" t="str">
        <f>IFERROR('4i'!J11/'8f'!J23*100, "na")</f>
        <v>na</v>
      </c>
      <c r="K11" s="86" t="str">
        <f>IFERROR('4i'!K11/'8f'!K23*100, "na")</f>
        <v>na</v>
      </c>
      <c r="L11" s="86" t="str">
        <f>IFERROR('4i'!L11/'8f'!L23*100, "na")</f>
        <v>na</v>
      </c>
      <c r="M11" s="87" t="str">
        <f>IFERROR('4i'!M11/'8f'!M23*100, "na")</f>
        <v>na</v>
      </c>
    </row>
    <row r="12" spans="1:13">
      <c r="A12" s="65">
        <v>1999</v>
      </c>
      <c r="B12" s="85" t="str">
        <f>IFERROR('4i'!B12/'8f'!B24*100, "na")</f>
        <v>na</v>
      </c>
      <c r="C12" s="86" t="str">
        <f>IFERROR('4i'!C12/'8f'!C24*100, "na")</f>
        <v>na</v>
      </c>
      <c r="D12" s="86" t="str">
        <f>IFERROR('4i'!D12/'8f'!D24*100, "na")</f>
        <v>na</v>
      </c>
      <c r="E12" s="87" t="str">
        <f>IFERROR('4i'!E12/'8f'!E24*100, "na")</f>
        <v>na</v>
      </c>
      <c r="F12" s="85" t="str">
        <f>IFERROR('4i'!F12/'8f'!F24*100, "na")</f>
        <v>na</v>
      </c>
      <c r="G12" s="86" t="str">
        <f>IFERROR('4i'!G12/'8f'!G24*100, "na")</f>
        <v>na</v>
      </c>
      <c r="H12" s="86" t="str">
        <f>IFERROR('4i'!H12/'8f'!H24*100, "na")</f>
        <v>na</v>
      </c>
      <c r="I12" s="87" t="str">
        <f>IFERROR('4i'!I12/'8f'!I24*100, "na")</f>
        <v>na</v>
      </c>
      <c r="J12" s="85" t="str">
        <f>IFERROR('4i'!J12/'8f'!J24*100, "na")</f>
        <v>na</v>
      </c>
      <c r="K12" s="86" t="str">
        <f>IFERROR('4i'!K12/'8f'!K24*100, "na")</f>
        <v>na</v>
      </c>
      <c r="L12" s="86" t="str">
        <f>IFERROR('4i'!L12/'8f'!L24*100, "na")</f>
        <v>na</v>
      </c>
      <c r="M12" s="87" t="str">
        <f>IFERROR('4i'!M12/'8f'!M24*100, "na")</f>
        <v>na</v>
      </c>
    </row>
    <row r="13" spans="1:13">
      <c r="A13" s="65">
        <v>2000</v>
      </c>
      <c r="B13" s="85" t="str">
        <f>IFERROR('4i'!B13/'8f'!B25*100, "na")</f>
        <v>na</v>
      </c>
      <c r="C13" s="86" t="str">
        <f>IFERROR('4i'!C13/'8f'!C25*100, "na")</f>
        <v>na</v>
      </c>
      <c r="D13" s="86" t="str">
        <f>IFERROR('4i'!D13/'8f'!D25*100, "na")</f>
        <v>na</v>
      </c>
      <c r="E13" s="87" t="str">
        <f>IFERROR('4i'!E13/'8f'!E25*100, "na")</f>
        <v>na</v>
      </c>
      <c r="F13" s="85" t="str">
        <f>IFERROR('4i'!F13/'8f'!F25*100, "na")</f>
        <v>na</v>
      </c>
      <c r="G13" s="86" t="str">
        <f>IFERROR('4i'!G13/'8f'!G25*100, "na")</f>
        <v>na</v>
      </c>
      <c r="H13" s="86" t="str">
        <f>IFERROR('4i'!H13/'8f'!H25*100, "na")</f>
        <v>na</v>
      </c>
      <c r="I13" s="87" t="str">
        <f>IFERROR('4i'!I13/'8f'!I25*100, "na")</f>
        <v>na</v>
      </c>
      <c r="J13" s="85" t="str">
        <f>IFERROR('4i'!J13/'8f'!J25*100, "na")</f>
        <v>na</v>
      </c>
      <c r="K13" s="86" t="str">
        <f>IFERROR('4i'!K13/'8f'!K25*100, "na")</f>
        <v>na</v>
      </c>
      <c r="L13" s="86" t="str">
        <f>IFERROR('4i'!L13/'8f'!L25*100, "na")</f>
        <v>na</v>
      </c>
      <c r="M13" s="87" t="str">
        <f>IFERROR('4i'!M13/'8f'!M25*100, "na")</f>
        <v>na</v>
      </c>
    </row>
    <row r="14" spans="1:13">
      <c r="A14" s="65">
        <v>2001</v>
      </c>
      <c r="B14" s="85" t="str">
        <f>IFERROR('4i'!B14/'8f'!B26*100, "na")</f>
        <v>na</v>
      </c>
      <c r="C14" s="86" t="str">
        <f>IFERROR('4i'!C14/'8f'!C26*100, "na")</f>
        <v>na</v>
      </c>
      <c r="D14" s="86" t="str">
        <f>IFERROR('4i'!D14/'8f'!D26*100, "na")</f>
        <v>na</v>
      </c>
      <c r="E14" s="87" t="str">
        <f>IFERROR('4i'!E14/'8f'!E26*100, "na")</f>
        <v>na</v>
      </c>
      <c r="F14" s="85" t="str">
        <f>IFERROR('4i'!F14/'8f'!F26*100, "na")</f>
        <v>na</v>
      </c>
      <c r="G14" s="86" t="str">
        <f>IFERROR('4i'!G14/'8f'!G26*100, "na")</f>
        <v>na</v>
      </c>
      <c r="H14" s="86" t="str">
        <f>IFERROR('4i'!H14/'8f'!H26*100, "na")</f>
        <v>na</v>
      </c>
      <c r="I14" s="87" t="str">
        <f>IFERROR('4i'!I14/'8f'!I26*100, "na")</f>
        <v>na</v>
      </c>
      <c r="J14" s="85" t="str">
        <f>IFERROR('4i'!J14/'8f'!J26*100, "na")</f>
        <v>na</v>
      </c>
      <c r="K14" s="86" t="str">
        <f>IFERROR('4i'!K14/'8f'!K26*100, "na")</f>
        <v>na</v>
      </c>
      <c r="L14" s="86" t="str">
        <f>IFERROR('4i'!L14/'8f'!L26*100, "na")</f>
        <v>na</v>
      </c>
      <c r="M14" s="87" t="str">
        <f>IFERROR('4i'!M14/'8f'!M26*100, "na")</f>
        <v>na</v>
      </c>
    </row>
    <row r="15" spans="1:13">
      <c r="A15" s="65">
        <v>2002</v>
      </c>
      <c r="B15" s="85" t="str">
        <f>IFERROR('4i'!B15/'8f'!B27*100, "na")</f>
        <v>na</v>
      </c>
      <c r="C15" s="86" t="str">
        <f>IFERROR('4i'!C15/'8f'!C27*100, "na")</f>
        <v>na</v>
      </c>
      <c r="D15" s="86" t="str">
        <f>IFERROR('4i'!D15/'8f'!D27*100, "na")</f>
        <v>na</v>
      </c>
      <c r="E15" s="87" t="str">
        <f>IFERROR('4i'!E15/'8f'!E27*100, "na")</f>
        <v>na</v>
      </c>
      <c r="F15" s="85" t="str">
        <f>IFERROR('4i'!F15/'8f'!F27*100, "na")</f>
        <v>na</v>
      </c>
      <c r="G15" s="86" t="str">
        <f>IFERROR('4i'!G15/'8f'!G27*100, "na")</f>
        <v>na</v>
      </c>
      <c r="H15" s="86" t="str">
        <f>IFERROR('4i'!H15/'8f'!H27*100, "na")</f>
        <v>na</v>
      </c>
      <c r="I15" s="87" t="str">
        <f>IFERROR('4i'!I15/'8f'!I27*100, "na")</f>
        <v>na</v>
      </c>
      <c r="J15" s="85" t="str">
        <f>IFERROR('4i'!J15/'8f'!J27*100, "na")</f>
        <v>na</v>
      </c>
      <c r="K15" s="86" t="str">
        <f>IFERROR('4i'!K15/'8f'!K27*100, "na")</f>
        <v>na</v>
      </c>
      <c r="L15" s="86" t="str">
        <f>IFERROR('4i'!L15/'8f'!L27*100, "na")</f>
        <v>na</v>
      </c>
      <c r="M15" s="87" t="str">
        <f>IFERROR('4i'!M15/'8f'!M27*100, "na")</f>
        <v>na</v>
      </c>
    </row>
    <row r="16" spans="1:13">
      <c r="A16" s="65">
        <v>2003</v>
      </c>
      <c r="B16" s="85" t="str">
        <f>IFERROR('4i'!B16/'8f'!B28*100, "na")</f>
        <v>na</v>
      </c>
      <c r="C16" s="86" t="str">
        <f>IFERROR('4i'!C16/'8f'!C28*100, "na")</f>
        <v>na</v>
      </c>
      <c r="D16" s="86" t="str">
        <f>IFERROR('4i'!D16/'8f'!D28*100, "na")</f>
        <v>na</v>
      </c>
      <c r="E16" s="87" t="str">
        <f>IFERROR('4i'!E16/'8f'!E28*100, "na")</f>
        <v>na</v>
      </c>
      <c r="F16" s="85" t="str">
        <f>IFERROR('4i'!F16/'8f'!F28*100, "na")</f>
        <v>na</v>
      </c>
      <c r="G16" s="86" t="str">
        <f>IFERROR('4i'!G16/'8f'!G28*100, "na")</f>
        <v>na</v>
      </c>
      <c r="H16" s="86" t="str">
        <f>IFERROR('4i'!H16/'8f'!H28*100, "na")</f>
        <v>na</v>
      </c>
      <c r="I16" s="87" t="str">
        <f>IFERROR('4i'!I16/'8f'!I28*100, "na")</f>
        <v>na</v>
      </c>
      <c r="J16" s="85" t="str">
        <f>IFERROR('4i'!J16/'8f'!J28*100, "na")</f>
        <v>na</v>
      </c>
      <c r="K16" s="86" t="str">
        <f>IFERROR('4i'!K16/'8f'!K28*100, "na")</f>
        <v>na</v>
      </c>
      <c r="L16" s="86" t="str">
        <f>IFERROR('4i'!L16/'8f'!L28*100, "na")</f>
        <v>na</v>
      </c>
      <c r="M16" s="87" t="str">
        <f>IFERROR('4i'!M16/'8f'!M28*100, "na")</f>
        <v>na</v>
      </c>
    </row>
    <row r="17" spans="1:13">
      <c r="A17" s="65">
        <v>2004</v>
      </c>
      <c r="B17" s="85" t="str">
        <f>IFERROR('4i'!B17/'8f'!B29*100, "na")</f>
        <v>na</v>
      </c>
      <c r="C17" s="86" t="str">
        <f>IFERROR('4i'!C17/'8f'!C29*100, "na")</f>
        <v>na</v>
      </c>
      <c r="D17" s="86" t="str">
        <f>IFERROR('4i'!D17/'8f'!D29*100, "na")</f>
        <v>na</v>
      </c>
      <c r="E17" s="87" t="str">
        <f>IFERROR('4i'!E17/'8f'!E29*100, "na")</f>
        <v>na</v>
      </c>
      <c r="F17" s="85" t="str">
        <f>IFERROR('4i'!F17/'8f'!F29*100, "na")</f>
        <v>na</v>
      </c>
      <c r="G17" s="86" t="str">
        <f>IFERROR('4i'!G17/'8f'!G29*100, "na")</f>
        <v>na</v>
      </c>
      <c r="H17" s="86" t="str">
        <f>IFERROR('4i'!H17/'8f'!H29*100, "na")</f>
        <v>na</v>
      </c>
      <c r="I17" s="87" t="str">
        <f>IFERROR('4i'!I17/'8f'!I29*100, "na")</f>
        <v>na</v>
      </c>
      <c r="J17" s="85" t="str">
        <f>IFERROR('4i'!J17/'8f'!J29*100, "na")</f>
        <v>na</v>
      </c>
      <c r="K17" s="86" t="str">
        <f>IFERROR('4i'!K17/'8f'!K29*100, "na")</f>
        <v>na</v>
      </c>
      <c r="L17" s="86" t="str">
        <f>IFERROR('4i'!L17/'8f'!L29*100, "na")</f>
        <v>na</v>
      </c>
      <c r="M17" s="87" t="str">
        <f>IFERROR('4i'!M17/'8f'!M29*100, "na")</f>
        <v>na</v>
      </c>
    </row>
    <row r="18" spans="1:13">
      <c r="A18" s="65">
        <v>2005</v>
      </c>
      <c r="B18" s="85" t="str">
        <f>IFERROR('4i'!B18/'8f'!B30*100, "na")</f>
        <v>na</v>
      </c>
      <c r="C18" s="86" t="str">
        <f>IFERROR('4i'!C18/'8f'!C30*100, "na")</f>
        <v>na</v>
      </c>
      <c r="D18" s="86" t="str">
        <f>IFERROR('4i'!D18/'8f'!D30*100, "na")</f>
        <v>na</v>
      </c>
      <c r="E18" s="87" t="str">
        <f>IFERROR('4i'!E18/'8f'!E30*100, "na")</f>
        <v>na</v>
      </c>
      <c r="F18" s="85" t="str">
        <f>IFERROR('4i'!F18/'8f'!F30*100, "na")</f>
        <v>na</v>
      </c>
      <c r="G18" s="86" t="str">
        <f>IFERROR('4i'!G18/'8f'!G30*100, "na")</f>
        <v>na</v>
      </c>
      <c r="H18" s="86" t="str">
        <f>IFERROR('4i'!H18/'8f'!H30*100, "na")</f>
        <v>na</v>
      </c>
      <c r="I18" s="87" t="str">
        <f>IFERROR('4i'!I18/'8f'!I30*100, "na")</f>
        <v>na</v>
      </c>
      <c r="J18" s="85" t="str">
        <f>IFERROR('4i'!J18/'8f'!J30*100, "na")</f>
        <v>na</v>
      </c>
      <c r="K18" s="86" t="str">
        <f>IFERROR('4i'!K18/'8f'!K30*100, "na")</f>
        <v>na</v>
      </c>
      <c r="L18" s="86" t="str">
        <f>IFERROR('4i'!L18/'8f'!L30*100, "na")</f>
        <v>na</v>
      </c>
      <c r="M18" s="87" t="str">
        <f>IFERROR('4i'!M18/'8f'!M30*100, "na")</f>
        <v>na</v>
      </c>
    </row>
    <row r="19" spans="1:13">
      <c r="A19" s="65">
        <v>2006</v>
      </c>
      <c r="B19" s="85" t="str">
        <f>IFERROR('4i'!B19/'8f'!B31*100, "na")</f>
        <v>na</v>
      </c>
      <c r="C19" s="86" t="str">
        <f>IFERROR('4i'!C19/'8f'!C31*100, "na")</f>
        <v>na</v>
      </c>
      <c r="D19" s="86" t="str">
        <f>IFERROR('4i'!D19/'8f'!D31*100, "na")</f>
        <v>na</v>
      </c>
      <c r="E19" s="87" t="str">
        <f>IFERROR('4i'!E19/'8f'!E31*100, "na")</f>
        <v>na</v>
      </c>
      <c r="F19" s="85" t="str">
        <f>IFERROR('4i'!F19/'8f'!F31*100, "na")</f>
        <v>na</v>
      </c>
      <c r="G19" s="86" t="str">
        <f>IFERROR('4i'!G19/'8f'!G31*100, "na")</f>
        <v>na</v>
      </c>
      <c r="H19" s="86" t="str">
        <f>IFERROR('4i'!H19/'8f'!H31*100, "na")</f>
        <v>na</v>
      </c>
      <c r="I19" s="87" t="str">
        <f>IFERROR('4i'!I19/'8f'!I31*100, "na")</f>
        <v>na</v>
      </c>
      <c r="J19" s="85" t="str">
        <f>IFERROR('4i'!J19/'8f'!J31*100, "na")</f>
        <v>na</v>
      </c>
      <c r="K19" s="86" t="str">
        <f>IFERROR('4i'!K19/'8f'!K31*100, "na")</f>
        <v>na</v>
      </c>
      <c r="L19" s="86" t="str">
        <f>IFERROR('4i'!L19/'8f'!L31*100, "na")</f>
        <v>na</v>
      </c>
      <c r="M19" s="87" t="str">
        <f>IFERROR('4i'!M19/'8f'!M31*100, "na")</f>
        <v>na</v>
      </c>
    </row>
    <row r="20" spans="1:13">
      <c r="A20" s="65">
        <v>2007</v>
      </c>
      <c r="B20" s="85">
        <f>IFERROR('4i'!B20/'8f'!B32*100, "na")</f>
        <v>434.03003512643011</v>
      </c>
      <c r="C20" s="86">
        <f>IFERROR('4i'!C20/'8f'!C32*100, "na")</f>
        <v>310.65179234216015</v>
      </c>
      <c r="D20" s="86">
        <f>IFERROR('4i'!D20/'8f'!D32*100, "na")</f>
        <v>2.6227040522574638</v>
      </c>
      <c r="E20" s="87">
        <f>IFERROR('4i'!E20/'8f'!E32*100, "na")</f>
        <v>24.698520759717265</v>
      </c>
      <c r="F20" s="85" t="str">
        <f>IFERROR('4i'!F20/'8f'!F32*100, "na")</f>
        <v>na</v>
      </c>
      <c r="G20" s="86" t="str">
        <f>IFERROR('4i'!G20/'8f'!G32*100, "na")</f>
        <v>na</v>
      </c>
      <c r="H20" s="86" t="str">
        <f>IFERROR('4i'!H20/'8f'!H32*100, "na")</f>
        <v>na</v>
      </c>
      <c r="I20" s="87" t="str">
        <f>IFERROR('4i'!I20/'8f'!I32*100, "na")</f>
        <v>na</v>
      </c>
      <c r="J20" s="85">
        <f>IFERROR('4i'!J20/'8f'!J32*100, "na")</f>
        <v>83.541305509014478</v>
      </c>
      <c r="K20" s="86">
        <f>IFERROR('4i'!K20/'8f'!K32*100, "na")</f>
        <v>37.80606478496793</v>
      </c>
      <c r="L20" s="86">
        <f>IFERROR('4i'!L20/'8f'!L32*100, "na")</f>
        <v>24.333085234098249</v>
      </c>
      <c r="M20" s="87">
        <f>IFERROR('4i'!M20/'8f'!M32*100, "na")</f>
        <v>39.786887670615343</v>
      </c>
    </row>
    <row r="21" spans="1:13">
      <c r="A21" s="65">
        <v>2008</v>
      </c>
      <c r="B21" s="85" t="str">
        <f>IFERROR('4i'!B21/'8f'!B33*100, "na")</f>
        <v>na</v>
      </c>
      <c r="C21" s="86" t="str">
        <f>IFERROR('4i'!C21/'8f'!C33*100, "na")</f>
        <v>na</v>
      </c>
      <c r="D21" s="86" t="str">
        <f>IFERROR('4i'!D21/'8f'!D33*100, "na")</f>
        <v>na</v>
      </c>
      <c r="E21" s="87" t="str">
        <f>IFERROR('4i'!E21/'8f'!E33*100, "na")</f>
        <v>na</v>
      </c>
      <c r="F21" s="85" t="str">
        <f>IFERROR('4i'!F21/'8f'!F33*100, "na")</f>
        <v>na</v>
      </c>
      <c r="G21" s="86" t="str">
        <f>IFERROR('4i'!G21/'8f'!G33*100, "na")</f>
        <v>na</v>
      </c>
      <c r="H21" s="86" t="str">
        <f>IFERROR('4i'!H21/'8f'!H33*100, "na")</f>
        <v>na</v>
      </c>
      <c r="I21" s="87" t="str">
        <f>IFERROR('4i'!I21/'8f'!I33*100, "na")</f>
        <v>na</v>
      </c>
      <c r="J21" s="85">
        <f>IFERROR('4i'!J21/'8f'!J33*100, "na")</f>
        <v>82.235402122712131</v>
      </c>
      <c r="K21" s="86">
        <f>IFERROR('4i'!K21/'8f'!K33*100, "na")</f>
        <v>35.606716311082891</v>
      </c>
      <c r="L21" s="86">
        <f>IFERROR('4i'!L21/'8f'!L33*100, "na")</f>
        <v>23.434194441384179</v>
      </c>
      <c r="M21" s="87">
        <f>IFERROR('4i'!M21/'8f'!M33*100, "na")</f>
        <v>38.707457400506726</v>
      </c>
    </row>
    <row r="22" spans="1:13">
      <c r="A22" s="20">
        <f>A21+1</f>
        <v>2009</v>
      </c>
      <c r="B22" s="85" t="str">
        <f>IFERROR('4i'!B22/'8f'!B34*100, "na")</f>
        <v>na</v>
      </c>
      <c r="C22" s="86" t="str">
        <f>IFERROR('4i'!C22/'8f'!C34*100, "na")</f>
        <v>na</v>
      </c>
      <c r="D22" s="86" t="str">
        <f>IFERROR('4i'!D22/'8f'!D34*100, "na")</f>
        <v>na</v>
      </c>
      <c r="E22" s="87" t="str">
        <f>IFERROR('4i'!E22/'8f'!E34*100, "na")</f>
        <v>na</v>
      </c>
      <c r="F22" s="85" t="str">
        <f>IFERROR('4i'!F22/'8f'!F34*100, "na")</f>
        <v>na</v>
      </c>
      <c r="G22" s="86" t="str">
        <f>IFERROR('4i'!G22/'8f'!G34*100, "na")</f>
        <v>na</v>
      </c>
      <c r="H22" s="86" t="str">
        <f>IFERROR('4i'!H22/'8f'!H34*100, "na")</f>
        <v>na</v>
      </c>
      <c r="I22" s="87" t="str">
        <f>IFERROR('4i'!I22/'8f'!I34*100, "na")</f>
        <v>na</v>
      </c>
      <c r="J22" s="85">
        <f>IFERROR('4i'!J22/'8f'!J34*100, "na")</f>
        <v>77.781392300963887</v>
      </c>
      <c r="K22" s="86">
        <f>IFERROR('4i'!K22/'8f'!K34*100, "na")</f>
        <v>33.926337782881546</v>
      </c>
      <c r="L22" s="86">
        <f>IFERROR('4i'!L22/'8f'!L34*100, "na")</f>
        <v>22.972031285568875</v>
      </c>
      <c r="M22" s="87">
        <f>IFERROR('4i'!M22/'8f'!M34*100, "na")</f>
        <v>37.156790546640792</v>
      </c>
    </row>
    <row r="23" spans="1:13">
      <c r="A23" s="21">
        <f t="shared" ref="A23" si="0">A22+1</f>
        <v>2010</v>
      </c>
      <c r="B23" s="88" t="str">
        <f>IFERROR('4i'!B23/'8f'!B35*100, "na")</f>
        <v>na</v>
      </c>
      <c r="C23" s="89" t="str">
        <f>IFERROR('4i'!C23/'8f'!C35*100, "na")</f>
        <v>na</v>
      </c>
      <c r="D23" s="89" t="str">
        <f>IFERROR('4i'!D23/'8f'!D35*100, "na")</f>
        <v>na</v>
      </c>
      <c r="E23" s="90" t="str">
        <f>IFERROR('4i'!E23/'8f'!E35*100, "na")</f>
        <v>na</v>
      </c>
      <c r="F23" s="88" t="str">
        <f>IFERROR('4i'!F23/'8f'!F35*100, "na")</f>
        <v>na</v>
      </c>
      <c r="G23" s="89" t="str">
        <f>IFERROR('4i'!G23/'8f'!G35*100, "na")</f>
        <v>na</v>
      </c>
      <c r="H23" s="89" t="str">
        <f>IFERROR('4i'!H23/'8f'!H35*100, "na")</f>
        <v>na</v>
      </c>
      <c r="I23" s="90" t="str">
        <f>IFERROR('4i'!I23/'8f'!I35*100, "na")</f>
        <v>na</v>
      </c>
      <c r="J23" s="88">
        <f>IFERROR('4i'!J23/'8f'!J35*100, "na")</f>
        <v>66.812257361384908</v>
      </c>
      <c r="K23" s="89">
        <f>IFERROR('4i'!K23/'8f'!K35*100, "na")</f>
        <v>32.689076676715175</v>
      </c>
      <c r="L23" s="89">
        <f>IFERROR('4i'!L23/'8f'!L35*100, "na")</f>
        <v>24.3687977270991</v>
      </c>
      <c r="M23" s="90">
        <f>IFERROR('4i'!M23/'8f'!M35*100, "na")</f>
        <v>36.62937376949079</v>
      </c>
    </row>
    <row r="25" spans="1:13">
      <c r="A25" s="1" t="s">
        <v>175</v>
      </c>
    </row>
  </sheetData>
  <mergeCells count="3">
    <mergeCell ref="F3:I3"/>
    <mergeCell ref="J3:M3"/>
    <mergeCell ref="B3:E3"/>
  </mergeCells>
  <pageMargins left="0.7" right="0.7" top="0.75" bottom="0.75" header="0.3" footer="0.3"/>
  <pageSetup scale="6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M43"/>
  <sheetViews>
    <sheetView zoomScaleNormal="100" workbookViewId="0">
      <selection sqref="A1:H2"/>
    </sheetView>
  </sheetViews>
  <sheetFormatPr defaultRowHeight="15"/>
  <cols>
    <col min="1" max="1" width="12.140625" customWidth="1"/>
    <col min="2" max="2" width="11.5703125" customWidth="1"/>
    <col min="4" max="4" width="17.7109375" customWidth="1"/>
    <col min="6" max="6" width="11.85546875" customWidth="1"/>
    <col min="8" max="8" width="18" customWidth="1"/>
    <col min="10" max="10" width="11.5703125" customWidth="1"/>
    <col min="12" max="12" width="17.85546875" customWidth="1"/>
  </cols>
  <sheetData>
    <row r="1" spans="1:13">
      <c r="A1" s="387" t="s">
        <v>252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IFERROR('1i'!B6/'1i'!J6*100, "na")</f>
        <v>na</v>
      </c>
      <c r="C6" s="83" t="str">
        <f>IFERROR('1i'!C6/'1i'!K6*100, "na")</f>
        <v>na</v>
      </c>
      <c r="D6" s="83" t="str">
        <f>IFERROR('1i'!D6/'1i'!L6*100, "na")</f>
        <v>na</v>
      </c>
      <c r="E6" s="84" t="str">
        <f>IFERROR('1i'!E6/'1i'!M6*100, "na")</f>
        <v>na</v>
      </c>
      <c r="F6" s="82" t="str">
        <f>IFERROR('1i'!F6/'1i'!J6*100, "na")</f>
        <v>na</v>
      </c>
      <c r="G6" s="83" t="str">
        <f>IFERROR('1i'!G6/'1i'!K6*100, "na")</f>
        <v>na</v>
      </c>
      <c r="H6" s="83" t="str">
        <f>IFERROR('1i'!H6/'1i'!L6*100, "na")</f>
        <v>na</v>
      </c>
      <c r="I6" s="84" t="str">
        <f>IFERROR('1i'!I6/'1i'!M6*100, "na")</f>
        <v>na</v>
      </c>
      <c r="J6" s="82" t="str">
        <f>IFERROR('1i'!J6/'1i'!J6*100,"na")</f>
        <v>na</v>
      </c>
      <c r="K6" s="83" t="str">
        <f>IFERROR('1i'!K6/'1i'!K6*100,"na")</f>
        <v>na</v>
      </c>
      <c r="L6" s="83" t="str">
        <f>IFERROR('1i'!L6/'1i'!L6*100,"na")</f>
        <v>na</v>
      </c>
      <c r="M6" s="84" t="str">
        <f>IFERROR('1i'!M6/'1i'!M6*100,"na")</f>
        <v>na</v>
      </c>
    </row>
    <row r="7" spans="1:13">
      <c r="A7" s="185">
        <v>1982</v>
      </c>
      <c r="B7" s="85" t="str">
        <f>IFERROR('1i'!B7/'1i'!J7*100, "na")</f>
        <v>na</v>
      </c>
      <c r="C7" s="86" t="str">
        <f>IFERROR('1i'!C7/'1i'!K7*100, "na")</f>
        <v>na</v>
      </c>
      <c r="D7" s="86" t="str">
        <f>IFERROR('1i'!D7/'1i'!L7*100, "na")</f>
        <v>na</v>
      </c>
      <c r="E7" s="87" t="str">
        <f>IFERROR('1i'!E7/'1i'!M7*100, "na")</f>
        <v>na</v>
      </c>
      <c r="F7" s="85" t="str">
        <f>IFERROR('1i'!F7/'1i'!J7*100, "na")</f>
        <v>na</v>
      </c>
      <c r="G7" s="86" t="str">
        <f>IFERROR('1i'!G7/'1i'!K7*100, "na")</f>
        <v>na</v>
      </c>
      <c r="H7" s="86" t="str">
        <f>IFERROR('1i'!H7/'1i'!L7*100, "na")</f>
        <v>na</v>
      </c>
      <c r="I7" s="87" t="str">
        <f>IFERROR('1i'!I7/'1i'!M7*100, "na")</f>
        <v>na</v>
      </c>
      <c r="J7" s="85" t="str">
        <f>IFERROR('1i'!J7/'1i'!J7*100,"na")</f>
        <v>na</v>
      </c>
      <c r="K7" s="86" t="str">
        <f>IFERROR('1i'!K7/'1i'!K7*100,"na")</f>
        <v>na</v>
      </c>
      <c r="L7" s="86" t="str">
        <f>IFERROR('1i'!L7/'1i'!L7*100,"na")</f>
        <v>na</v>
      </c>
      <c r="M7" s="87" t="str">
        <f>IFERROR('1i'!M7/'1i'!M7*100,"na")</f>
        <v>na</v>
      </c>
    </row>
    <row r="8" spans="1:13">
      <c r="A8" s="185">
        <v>1983</v>
      </c>
      <c r="B8" s="85" t="str">
        <f>IFERROR('1i'!B8/'1i'!J8*100, "na")</f>
        <v>na</v>
      </c>
      <c r="C8" s="86" t="str">
        <f>IFERROR('1i'!C8/'1i'!K8*100, "na")</f>
        <v>na</v>
      </c>
      <c r="D8" s="86" t="str">
        <f>IFERROR('1i'!D8/'1i'!L8*100, "na")</f>
        <v>na</v>
      </c>
      <c r="E8" s="87" t="str">
        <f>IFERROR('1i'!E8/'1i'!M8*100, "na")</f>
        <v>na</v>
      </c>
      <c r="F8" s="85" t="str">
        <f>IFERROR('1i'!F8/'1i'!J8*100, "na")</f>
        <v>na</v>
      </c>
      <c r="G8" s="86" t="str">
        <f>IFERROR('1i'!G8/'1i'!K8*100, "na")</f>
        <v>na</v>
      </c>
      <c r="H8" s="86" t="str">
        <f>IFERROR('1i'!H8/'1i'!L8*100, "na")</f>
        <v>na</v>
      </c>
      <c r="I8" s="87" t="str">
        <f>IFERROR('1i'!I8/'1i'!M8*100, "na")</f>
        <v>na</v>
      </c>
      <c r="J8" s="85" t="str">
        <f>IFERROR('1i'!J8/'1i'!J8*100,"na")</f>
        <v>na</v>
      </c>
      <c r="K8" s="86" t="str">
        <f>IFERROR('1i'!K8/'1i'!K8*100,"na")</f>
        <v>na</v>
      </c>
      <c r="L8" s="86" t="str">
        <f>IFERROR('1i'!L8/'1i'!L8*100,"na")</f>
        <v>na</v>
      </c>
      <c r="M8" s="87" t="str">
        <f>IFERROR('1i'!M8/'1i'!M8*100,"na")</f>
        <v>na</v>
      </c>
    </row>
    <row r="9" spans="1:13">
      <c r="A9" s="185">
        <v>1984</v>
      </c>
      <c r="B9" s="85" t="str">
        <f>IFERROR('1i'!B9/'1i'!J9*100, "na")</f>
        <v>na</v>
      </c>
      <c r="C9" s="86" t="str">
        <f>IFERROR('1i'!C9/'1i'!K9*100, "na")</f>
        <v>na</v>
      </c>
      <c r="D9" s="86" t="str">
        <f>IFERROR('1i'!D9/'1i'!L9*100, "na")</f>
        <v>na</v>
      </c>
      <c r="E9" s="87" t="str">
        <f>IFERROR('1i'!E9/'1i'!M9*100, "na")</f>
        <v>na</v>
      </c>
      <c r="F9" s="85" t="str">
        <f>IFERROR('1i'!F9/'1i'!J9*100, "na")</f>
        <v>na</v>
      </c>
      <c r="G9" s="86" t="str">
        <f>IFERROR('1i'!G9/'1i'!K9*100, "na")</f>
        <v>na</v>
      </c>
      <c r="H9" s="86" t="str">
        <f>IFERROR('1i'!H9/'1i'!L9*100, "na")</f>
        <v>na</v>
      </c>
      <c r="I9" s="87" t="str">
        <f>IFERROR('1i'!I9/'1i'!M9*100, "na")</f>
        <v>na</v>
      </c>
      <c r="J9" s="85" t="str">
        <f>IFERROR('1i'!J9/'1i'!J9*100,"na")</f>
        <v>na</v>
      </c>
      <c r="K9" s="86" t="str">
        <f>IFERROR('1i'!K9/'1i'!K9*100,"na")</f>
        <v>na</v>
      </c>
      <c r="L9" s="86" t="str">
        <f>IFERROR('1i'!L9/'1i'!L9*100,"na")</f>
        <v>na</v>
      </c>
      <c r="M9" s="87" t="str">
        <f>IFERROR('1i'!M9/'1i'!M9*100,"na")</f>
        <v>na</v>
      </c>
    </row>
    <row r="10" spans="1:13">
      <c r="A10" s="185">
        <v>1985</v>
      </c>
      <c r="B10" s="85" t="str">
        <f>IFERROR('1i'!B10/'1i'!J10*100, "na")</f>
        <v>na</v>
      </c>
      <c r="C10" s="86" t="str">
        <f>IFERROR('1i'!C10/'1i'!K10*100, "na")</f>
        <v>na</v>
      </c>
      <c r="D10" s="86" t="str">
        <f>IFERROR('1i'!D10/'1i'!L10*100, "na")</f>
        <v>na</v>
      </c>
      <c r="E10" s="87" t="str">
        <f>IFERROR('1i'!E10/'1i'!M10*100, "na")</f>
        <v>na</v>
      </c>
      <c r="F10" s="85" t="str">
        <f>IFERROR('1i'!F10/'1i'!J10*100, "na")</f>
        <v>na</v>
      </c>
      <c r="G10" s="86" t="str">
        <f>IFERROR('1i'!G10/'1i'!K10*100, "na")</f>
        <v>na</v>
      </c>
      <c r="H10" s="86" t="str">
        <f>IFERROR('1i'!H10/'1i'!L10*100, "na")</f>
        <v>na</v>
      </c>
      <c r="I10" s="87" t="str">
        <f>IFERROR('1i'!I10/'1i'!M10*100, "na")</f>
        <v>na</v>
      </c>
      <c r="J10" s="85" t="str">
        <f>IFERROR('1i'!J10/'1i'!J10*100,"na")</f>
        <v>na</v>
      </c>
      <c r="K10" s="86" t="str">
        <f>IFERROR('1i'!K10/'1i'!K10*100,"na")</f>
        <v>na</v>
      </c>
      <c r="L10" s="86" t="str">
        <f>IFERROR('1i'!L10/'1i'!L10*100,"na")</f>
        <v>na</v>
      </c>
      <c r="M10" s="87" t="str">
        <f>IFERROR('1i'!M10/'1i'!M10*100,"na")</f>
        <v>na</v>
      </c>
    </row>
    <row r="11" spans="1:13">
      <c r="A11" s="185">
        <v>1986</v>
      </c>
      <c r="B11" s="85" t="str">
        <f>IFERROR('1i'!B11/'1i'!J11*100, "na")</f>
        <v>na</v>
      </c>
      <c r="C11" s="86" t="str">
        <f>IFERROR('1i'!C11/'1i'!K11*100, "na")</f>
        <v>na</v>
      </c>
      <c r="D11" s="86" t="str">
        <f>IFERROR('1i'!D11/'1i'!L11*100, "na")</f>
        <v>na</v>
      </c>
      <c r="E11" s="87" t="str">
        <f>IFERROR('1i'!E11/'1i'!M11*100, "na")</f>
        <v>na</v>
      </c>
      <c r="F11" s="85" t="str">
        <f>IFERROR('1i'!F11/'1i'!J11*100, "na")</f>
        <v>na</v>
      </c>
      <c r="G11" s="86" t="str">
        <f>IFERROR('1i'!G11/'1i'!K11*100, "na")</f>
        <v>na</v>
      </c>
      <c r="H11" s="86" t="str">
        <f>IFERROR('1i'!H11/'1i'!L11*100, "na")</f>
        <v>na</v>
      </c>
      <c r="I11" s="87" t="str">
        <f>IFERROR('1i'!I11/'1i'!M11*100, "na")</f>
        <v>na</v>
      </c>
      <c r="J11" s="85" t="str">
        <f>IFERROR('1i'!J11/'1i'!J11*100,"na")</f>
        <v>na</v>
      </c>
      <c r="K11" s="86" t="str">
        <f>IFERROR('1i'!K11/'1i'!K11*100,"na")</f>
        <v>na</v>
      </c>
      <c r="L11" s="86" t="str">
        <f>IFERROR('1i'!L11/'1i'!L11*100,"na")</f>
        <v>na</v>
      </c>
      <c r="M11" s="87" t="str">
        <f>IFERROR('1i'!M11/'1i'!M11*100,"na")</f>
        <v>na</v>
      </c>
    </row>
    <row r="12" spans="1:13">
      <c r="A12" s="185">
        <v>1987</v>
      </c>
      <c r="B12" s="85" t="str">
        <f>IFERROR('1i'!B12/'1i'!J12*100, "na")</f>
        <v>na</v>
      </c>
      <c r="C12" s="86" t="str">
        <f>IFERROR('1i'!C12/'1i'!K12*100, "na")</f>
        <v>na</v>
      </c>
      <c r="D12" s="86" t="str">
        <f>IFERROR('1i'!D12/'1i'!L12*100, "na")</f>
        <v>na</v>
      </c>
      <c r="E12" s="87" t="str">
        <f>IFERROR('1i'!E12/'1i'!M12*100, "na")</f>
        <v>na</v>
      </c>
      <c r="F12" s="85" t="str">
        <f>IFERROR('1i'!F12/'1i'!J12*100, "na")</f>
        <v>na</v>
      </c>
      <c r="G12" s="86" t="str">
        <f>IFERROR('1i'!G12/'1i'!K12*100, "na")</f>
        <v>na</v>
      </c>
      <c r="H12" s="86" t="str">
        <f>IFERROR('1i'!H12/'1i'!L12*100, "na")</f>
        <v>na</v>
      </c>
      <c r="I12" s="87" t="str">
        <f>IFERROR('1i'!I12/'1i'!M12*100, "na")</f>
        <v>na</v>
      </c>
      <c r="J12" s="85" t="str">
        <f>IFERROR('1i'!J12/'1i'!J12*100,"na")</f>
        <v>na</v>
      </c>
      <c r="K12" s="86" t="str">
        <f>IFERROR('1i'!K12/'1i'!K12*100,"na")</f>
        <v>na</v>
      </c>
      <c r="L12" s="86" t="str">
        <f>IFERROR('1i'!L12/'1i'!L12*100,"na")</f>
        <v>na</v>
      </c>
      <c r="M12" s="87" t="str">
        <f>IFERROR('1i'!M12/'1i'!M12*100,"na")</f>
        <v>na</v>
      </c>
    </row>
    <row r="13" spans="1:13">
      <c r="A13" s="185">
        <v>1988</v>
      </c>
      <c r="B13" s="85" t="str">
        <f>IFERROR('1i'!B13/'1i'!J13*100, "na")</f>
        <v>na</v>
      </c>
      <c r="C13" s="86" t="str">
        <f>IFERROR('1i'!C13/'1i'!K13*100, "na")</f>
        <v>na</v>
      </c>
      <c r="D13" s="86" t="str">
        <f>IFERROR('1i'!D13/'1i'!L13*100, "na")</f>
        <v>na</v>
      </c>
      <c r="E13" s="87" t="str">
        <f>IFERROR('1i'!E13/'1i'!M13*100, "na")</f>
        <v>na</v>
      </c>
      <c r="F13" s="85" t="str">
        <f>IFERROR('1i'!F13/'1i'!J13*100, "na")</f>
        <v>na</v>
      </c>
      <c r="G13" s="86" t="str">
        <f>IFERROR('1i'!G13/'1i'!K13*100, "na")</f>
        <v>na</v>
      </c>
      <c r="H13" s="86" t="str">
        <f>IFERROR('1i'!H13/'1i'!L13*100, "na")</f>
        <v>na</v>
      </c>
      <c r="I13" s="87" t="str">
        <f>IFERROR('1i'!I13/'1i'!M13*100, "na")</f>
        <v>na</v>
      </c>
      <c r="J13" s="85" t="str">
        <f>IFERROR('1i'!J13/'1i'!J13*100,"na")</f>
        <v>na</v>
      </c>
      <c r="K13" s="86" t="str">
        <f>IFERROR('1i'!K13/'1i'!K13*100,"na")</f>
        <v>na</v>
      </c>
      <c r="L13" s="86" t="str">
        <f>IFERROR('1i'!L13/'1i'!L13*100,"na")</f>
        <v>na</v>
      </c>
      <c r="M13" s="87" t="str">
        <f>IFERROR('1i'!M13/'1i'!M13*100,"na")</f>
        <v>na</v>
      </c>
    </row>
    <row r="14" spans="1:13">
      <c r="A14" s="185">
        <v>1989</v>
      </c>
      <c r="B14" s="85" t="str">
        <f>IFERROR('1i'!B14/'1i'!J14*100, "na")</f>
        <v>na</v>
      </c>
      <c r="C14" s="86" t="str">
        <f>IFERROR('1i'!C14/'1i'!K14*100, "na")</f>
        <v>na</v>
      </c>
      <c r="D14" s="86" t="str">
        <f>IFERROR('1i'!D14/'1i'!L14*100, "na")</f>
        <v>na</v>
      </c>
      <c r="E14" s="87" t="str">
        <f>IFERROR('1i'!E14/'1i'!M14*100, "na")</f>
        <v>na</v>
      </c>
      <c r="F14" s="85" t="str">
        <f>IFERROR('1i'!F14/'1i'!J14*100, "na")</f>
        <v>na</v>
      </c>
      <c r="G14" s="86" t="str">
        <f>IFERROR('1i'!G14/'1i'!K14*100, "na")</f>
        <v>na</v>
      </c>
      <c r="H14" s="86" t="str">
        <f>IFERROR('1i'!H14/'1i'!L14*100, "na")</f>
        <v>na</v>
      </c>
      <c r="I14" s="87" t="str">
        <f>IFERROR('1i'!I14/'1i'!M14*100, "na")</f>
        <v>na</v>
      </c>
      <c r="J14" s="85" t="str">
        <f>IFERROR('1i'!J14/'1i'!J14*100,"na")</f>
        <v>na</v>
      </c>
      <c r="K14" s="86" t="str">
        <f>IFERROR('1i'!K14/'1i'!K14*100,"na")</f>
        <v>na</v>
      </c>
      <c r="L14" s="86" t="str">
        <f>IFERROR('1i'!L14/'1i'!L14*100,"na")</f>
        <v>na</v>
      </c>
      <c r="M14" s="87" t="str">
        <f>IFERROR('1i'!M14/'1i'!M14*100,"na")</f>
        <v>na</v>
      </c>
    </row>
    <row r="15" spans="1:13">
      <c r="A15" s="185">
        <v>1990</v>
      </c>
      <c r="B15" s="85" t="str">
        <f>IFERROR('1i'!B15/'1i'!J15*100, "na")</f>
        <v>na</v>
      </c>
      <c r="C15" s="86" t="str">
        <f>IFERROR('1i'!C15/'1i'!K15*100, "na")</f>
        <v>na</v>
      </c>
      <c r="D15" s="86" t="str">
        <f>IFERROR('1i'!D15/'1i'!L15*100, "na")</f>
        <v>na</v>
      </c>
      <c r="E15" s="87" t="str">
        <f>IFERROR('1i'!E15/'1i'!M15*100, "na")</f>
        <v>na</v>
      </c>
      <c r="F15" s="85" t="str">
        <f>IFERROR('1i'!F15/'1i'!J15*100, "na")</f>
        <v>na</v>
      </c>
      <c r="G15" s="86" t="str">
        <f>IFERROR('1i'!G15/'1i'!K15*100, "na")</f>
        <v>na</v>
      </c>
      <c r="H15" s="86" t="str">
        <f>IFERROR('1i'!H15/'1i'!L15*100, "na")</f>
        <v>na</v>
      </c>
      <c r="I15" s="87" t="str">
        <f>IFERROR('1i'!I15/'1i'!M15*100, "na")</f>
        <v>na</v>
      </c>
      <c r="J15" s="85" t="str">
        <f>IFERROR('1i'!J15/'1i'!J15*100,"na")</f>
        <v>na</v>
      </c>
      <c r="K15" s="86" t="str">
        <f>IFERROR('1i'!K15/'1i'!K15*100,"na")</f>
        <v>na</v>
      </c>
      <c r="L15" s="86" t="str">
        <f>IFERROR('1i'!L15/'1i'!L15*100,"na")</f>
        <v>na</v>
      </c>
      <c r="M15" s="87" t="str">
        <f>IFERROR('1i'!M15/'1i'!M15*100,"na")</f>
        <v>na</v>
      </c>
    </row>
    <row r="16" spans="1:13">
      <c r="A16" s="185">
        <v>1991</v>
      </c>
      <c r="B16" s="85" t="str">
        <f>IFERROR('1i'!B16/'1i'!J16*100, "na")</f>
        <v>na</v>
      </c>
      <c r="C16" s="86" t="str">
        <f>IFERROR('1i'!C16/'1i'!K16*100, "na")</f>
        <v>na</v>
      </c>
      <c r="D16" s="86" t="str">
        <f>IFERROR('1i'!D16/'1i'!L16*100, "na")</f>
        <v>na</v>
      </c>
      <c r="E16" s="87" t="str">
        <f>IFERROR('1i'!E16/'1i'!M16*100, "na")</f>
        <v>na</v>
      </c>
      <c r="F16" s="85" t="str">
        <f>IFERROR('1i'!F16/'1i'!J16*100, "na")</f>
        <v>na</v>
      </c>
      <c r="G16" s="86" t="str">
        <f>IFERROR('1i'!G16/'1i'!K16*100, "na")</f>
        <v>na</v>
      </c>
      <c r="H16" s="86" t="str">
        <f>IFERROR('1i'!H16/'1i'!L16*100, "na")</f>
        <v>na</v>
      </c>
      <c r="I16" s="87" t="str">
        <f>IFERROR('1i'!I16/'1i'!M16*100, "na")</f>
        <v>na</v>
      </c>
      <c r="J16" s="85" t="str">
        <f>IFERROR('1i'!J16/'1i'!J16*100,"na")</f>
        <v>na</v>
      </c>
      <c r="K16" s="86" t="str">
        <f>IFERROR('1i'!K16/'1i'!K16*100,"na")</f>
        <v>na</v>
      </c>
      <c r="L16" s="86" t="str">
        <f>IFERROR('1i'!L16/'1i'!L16*100,"na")</f>
        <v>na</v>
      </c>
      <c r="M16" s="87" t="str">
        <f>IFERROR('1i'!M16/'1i'!M16*100,"na")</f>
        <v>na</v>
      </c>
    </row>
    <row r="17" spans="1:13">
      <c r="A17" s="185">
        <v>1992</v>
      </c>
      <c r="B17" s="85" t="str">
        <f>IFERROR('1i'!B17/'1i'!J17*100, "na")</f>
        <v>na</v>
      </c>
      <c r="C17" s="86" t="str">
        <f>IFERROR('1i'!C17/'1i'!K17*100, "na")</f>
        <v>na</v>
      </c>
      <c r="D17" s="86" t="str">
        <f>IFERROR('1i'!D17/'1i'!L17*100, "na")</f>
        <v>na</v>
      </c>
      <c r="E17" s="87" t="str">
        <f>IFERROR('1i'!E17/'1i'!M17*100, "na")</f>
        <v>na</v>
      </c>
      <c r="F17" s="85" t="str">
        <f>IFERROR('1i'!F17/'1i'!J17*100, "na")</f>
        <v>na</v>
      </c>
      <c r="G17" s="86" t="str">
        <f>IFERROR('1i'!G17/'1i'!K17*100, "na")</f>
        <v>na</v>
      </c>
      <c r="H17" s="86" t="str">
        <f>IFERROR('1i'!H17/'1i'!L17*100, "na")</f>
        <v>na</v>
      </c>
      <c r="I17" s="87" t="str">
        <f>IFERROR('1i'!I17/'1i'!M17*100, "na")</f>
        <v>na</v>
      </c>
      <c r="J17" s="85" t="str">
        <f>IFERROR('1i'!J17/'1i'!J17*100,"na")</f>
        <v>na</v>
      </c>
      <c r="K17" s="86" t="str">
        <f>IFERROR('1i'!K17/'1i'!K17*100,"na")</f>
        <v>na</v>
      </c>
      <c r="L17" s="86" t="str">
        <f>IFERROR('1i'!L17/'1i'!L17*100,"na")</f>
        <v>na</v>
      </c>
      <c r="M17" s="87" t="str">
        <f>IFERROR('1i'!M17/'1i'!M17*100,"na")</f>
        <v>na</v>
      </c>
    </row>
    <row r="18" spans="1:13">
      <c r="A18" s="185">
        <v>1993</v>
      </c>
      <c r="B18" s="85" t="str">
        <f>IFERROR('1i'!B18/'1i'!J18*100, "na")</f>
        <v>na</v>
      </c>
      <c r="C18" s="86" t="str">
        <f>IFERROR('1i'!C18/'1i'!K18*100, "na")</f>
        <v>na</v>
      </c>
      <c r="D18" s="86" t="str">
        <f>IFERROR('1i'!D18/'1i'!L18*100, "na")</f>
        <v>na</v>
      </c>
      <c r="E18" s="87" t="str">
        <f>IFERROR('1i'!E18/'1i'!M18*100, "na")</f>
        <v>na</v>
      </c>
      <c r="F18" s="85" t="str">
        <f>IFERROR('1i'!F18/'1i'!J18*100, "na")</f>
        <v>na</v>
      </c>
      <c r="G18" s="86" t="str">
        <f>IFERROR('1i'!G18/'1i'!K18*100, "na")</f>
        <v>na</v>
      </c>
      <c r="H18" s="86" t="str">
        <f>IFERROR('1i'!H18/'1i'!L18*100, "na")</f>
        <v>na</v>
      </c>
      <c r="I18" s="87" t="str">
        <f>IFERROR('1i'!I18/'1i'!M18*100, "na")</f>
        <v>na</v>
      </c>
      <c r="J18" s="85" t="str">
        <f>IFERROR('1i'!J18/'1i'!J18*100,"na")</f>
        <v>na</v>
      </c>
      <c r="K18" s="86" t="str">
        <f>IFERROR('1i'!K18/'1i'!K18*100,"na")</f>
        <v>na</v>
      </c>
      <c r="L18" s="86" t="str">
        <f>IFERROR('1i'!L18/'1i'!L18*100,"na")</f>
        <v>na</v>
      </c>
      <c r="M18" s="87" t="str">
        <f>IFERROR('1i'!M18/'1i'!M18*100,"na")</f>
        <v>na</v>
      </c>
    </row>
    <row r="19" spans="1:13">
      <c r="A19" s="185">
        <v>1994</v>
      </c>
      <c r="B19" s="85" t="str">
        <f>IFERROR('1i'!B19/'1i'!J19*100, "na")</f>
        <v>na</v>
      </c>
      <c r="C19" s="86" t="str">
        <f>IFERROR('1i'!C19/'1i'!K19*100, "na")</f>
        <v>na</v>
      </c>
      <c r="D19" s="86" t="str">
        <f>IFERROR('1i'!D19/'1i'!L19*100, "na")</f>
        <v>na</v>
      </c>
      <c r="E19" s="87" t="str">
        <f>IFERROR('1i'!E19/'1i'!M19*100, "na")</f>
        <v>na</v>
      </c>
      <c r="F19" s="85" t="str">
        <f>IFERROR('1i'!F19/'1i'!J19*100, "na")</f>
        <v>na</v>
      </c>
      <c r="G19" s="86" t="str">
        <f>IFERROR('1i'!G19/'1i'!K19*100, "na")</f>
        <v>na</v>
      </c>
      <c r="H19" s="86" t="str">
        <f>IFERROR('1i'!H19/'1i'!L19*100, "na")</f>
        <v>na</v>
      </c>
      <c r="I19" s="87" t="str">
        <f>IFERROR('1i'!I19/'1i'!M19*100, "na")</f>
        <v>na</v>
      </c>
      <c r="J19" s="85" t="str">
        <f>IFERROR('1i'!J19/'1i'!J19*100,"na")</f>
        <v>na</v>
      </c>
      <c r="K19" s="86" t="str">
        <f>IFERROR('1i'!K19/'1i'!K19*100,"na")</f>
        <v>na</v>
      </c>
      <c r="L19" s="86" t="str">
        <f>IFERROR('1i'!L19/'1i'!L19*100,"na")</f>
        <v>na</v>
      </c>
      <c r="M19" s="87" t="str">
        <f>IFERROR('1i'!M19/'1i'!M19*100,"na")</f>
        <v>na</v>
      </c>
    </row>
    <row r="20" spans="1:13">
      <c r="A20" s="185">
        <v>1995</v>
      </c>
      <c r="B20" s="85" t="str">
        <f>IFERROR('1i'!B20/'1i'!J20*100, "na")</f>
        <v>na</v>
      </c>
      <c r="C20" s="86" t="str">
        <f>IFERROR('1i'!C20/'1i'!K20*100, "na")</f>
        <v>na</v>
      </c>
      <c r="D20" s="86" t="str">
        <f>IFERROR('1i'!D20/'1i'!L20*100, "na")</f>
        <v>na</v>
      </c>
      <c r="E20" s="87" t="str">
        <f>IFERROR('1i'!E20/'1i'!M20*100, "na")</f>
        <v>na</v>
      </c>
      <c r="F20" s="85" t="str">
        <f>IFERROR('1i'!F20/'1i'!J20*100, "na")</f>
        <v>na</v>
      </c>
      <c r="G20" s="86" t="str">
        <f>IFERROR('1i'!G20/'1i'!K20*100, "na")</f>
        <v>na</v>
      </c>
      <c r="H20" s="86" t="str">
        <f>IFERROR('1i'!H20/'1i'!L20*100, "na")</f>
        <v>na</v>
      </c>
      <c r="I20" s="87" t="str">
        <f>IFERROR('1i'!I20/'1i'!M20*100, "na")</f>
        <v>na</v>
      </c>
      <c r="J20" s="85" t="str">
        <f>IFERROR('1i'!J20/'1i'!J20*100,"na")</f>
        <v>na</v>
      </c>
      <c r="K20" s="86" t="str">
        <f>IFERROR('1i'!K20/'1i'!K20*100,"na")</f>
        <v>na</v>
      </c>
      <c r="L20" s="86" t="str">
        <f>IFERROR('1i'!L20/'1i'!L20*100,"na")</f>
        <v>na</v>
      </c>
      <c r="M20" s="87" t="str">
        <f>IFERROR('1i'!M20/'1i'!M20*100,"na")</f>
        <v>na</v>
      </c>
    </row>
    <row r="21" spans="1:13">
      <c r="A21" s="185">
        <v>1996</v>
      </c>
      <c r="B21" s="85" t="str">
        <f>IFERROR('1i'!B21/'1i'!J21*100, "na")</f>
        <v>na</v>
      </c>
      <c r="C21" s="86" t="str">
        <f>IFERROR('1i'!C21/'1i'!K21*100, "na")</f>
        <v>na</v>
      </c>
      <c r="D21" s="86" t="str">
        <f>IFERROR('1i'!D21/'1i'!L21*100, "na")</f>
        <v>na</v>
      </c>
      <c r="E21" s="87" t="str">
        <f>IFERROR('1i'!E21/'1i'!M21*100, "na")</f>
        <v>na</v>
      </c>
      <c r="F21" s="85" t="str">
        <f>IFERROR('1i'!F21/'1i'!J21*100, "na")</f>
        <v>na</v>
      </c>
      <c r="G21" s="86" t="str">
        <f>IFERROR('1i'!G21/'1i'!K21*100, "na")</f>
        <v>na</v>
      </c>
      <c r="H21" s="86" t="str">
        <f>IFERROR('1i'!H21/'1i'!L21*100, "na")</f>
        <v>na</v>
      </c>
      <c r="I21" s="87" t="str">
        <f>IFERROR('1i'!I21/'1i'!M21*100, "na")</f>
        <v>na</v>
      </c>
      <c r="J21" s="85" t="str">
        <f>IFERROR('1i'!J21/'1i'!J21*100,"na")</f>
        <v>na</v>
      </c>
      <c r="K21" s="86" t="str">
        <f>IFERROR('1i'!K21/'1i'!K21*100,"na")</f>
        <v>na</v>
      </c>
      <c r="L21" s="86" t="str">
        <f>IFERROR('1i'!L21/'1i'!L21*100,"na")</f>
        <v>na</v>
      </c>
      <c r="M21" s="87" t="str">
        <f>IFERROR('1i'!M21/'1i'!M21*100,"na")</f>
        <v>na</v>
      </c>
    </row>
    <row r="22" spans="1:13">
      <c r="A22" s="185">
        <v>1997</v>
      </c>
      <c r="B22" s="85">
        <f>IFERROR('1i'!B22/'1i'!J22*100, "na")</f>
        <v>313.80065413160293</v>
      </c>
      <c r="C22" s="86">
        <f>IFERROR('1i'!C22/'1i'!K22*100, "na")</f>
        <v>287.68325909833101</v>
      </c>
      <c r="D22" s="86">
        <f>IFERROR('1i'!D22/'1i'!L22*100, "na")</f>
        <v>98.178272044207532</v>
      </c>
      <c r="E22" s="87">
        <f>IFERROR('1i'!E22/'1i'!M22*100, "na")</f>
        <v>244.53515828951339</v>
      </c>
      <c r="F22" s="85">
        <f>IFERROR('1i'!F22/'1i'!J22*100, "na")</f>
        <v>306.89231587677853</v>
      </c>
      <c r="G22" s="86">
        <f>IFERROR('1i'!G22/'1i'!K22*100, "na")</f>
        <v>239.31119636257097</v>
      </c>
      <c r="H22" s="86">
        <f>IFERROR('1i'!H22/'1i'!L22*100, "na")</f>
        <v>5.6829554137757707</v>
      </c>
      <c r="I22" s="87">
        <f>IFERROR('1i'!I22/'1i'!M22*100, "na")</f>
        <v>197.18484114229676</v>
      </c>
      <c r="J22" s="85">
        <f>IFERROR('1i'!J22/'1i'!J22*100,"na")</f>
        <v>100</v>
      </c>
      <c r="K22" s="86">
        <f>IFERROR('1i'!K22/'1i'!K22*100,"na")</f>
        <v>100</v>
      </c>
      <c r="L22" s="86">
        <f>IFERROR('1i'!L22/'1i'!L22*100,"na")</f>
        <v>100</v>
      </c>
      <c r="M22" s="87">
        <f>IFERROR('1i'!M22/'1i'!M22*100,"na")</f>
        <v>100</v>
      </c>
    </row>
    <row r="23" spans="1:13">
      <c r="A23" s="185">
        <v>1998</v>
      </c>
      <c r="B23" s="85">
        <f>IFERROR('1i'!B23/'1i'!J23*100, "na")</f>
        <v>290.70931297371777</v>
      </c>
      <c r="C23" s="86">
        <f>IFERROR('1i'!C23/'1i'!K23*100, "na")</f>
        <v>282.06933165326859</v>
      </c>
      <c r="D23" s="86">
        <f>IFERROR('1i'!D23/'1i'!L23*100, "na")</f>
        <v>24.540923808312577</v>
      </c>
      <c r="E23" s="87">
        <f>IFERROR('1i'!E23/'1i'!M23*100, "na")</f>
        <v>226.41239520959874</v>
      </c>
      <c r="F23" s="85">
        <f>IFERROR('1i'!F23/'1i'!J23*100, "na")</f>
        <v>593.15305986075919</v>
      </c>
      <c r="G23" s="86">
        <f>IFERROR('1i'!G23/'1i'!K23*100, "na")</f>
        <v>307.74635783203553</v>
      </c>
      <c r="H23" s="86">
        <f>IFERROR('1i'!H23/'1i'!L23*100, "na")</f>
        <v>37.944724257913386</v>
      </c>
      <c r="I23" s="87">
        <f>IFERROR('1i'!I23/'1i'!M23*100, "na")</f>
        <v>349.91065466289564</v>
      </c>
      <c r="J23" s="85">
        <f>IFERROR('1i'!J23/'1i'!J23*100,"na")</f>
        <v>100</v>
      </c>
      <c r="K23" s="86">
        <f>IFERROR('1i'!K23/'1i'!K23*100,"na")</f>
        <v>100</v>
      </c>
      <c r="L23" s="86">
        <f>IFERROR('1i'!L23/'1i'!L23*100,"na")</f>
        <v>100</v>
      </c>
      <c r="M23" s="87">
        <f>IFERROR('1i'!M23/'1i'!M23*100,"na")</f>
        <v>100</v>
      </c>
    </row>
    <row r="24" spans="1:13">
      <c r="A24" s="185">
        <v>1999</v>
      </c>
      <c r="B24" s="85">
        <f>IFERROR('1i'!B24/'1i'!J24*100, "na")</f>
        <v>215.13851858599759</v>
      </c>
      <c r="C24" s="86">
        <f>IFERROR('1i'!C24/'1i'!K24*100, "na")</f>
        <v>407.26163322373498</v>
      </c>
      <c r="D24" s="86">
        <f>IFERROR('1i'!D24/'1i'!L24*100, "na")</f>
        <v>25.801572241732256</v>
      </c>
      <c r="E24" s="87">
        <f>IFERROR('1i'!E24/'1i'!M24*100, "na")</f>
        <v>242.85491573443642</v>
      </c>
      <c r="F24" s="85">
        <f>IFERROR('1i'!F24/'1i'!J24*100, "na")</f>
        <v>70.983425515572264</v>
      </c>
      <c r="G24" s="86">
        <f>IFERROR('1i'!G24/'1i'!K24*100, "na")</f>
        <v>140.21168802399146</v>
      </c>
      <c r="H24" s="86">
        <f>IFERROR('1i'!H24/'1i'!L24*100, "na")</f>
        <v>3.0151909443223186</v>
      </c>
      <c r="I24" s="87">
        <f>IFERROR('1i'!I24/'1i'!M24*100, "na")</f>
        <v>81.035201455212984</v>
      </c>
      <c r="J24" s="85">
        <f>IFERROR('1i'!J24/'1i'!J24*100,"na")</f>
        <v>100</v>
      </c>
      <c r="K24" s="86">
        <f>IFERROR('1i'!K24/'1i'!K24*100,"na")</f>
        <v>100</v>
      </c>
      <c r="L24" s="86">
        <f>IFERROR('1i'!L24/'1i'!L24*100,"na")</f>
        <v>100</v>
      </c>
      <c r="M24" s="87">
        <f>IFERROR('1i'!M24/'1i'!M24*100,"na")</f>
        <v>100</v>
      </c>
    </row>
    <row r="25" spans="1:13">
      <c r="A25" s="185">
        <v>2000</v>
      </c>
      <c r="B25" s="85">
        <f>IFERROR('1i'!B25/'1i'!J25*100, "na")</f>
        <v>44.134565585268369</v>
      </c>
      <c r="C25" s="86">
        <f>IFERROR('1i'!C25/'1i'!K25*100, "na")</f>
        <v>454.63444918806692</v>
      </c>
      <c r="D25" s="86">
        <f>IFERROR('1i'!D25/'1i'!L25*100, "na")</f>
        <v>7.5635668592067882</v>
      </c>
      <c r="E25" s="87">
        <f>IFERROR('1i'!E25/'1i'!M25*100, "na")</f>
        <v>187.32847747860134</v>
      </c>
      <c r="F25" s="85">
        <f>IFERROR('1i'!F25/'1i'!J25*100, "na")</f>
        <v>133.69547438292258</v>
      </c>
      <c r="G25" s="86">
        <f>IFERROR('1i'!G25/'1i'!K25*100, "na")</f>
        <v>264.8634357946957</v>
      </c>
      <c r="H25" s="86">
        <f>IFERROR('1i'!H25/'1i'!L25*100, "na")</f>
        <v>45.818126635759398</v>
      </c>
      <c r="I25" s="87">
        <f>IFERROR('1i'!I25/'1i'!M25*100, "na")</f>
        <v>157.77347003965886</v>
      </c>
      <c r="J25" s="85">
        <f>IFERROR('1i'!J25/'1i'!J25*100,"na")</f>
        <v>100</v>
      </c>
      <c r="K25" s="86">
        <f>IFERROR('1i'!K25/'1i'!K25*100,"na")</f>
        <v>100</v>
      </c>
      <c r="L25" s="86">
        <f>IFERROR('1i'!L25/'1i'!L25*100,"na")</f>
        <v>100</v>
      </c>
      <c r="M25" s="87">
        <f>IFERROR('1i'!M25/'1i'!M25*100,"na")</f>
        <v>100</v>
      </c>
    </row>
    <row r="26" spans="1:13">
      <c r="A26" s="185">
        <v>2001</v>
      </c>
      <c r="B26" s="85">
        <f>IFERROR('1i'!B26/'1i'!J26*100, "na")</f>
        <v>9.3898039796804369</v>
      </c>
      <c r="C26" s="86">
        <f>IFERROR('1i'!C26/'1i'!K26*100, "na")</f>
        <v>310.75395371892313</v>
      </c>
      <c r="D26" s="86">
        <f>IFERROR('1i'!D26/'1i'!L26*100, "na")</f>
        <v>2.9968269131017442E-2</v>
      </c>
      <c r="E26" s="87">
        <f>IFERROR('1i'!E26/'1i'!M26*100, "na")</f>
        <v>130.57878181345549</v>
      </c>
      <c r="F26" s="85">
        <f>IFERROR('1i'!F26/'1i'!J26*100, "na")</f>
        <v>0.61297207453188374</v>
      </c>
      <c r="G26" s="86">
        <f>IFERROR('1i'!G26/'1i'!K26*100, "na")</f>
        <v>176.35932645608631</v>
      </c>
      <c r="H26" s="86">
        <f>IFERROR('1i'!H26/'1i'!L26*100, "na")</f>
        <v>2.3860908675355463</v>
      </c>
      <c r="I26" s="87">
        <f>IFERROR('1i'!I26/'1i'!M26*100, "na")</f>
        <v>73.443850627821902</v>
      </c>
      <c r="J26" s="85">
        <f>IFERROR('1i'!J26/'1i'!J26*100,"na")</f>
        <v>100</v>
      </c>
      <c r="K26" s="86">
        <f>IFERROR('1i'!K26/'1i'!K26*100,"na")</f>
        <v>100</v>
      </c>
      <c r="L26" s="86">
        <f>IFERROR('1i'!L26/'1i'!L26*100,"na")</f>
        <v>100</v>
      </c>
      <c r="M26" s="87">
        <f>IFERROR('1i'!M26/'1i'!M26*100,"na")</f>
        <v>100</v>
      </c>
    </row>
    <row r="27" spans="1:13">
      <c r="A27" s="185">
        <v>2002</v>
      </c>
      <c r="B27" s="85">
        <f>IFERROR('1i'!B27/'1i'!J27*100, "na")</f>
        <v>94.564071214389827</v>
      </c>
      <c r="C27" s="86">
        <f>IFERROR('1i'!C27/'1i'!K27*100, "na")</f>
        <v>242.0116523142394</v>
      </c>
      <c r="D27" s="86">
        <f>IFERROR('1i'!D27/'1i'!L27*100, "na")</f>
        <v>11.136806689148068</v>
      </c>
      <c r="E27" s="87">
        <f>IFERROR('1i'!E27/'1i'!M27*100, "na")</f>
        <v>131.77459279080182</v>
      </c>
      <c r="F27" s="85">
        <f>IFERROR('1i'!F27/'1i'!J27*100, "na")</f>
        <v>8.7460974717153253</v>
      </c>
      <c r="G27" s="86">
        <f>IFERROR('1i'!G27/'1i'!K27*100, "na")</f>
        <v>151.15916394802881</v>
      </c>
      <c r="H27" s="86">
        <f>IFERROR('1i'!H27/'1i'!L27*100, "na")</f>
        <v>10.376747982028107</v>
      </c>
      <c r="I27" s="87">
        <f>IFERROR('1i'!I27/'1i'!M27*100, "na")</f>
        <v>67.746799430368611</v>
      </c>
      <c r="J27" s="85">
        <f>IFERROR('1i'!J27/'1i'!J27*100,"na")</f>
        <v>100</v>
      </c>
      <c r="K27" s="86">
        <f>IFERROR('1i'!K27/'1i'!K27*100,"na")</f>
        <v>100</v>
      </c>
      <c r="L27" s="86">
        <f>IFERROR('1i'!L27/'1i'!L27*100,"na")</f>
        <v>100</v>
      </c>
      <c r="M27" s="87">
        <f>IFERROR('1i'!M27/'1i'!M27*100,"na")</f>
        <v>100</v>
      </c>
    </row>
    <row r="28" spans="1:13">
      <c r="A28" s="185">
        <v>2003</v>
      </c>
      <c r="B28" s="85">
        <f>IFERROR('1i'!B28/'1i'!J28*100, "na")</f>
        <v>177.73294161029233</v>
      </c>
      <c r="C28" s="86">
        <f>IFERROR('1i'!C28/'1i'!K28*100, "na")</f>
        <v>215.63567080781155</v>
      </c>
      <c r="D28" s="86">
        <f>IFERROR('1i'!D28/'1i'!L28*100, "na")</f>
        <v>41.831403604261723</v>
      </c>
      <c r="E28" s="87">
        <f>IFERROR('1i'!E28/'1i'!M28*100, "na")</f>
        <v>159.30451229519005</v>
      </c>
      <c r="F28" s="85">
        <f>IFERROR('1i'!F28/'1i'!J28*100, "na")</f>
        <v>57.73000014618583</v>
      </c>
      <c r="G28" s="86">
        <f>IFERROR('1i'!G28/'1i'!K28*100, "na")</f>
        <v>174.98275270404102</v>
      </c>
      <c r="H28" s="86">
        <f>IFERROR('1i'!H28/'1i'!L28*100, "na")</f>
        <v>15.684500283616412</v>
      </c>
      <c r="I28" s="87">
        <f>IFERROR('1i'!I28/'1i'!M28*100, "na")</f>
        <v>96.337457809885336</v>
      </c>
      <c r="J28" s="85">
        <f>IFERROR('1i'!J28/'1i'!J28*100,"na")</f>
        <v>100</v>
      </c>
      <c r="K28" s="86">
        <f>IFERROR('1i'!K28/'1i'!K28*100,"na")</f>
        <v>100</v>
      </c>
      <c r="L28" s="86">
        <f>IFERROR('1i'!L28/'1i'!L28*100,"na")</f>
        <v>100</v>
      </c>
      <c r="M28" s="87">
        <f>IFERROR('1i'!M28/'1i'!M28*100,"na")</f>
        <v>100</v>
      </c>
    </row>
    <row r="29" spans="1:13">
      <c r="A29" s="185">
        <v>2004</v>
      </c>
      <c r="B29" s="85">
        <f>IFERROR('1i'!B29/'1i'!J29*100, "na")</f>
        <v>168.64889639117052</v>
      </c>
      <c r="C29" s="86">
        <f>IFERROR('1i'!C29/'1i'!K29*100, "na")</f>
        <v>253.24508101985435</v>
      </c>
      <c r="D29" s="86">
        <f>IFERROR('1i'!D29/'1i'!L29*100, "na")</f>
        <v>45.088451859095159</v>
      </c>
      <c r="E29" s="87">
        <f>IFERROR('1i'!E29/'1i'!M29*100, "na")</f>
        <v>176.94232464575151</v>
      </c>
      <c r="F29" s="85">
        <f>IFERROR('1i'!F29/'1i'!J29*100, "na")</f>
        <v>54.732459691431281</v>
      </c>
      <c r="G29" s="86">
        <f>IFERROR('1i'!G29/'1i'!K29*100, "na")</f>
        <v>303.69377690889274</v>
      </c>
      <c r="H29" s="86">
        <f>IFERROR('1i'!H29/'1i'!L29*100, "na")</f>
        <v>20.510565342926004</v>
      </c>
      <c r="I29" s="87">
        <f>IFERROR('1i'!I29/'1i'!M29*100, "na")</f>
        <v>153.88821144448187</v>
      </c>
      <c r="J29" s="85">
        <f>IFERROR('1i'!J29/'1i'!J29*100,"na")</f>
        <v>100</v>
      </c>
      <c r="K29" s="86">
        <f>IFERROR('1i'!K29/'1i'!K29*100,"na")</f>
        <v>100</v>
      </c>
      <c r="L29" s="86">
        <f>IFERROR('1i'!L29/'1i'!L29*100,"na")</f>
        <v>100</v>
      </c>
      <c r="M29" s="87">
        <f>IFERROR('1i'!M29/'1i'!M29*100,"na")</f>
        <v>100</v>
      </c>
    </row>
    <row r="30" spans="1:13">
      <c r="A30" s="185">
        <v>2005</v>
      </c>
      <c r="B30" s="85">
        <f>IFERROR('1i'!B30/'1i'!J30*100, "na")</f>
        <v>201.92275679918598</v>
      </c>
      <c r="C30" s="86">
        <f>IFERROR('1i'!C30/'1i'!K30*100, "na")</f>
        <v>333.45600370460784</v>
      </c>
      <c r="D30" s="86">
        <f>IFERROR('1i'!D30/'1i'!L30*100, "na")</f>
        <v>45.777779210968923</v>
      </c>
      <c r="E30" s="87">
        <f>IFERROR('1i'!E30/'1i'!M30*100, "na")</f>
        <v>229.4333627752369</v>
      </c>
      <c r="F30" s="85">
        <f>IFERROR('1i'!F30/'1i'!J30*100, "na")</f>
        <v>79.56948296769329</v>
      </c>
      <c r="G30" s="86">
        <f>IFERROR('1i'!G30/'1i'!K30*100, "na")</f>
        <v>354.84182335056033</v>
      </c>
      <c r="H30" s="86">
        <f>IFERROR('1i'!H30/'1i'!L30*100, "na")</f>
        <v>43.321013219400903</v>
      </c>
      <c r="I30" s="87">
        <f>IFERROR('1i'!I30/'1i'!M30*100, "na")</f>
        <v>196.74322717588518</v>
      </c>
      <c r="J30" s="85">
        <f>IFERROR('1i'!J30/'1i'!J30*100,"na")</f>
        <v>100</v>
      </c>
      <c r="K30" s="86">
        <f>IFERROR('1i'!K30/'1i'!K30*100,"na")</f>
        <v>100</v>
      </c>
      <c r="L30" s="86">
        <f>IFERROR('1i'!L30/'1i'!L30*100,"na")</f>
        <v>100</v>
      </c>
      <c r="M30" s="87">
        <f>IFERROR('1i'!M30/'1i'!M30*100,"na")</f>
        <v>100</v>
      </c>
    </row>
    <row r="31" spans="1:13">
      <c r="A31" s="185">
        <v>2006</v>
      </c>
      <c r="B31" s="85">
        <f>IFERROR('1i'!B31/'1i'!J31*100, "na")</f>
        <v>136.92787567753672</v>
      </c>
      <c r="C31" s="86">
        <f>IFERROR('1i'!C31/'1i'!K31*100, "na")</f>
        <v>264.86744791630173</v>
      </c>
      <c r="D31" s="86">
        <f>IFERROR('1i'!D31/'1i'!L31*100, "na")</f>
        <v>56.999526519430752</v>
      </c>
      <c r="E31" s="87">
        <f>IFERROR('1i'!E31/'1i'!M31*100, "na")</f>
        <v>176.96211016320589</v>
      </c>
      <c r="F31" s="85">
        <f>IFERROR('1i'!F31/'1i'!J31*100, "na")</f>
        <v>70.114627273780641</v>
      </c>
      <c r="G31" s="86">
        <f>IFERROR('1i'!G31/'1i'!K31*100, "na")</f>
        <v>304.94791422681323</v>
      </c>
      <c r="H31" s="86">
        <f>IFERROR('1i'!H31/'1i'!L31*100, "na")</f>
        <v>38.299918492822535</v>
      </c>
      <c r="I31" s="87">
        <f>IFERROR('1i'!I31/'1i'!M31*100, "na")</f>
        <v>166.34724906431643</v>
      </c>
      <c r="J31" s="85">
        <f>IFERROR('1i'!J31/'1i'!J31*100,"na")</f>
        <v>100</v>
      </c>
      <c r="K31" s="86">
        <f>IFERROR('1i'!K31/'1i'!K31*100,"na")</f>
        <v>100</v>
      </c>
      <c r="L31" s="86">
        <f>IFERROR('1i'!L31/'1i'!L31*100,"na")</f>
        <v>100</v>
      </c>
      <c r="M31" s="87">
        <f>IFERROR('1i'!M31/'1i'!M31*100,"na")</f>
        <v>100</v>
      </c>
    </row>
    <row r="32" spans="1:13">
      <c r="A32" s="185">
        <v>2007</v>
      </c>
      <c r="B32" s="85">
        <f>IFERROR('1i'!B32/'1i'!J32*100, "na")</f>
        <v>270.5507730505268</v>
      </c>
      <c r="C32" s="86">
        <f>IFERROR('1i'!C32/'1i'!K32*100, "na")</f>
        <v>223.14378214839593</v>
      </c>
      <c r="D32" s="86">
        <f>IFERROR('1i'!D32/'1i'!L32*100, "na")</f>
        <v>154.54074886487004</v>
      </c>
      <c r="E32" s="87">
        <f>IFERROR('1i'!E32/'1i'!M32*100, "na")</f>
        <v>227.62275326030766</v>
      </c>
      <c r="F32" s="85">
        <f>IFERROR('1i'!F32/'1i'!J32*100, "na")</f>
        <v>31.796632811017094</v>
      </c>
      <c r="G32" s="86">
        <f>IFERROR('1i'!G32/'1i'!K32*100, "na")</f>
        <v>336.01496922085374</v>
      </c>
      <c r="H32" s="86">
        <f>IFERROR('1i'!H32/'1i'!L32*100, "na")</f>
        <v>23.356002438146731</v>
      </c>
      <c r="I32" s="87">
        <f>IFERROR('1i'!I32/'1i'!M32*100, "na")</f>
        <v>178.92225394508148</v>
      </c>
      <c r="J32" s="85">
        <f>IFERROR('1i'!J32/'1i'!J32*100,"na")</f>
        <v>100</v>
      </c>
      <c r="K32" s="86">
        <f>IFERROR('1i'!K32/'1i'!K32*100,"na")</f>
        <v>100</v>
      </c>
      <c r="L32" s="86">
        <f>IFERROR('1i'!L32/'1i'!L32*100,"na")</f>
        <v>100</v>
      </c>
      <c r="M32" s="87">
        <f>IFERROR('1i'!M32/'1i'!M32*100,"na")</f>
        <v>100</v>
      </c>
    </row>
    <row r="33" spans="1:13">
      <c r="A33" s="185">
        <v>2008</v>
      </c>
      <c r="B33" s="85">
        <f>IFERROR('1i'!B33/'1i'!J33*100, "na")</f>
        <v>97.935954146550259</v>
      </c>
      <c r="C33" s="86">
        <f>IFERROR('1i'!C33/'1i'!K33*100, "na")</f>
        <v>229.44747039588563</v>
      </c>
      <c r="D33" s="86">
        <f>IFERROR('1i'!D33/'1i'!L33*100, "na")</f>
        <v>38.9445726595075</v>
      </c>
      <c r="E33" s="87">
        <f>IFERROR('1i'!E33/'1i'!M33*100, "na")</f>
        <v>150.26391612674334</v>
      </c>
      <c r="F33" s="85">
        <f>IFERROR('1i'!F33/'1i'!J33*100, "na")</f>
        <v>33.191357679889286</v>
      </c>
      <c r="G33" s="86">
        <f>IFERROR('1i'!G33/'1i'!K33*100, "na")</f>
        <v>320.97913527172057</v>
      </c>
      <c r="H33" s="86">
        <f>IFERROR('1i'!H33/'1i'!L33*100, "na")</f>
        <v>29.900294390077903</v>
      </c>
      <c r="I33" s="87">
        <f>IFERROR('1i'!I33/'1i'!M33*100, "na")</f>
        <v>170.91952312429811</v>
      </c>
      <c r="J33" s="85">
        <f>IFERROR('1i'!J33/'1i'!J33*100,"na")</f>
        <v>100</v>
      </c>
      <c r="K33" s="86">
        <f>IFERROR('1i'!K33/'1i'!K33*100,"na")</f>
        <v>100</v>
      </c>
      <c r="L33" s="86">
        <f>IFERROR('1i'!L33/'1i'!L33*100,"na")</f>
        <v>100</v>
      </c>
      <c r="M33" s="87">
        <f>IFERROR('1i'!M33/'1i'!M33*100,"na")</f>
        <v>100</v>
      </c>
    </row>
    <row r="34" spans="1:13">
      <c r="A34" s="57">
        <f>A33+1</f>
        <v>2009</v>
      </c>
      <c r="B34" s="85">
        <f>IFERROR('1i'!B34/'1i'!J34*100, "na")</f>
        <v>149.28408362240913</v>
      </c>
      <c r="C34" s="86">
        <f>IFERROR('1i'!C34/'1i'!K34*100, "na")</f>
        <v>225.17039620759306</v>
      </c>
      <c r="D34" s="86">
        <f>IFERROR('1i'!D34/'1i'!L34*100, "na")</f>
        <v>62.679397536196447</v>
      </c>
      <c r="E34" s="87">
        <f>IFERROR('1i'!E34/'1i'!M34*100, "na")</f>
        <v>171.01284361437513</v>
      </c>
      <c r="F34" s="85">
        <f>IFERROR('1i'!F34/'1i'!J34*100, "na")</f>
        <v>63.929213095759764</v>
      </c>
      <c r="G34" s="86">
        <f>IFERROR('1i'!G34/'1i'!K34*100, "na")</f>
        <v>353.33444831826188</v>
      </c>
      <c r="H34" s="86">
        <f>IFERROR('1i'!H34/'1i'!L34*100, "na")</f>
        <v>17.505008797572124</v>
      </c>
      <c r="I34" s="87">
        <f>IFERROR('1i'!I34/'1i'!M34*100, "na")</f>
        <v>200.65971585077884</v>
      </c>
      <c r="J34" s="85">
        <f>IFERROR('1i'!J34/'1i'!J34*100,"na")</f>
        <v>100</v>
      </c>
      <c r="K34" s="86">
        <f>IFERROR('1i'!K34/'1i'!K34*100,"na")</f>
        <v>100</v>
      </c>
      <c r="L34" s="86">
        <f>IFERROR('1i'!L34/'1i'!L34*100,"na")</f>
        <v>100</v>
      </c>
      <c r="M34" s="87">
        <f>IFERROR('1i'!M34/'1i'!M34*100,"na")</f>
        <v>100</v>
      </c>
    </row>
    <row r="35" spans="1:13">
      <c r="A35" s="58">
        <f t="shared" ref="A35" si="0">A34+1</f>
        <v>2010</v>
      </c>
      <c r="B35" s="88">
        <f>IFERROR('1i'!B35/'1i'!J35*100, "na")</f>
        <v>133.97711823128847</v>
      </c>
      <c r="C35" s="89">
        <f>IFERROR('1i'!C35/'1i'!K35*100, "na")</f>
        <v>178.23580009978292</v>
      </c>
      <c r="D35" s="89">
        <f>IFERROR('1i'!D35/'1i'!L35*100, "na")</f>
        <v>68.879040070600766</v>
      </c>
      <c r="E35" s="90">
        <f>IFERROR('1i'!E35/'1i'!M35*100, "na")</f>
        <v>142.97936959570757</v>
      </c>
      <c r="F35" s="88">
        <f>IFERROR('1i'!F35/'1i'!J35*100, "na")</f>
        <v>96.234572660341826</v>
      </c>
      <c r="G35" s="89">
        <f>IFERROR('1i'!G35/'1i'!K35*100, "na")</f>
        <v>388.33539902478708</v>
      </c>
      <c r="H35" s="89">
        <f>IFERROR('1i'!H35/'1i'!L35*100, "na")</f>
        <v>32.388234286349025</v>
      </c>
      <c r="I35" s="90">
        <f>IFERROR('1i'!I35/'1i'!M35*100, "na")</f>
        <v>227.22091541114543</v>
      </c>
      <c r="J35" s="88">
        <f>IFERROR('1i'!J35/'1i'!J35*100,"na")</f>
        <v>100</v>
      </c>
      <c r="K35" s="89">
        <f>IFERROR('1i'!K35/'1i'!K35*100,"na")</f>
        <v>100</v>
      </c>
      <c r="L35" s="89">
        <f>IFERROR('1i'!L35/'1i'!L35*100,"na")</f>
        <v>100</v>
      </c>
      <c r="M35" s="90">
        <f>IFERROR('1i'!M35/'1i'!M35*100,"na")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</row>
    <row r="39" spans="1:13">
      <c r="A39" s="28" t="s">
        <v>71</v>
      </c>
      <c r="B39" s="37" t="str">
        <f>IFERROR((POWER(B$25/B15,1/($A$25-$A$15))-1)*100,"na")</f>
        <v>na</v>
      </c>
      <c r="C39" s="86" t="str">
        <f t="shared" ref="C39:I39" si="2">IFERROR((POWER(C$25/C15,1/($A$25-$A$15))-1)*100,"na")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</row>
    <row r="40" spans="1:13">
      <c r="A40" s="28" t="s">
        <v>69</v>
      </c>
      <c r="B40" s="37">
        <f>IFERROR((POWER(B$35/B25,1/($A$35-$A$25))-1)*100,"na")</f>
        <v>11.744248099339227</v>
      </c>
      <c r="C40" s="86">
        <f t="shared" ref="C40:I40" si="3">IFERROR((POWER(C$35/C25,1/($A$35-$A$25))-1)*100,"na")</f>
        <v>-8.9388228922459341</v>
      </c>
      <c r="D40" s="86">
        <f t="shared" si="3"/>
        <v>24.719983168436155</v>
      </c>
      <c r="E40" s="87">
        <f t="shared" si="3"/>
        <v>-2.6654652231783649</v>
      </c>
      <c r="F40" s="85">
        <f t="shared" si="3"/>
        <v>-3.2343002400310961</v>
      </c>
      <c r="G40" s="86">
        <f t="shared" si="3"/>
        <v>3.9007056807326412</v>
      </c>
      <c r="H40" s="86">
        <f t="shared" si="3"/>
        <v>-3.4093709593255084</v>
      </c>
      <c r="I40" s="87">
        <f t="shared" si="3"/>
        <v>3.7149668263098956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I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</row>
    <row r="43" spans="1:13">
      <c r="A43" s="204" t="s">
        <v>97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Q42"/>
  <sheetViews>
    <sheetView zoomScaleNormal="100" workbookViewId="0">
      <selection activeCell="B15" sqref="B15"/>
    </sheetView>
  </sheetViews>
  <sheetFormatPr defaultColWidth="26" defaultRowHeight="15"/>
  <cols>
    <col min="1" max="1" width="9.7109375" style="1" customWidth="1"/>
    <col min="2" max="2" width="20.42578125" style="1" bestFit="1" customWidth="1"/>
    <col min="3" max="3" width="21" style="1" bestFit="1" customWidth="1"/>
    <col min="4" max="4" width="14.5703125" style="1" bestFit="1" customWidth="1"/>
    <col min="5" max="5" width="20.42578125" style="1" bestFit="1" customWidth="1"/>
    <col min="6" max="6" width="21" style="1" bestFit="1" customWidth="1"/>
    <col min="7" max="7" width="14.5703125" style="1" bestFit="1" customWidth="1"/>
    <col min="8" max="16384" width="26" style="1"/>
  </cols>
  <sheetData>
    <row r="1" spans="1:7">
      <c r="A1" s="2" t="s">
        <v>121</v>
      </c>
    </row>
    <row r="2" spans="1:7">
      <c r="A2" s="2"/>
    </row>
    <row r="3" spans="1:7">
      <c r="E3" s="377" t="s">
        <v>76</v>
      </c>
      <c r="F3" s="375"/>
      <c r="G3" s="376"/>
    </row>
    <row r="4" spans="1:7">
      <c r="B4" s="285" t="s">
        <v>118</v>
      </c>
      <c r="C4" s="285" t="s">
        <v>119</v>
      </c>
      <c r="D4" s="286" t="s">
        <v>42</v>
      </c>
      <c r="E4" s="285" t="s">
        <v>118</v>
      </c>
      <c r="F4" s="285" t="s">
        <v>119</v>
      </c>
      <c r="G4" s="286" t="s">
        <v>42</v>
      </c>
    </row>
    <row r="5" spans="1:7">
      <c r="A5" s="19">
        <f t="shared" ref="A5:A9" si="0">A6-1</f>
        <v>1981</v>
      </c>
      <c r="B5" s="312" t="s">
        <v>37</v>
      </c>
      <c r="C5" s="312" t="s">
        <v>37</v>
      </c>
      <c r="D5" s="312" t="s">
        <v>37</v>
      </c>
      <c r="E5" s="324" t="str">
        <f>IFERROR(B5/$D5*100, "na")</f>
        <v>na</v>
      </c>
      <c r="F5" s="324" t="str">
        <f t="shared" ref="F5:F34" si="1">IFERROR(C5/$D5*100, "na")</f>
        <v>na</v>
      </c>
      <c r="G5" s="324" t="str">
        <f t="shared" ref="G5:G34" si="2">IFERROR(D5/$D5*100, "na")</f>
        <v>na</v>
      </c>
    </row>
    <row r="6" spans="1:7">
      <c r="A6" s="20">
        <f t="shared" si="0"/>
        <v>1982</v>
      </c>
      <c r="B6" s="313" t="s">
        <v>37</v>
      </c>
      <c r="C6" s="313" t="s">
        <v>37</v>
      </c>
      <c r="D6" s="313" t="s">
        <v>37</v>
      </c>
      <c r="E6" s="310" t="str">
        <f t="shared" ref="E6:E34" si="3">IFERROR(B6/$D6*100, "na")</f>
        <v>na</v>
      </c>
      <c r="F6" s="310" t="str">
        <f t="shared" si="1"/>
        <v>na</v>
      </c>
      <c r="G6" s="310" t="str">
        <f t="shared" si="2"/>
        <v>na</v>
      </c>
    </row>
    <row r="7" spans="1:7">
      <c r="A7" s="20">
        <f t="shared" si="0"/>
        <v>1983</v>
      </c>
      <c r="B7" s="313" t="s">
        <v>37</v>
      </c>
      <c r="C7" s="313" t="s">
        <v>37</v>
      </c>
      <c r="D7" s="313" t="s">
        <v>37</v>
      </c>
      <c r="E7" s="310" t="str">
        <f t="shared" si="3"/>
        <v>na</v>
      </c>
      <c r="F7" s="310" t="str">
        <f t="shared" si="1"/>
        <v>na</v>
      </c>
      <c r="G7" s="310" t="str">
        <f t="shared" si="2"/>
        <v>na</v>
      </c>
    </row>
    <row r="8" spans="1:7">
      <c r="A8" s="20">
        <f t="shared" si="0"/>
        <v>1984</v>
      </c>
      <c r="B8" s="313" t="s">
        <v>37</v>
      </c>
      <c r="C8" s="313" t="s">
        <v>37</v>
      </c>
      <c r="D8" s="313" t="s">
        <v>37</v>
      </c>
      <c r="E8" s="310" t="str">
        <f t="shared" si="3"/>
        <v>na</v>
      </c>
      <c r="F8" s="310" t="str">
        <f t="shared" si="1"/>
        <v>na</v>
      </c>
      <c r="G8" s="310" t="str">
        <f t="shared" si="2"/>
        <v>na</v>
      </c>
    </row>
    <row r="9" spans="1:7">
      <c r="A9" s="20">
        <f t="shared" si="0"/>
        <v>1985</v>
      </c>
      <c r="B9" s="313" t="s">
        <v>37</v>
      </c>
      <c r="C9" s="313" t="s">
        <v>37</v>
      </c>
      <c r="D9" s="313" t="s">
        <v>37</v>
      </c>
      <c r="E9" s="310" t="str">
        <f t="shared" si="3"/>
        <v>na</v>
      </c>
      <c r="F9" s="310" t="str">
        <f t="shared" si="1"/>
        <v>na</v>
      </c>
      <c r="G9" s="310" t="str">
        <f t="shared" si="2"/>
        <v>na</v>
      </c>
    </row>
    <row r="10" spans="1:7">
      <c r="A10" s="20">
        <f>A11-1</f>
        <v>1986</v>
      </c>
      <c r="B10" s="313" t="s">
        <v>37</v>
      </c>
      <c r="C10" s="313" t="s">
        <v>37</v>
      </c>
      <c r="D10" s="313" t="s">
        <v>37</v>
      </c>
      <c r="E10" s="310" t="str">
        <f t="shared" si="3"/>
        <v>na</v>
      </c>
      <c r="F10" s="310" t="str">
        <f t="shared" si="1"/>
        <v>na</v>
      </c>
      <c r="G10" s="310" t="str">
        <f t="shared" si="2"/>
        <v>na</v>
      </c>
    </row>
    <row r="11" spans="1:7">
      <c r="A11" s="20">
        <v>1987</v>
      </c>
      <c r="B11" s="321">
        <v>92201.2</v>
      </c>
      <c r="C11" s="321">
        <v>174460</v>
      </c>
      <c r="D11" s="313" t="s">
        <v>37</v>
      </c>
      <c r="E11" s="310" t="str">
        <f t="shared" si="3"/>
        <v>na</v>
      </c>
      <c r="F11" s="310" t="str">
        <f t="shared" si="1"/>
        <v>na</v>
      </c>
      <c r="G11" s="310" t="str">
        <f t="shared" si="2"/>
        <v>na</v>
      </c>
    </row>
    <row r="12" spans="1:7">
      <c r="A12" s="20">
        <f t="shared" ref="A12:A34" si="4">A11+1</f>
        <v>1988</v>
      </c>
      <c r="B12" s="321">
        <v>100516</v>
      </c>
      <c r="C12" s="321">
        <v>164918</v>
      </c>
      <c r="D12" s="313" t="s">
        <v>37</v>
      </c>
      <c r="E12" s="310" t="str">
        <f t="shared" si="3"/>
        <v>na</v>
      </c>
      <c r="F12" s="310" t="str">
        <f t="shared" si="1"/>
        <v>na</v>
      </c>
      <c r="G12" s="310" t="str">
        <f t="shared" si="2"/>
        <v>na</v>
      </c>
    </row>
    <row r="13" spans="1:7">
      <c r="A13" s="20">
        <f t="shared" si="4"/>
        <v>1989</v>
      </c>
      <c r="B13" s="321">
        <v>110250.4</v>
      </c>
      <c r="C13" s="321">
        <v>171371.19999999998</v>
      </c>
      <c r="D13" s="313" t="s">
        <v>37</v>
      </c>
      <c r="E13" s="310" t="str">
        <f t="shared" si="3"/>
        <v>na</v>
      </c>
      <c r="F13" s="310" t="str">
        <f t="shared" si="1"/>
        <v>na</v>
      </c>
      <c r="G13" s="310" t="str">
        <f t="shared" si="2"/>
        <v>na</v>
      </c>
    </row>
    <row r="14" spans="1:7">
      <c r="A14" s="20">
        <f t="shared" si="4"/>
        <v>1990</v>
      </c>
      <c r="B14" s="321">
        <v>117364</v>
      </c>
      <c r="C14" s="321">
        <v>138372</v>
      </c>
      <c r="D14" s="313" t="s">
        <v>37</v>
      </c>
      <c r="E14" s="310" t="str">
        <f t="shared" si="3"/>
        <v>na</v>
      </c>
      <c r="F14" s="310" t="str">
        <f t="shared" si="1"/>
        <v>na</v>
      </c>
      <c r="G14" s="310" t="str">
        <f t="shared" si="2"/>
        <v>na</v>
      </c>
    </row>
    <row r="15" spans="1:7">
      <c r="A15" s="20">
        <f t="shared" si="4"/>
        <v>1991</v>
      </c>
      <c r="B15" s="321">
        <v>103755.59999999999</v>
      </c>
      <c r="C15" s="321">
        <v>136749.6</v>
      </c>
      <c r="D15" s="313" t="s">
        <v>37</v>
      </c>
      <c r="E15" s="310" t="str">
        <f t="shared" si="3"/>
        <v>na</v>
      </c>
      <c r="F15" s="310" t="str">
        <f t="shared" si="1"/>
        <v>na</v>
      </c>
      <c r="G15" s="310" t="str">
        <f t="shared" si="2"/>
        <v>na</v>
      </c>
    </row>
    <row r="16" spans="1:7">
      <c r="A16" s="20">
        <f t="shared" si="4"/>
        <v>1992</v>
      </c>
      <c r="B16" s="321">
        <v>98061.599999999991</v>
      </c>
      <c r="C16" s="321">
        <v>129110.80000000002</v>
      </c>
      <c r="D16" s="313" t="s">
        <v>37</v>
      </c>
      <c r="E16" s="310" t="str">
        <f t="shared" si="3"/>
        <v>na</v>
      </c>
      <c r="F16" s="310" t="str">
        <f t="shared" si="1"/>
        <v>na</v>
      </c>
      <c r="G16" s="310" t="str">
        <f t="shared" si="2"/>
        <v>na</v>
      </c>
    </row>
    <row r="17" spans="1:17">
      <c r="A17" s="20">
        <f t="shared" si="4"/>
        <v>1993</v>
      </c>
      <c r="B17" s="321">
        <v>97874.400000000009</v>
      </c>
      <c r="C17" s="321">
        <v>121700.8</v>
      </c>
      <c r="D17" s="313" t="s">
        <v>37</v>
      </c>
      <c r="E17" s="310" t="str">
        <f t="shared" si="3"/>
        <v>na</v>
      </c>
      <c r="F17" s="310" t="str">
        <f t="shared" si="1"/>
        <v>na</v>
      </c>
      <c r="G17" s="310" t="str">
        <f t="shared" si="2"/>
        <v>na</v>
      </c>
    </row>
    <row r="18" spans="1:17">
      <c r="A18" s="20">
        <f t="shared" si="4"/>
        <v>1994</v>
      </c>
      <c r="B18" s="321">
        <v>108914</v>
      </c>
      <c r="C18" s="321">
        <v>132953.60000000001</v>
      </c>
      <c r="D18" s="313" t="s">
        <v>37</v>
      </c>
      <c r="E18" s="310" t="str">
        <f t="shared" si="3"/>
        <v>na</v>
      </c>
      <c r="F18" s="310" t="str">
        <f t="shared" si="1"/>
        <v>na</v>
      </c>
      <c r="G18" s="310" t="str">
        <f t="shared" si="2"/>
        <v>na</v>
      </c>
      <c r="N18" s="1">
        <v>52</v>
      </c>
    </row>
    <row r="19" spans="1:17">
      <c r="A19" s="20">
        <f t="shared" si="4"/>
        <v>1995</v>
      </c>
      <c r="B19" s="321">
        <v>94837.599999999991</v>
      </c>
      <c r="C19" s="321">
        <v>116194</v>
      </c>
      <c r="D19" s="313" t="s">
        <v>37</v>
      </c>
      <c r="E19" s="310" t="str">
        <f t="shared" si="3"/>
        <v>na</v>
      </c>
      <c r="F19" s="310" t="str">
        <f t="shared" si="1"/>
        <v>na</v>
      </c>
      <c r="G19" s="310" t="str">
        <f t="shared" si="2"/>
        <v>na</v>
      </c>
    </row>
    <row r="20" spans="1:17">
      <c r="A20" s="20">
        <f t="shared" si="4"/>
        <v>1996</v>
      </c>
      <c r="B20" s="321">
        <v>106490.8</v>
      </c>
      <c r="C20" s="321">
        <v>103818</v>
      </c>
      <c r="D20" s="313" t="s">
        <v>37</v>
      </c>
      <c r="E20" s="310" t="str">
        <f t="shared" si="3"/>
        <v>na</v>
      </c>
      <c r="F20" s="310" t="str">
        <f t="shared" si="1"/>
        <v>na</v>
      </c>
      <c r="G20" s="310" t="str">
        <f t="shared" si="2"/>
        <v>na</v>
      </c>
    </row>
    <row r="21" spans="1:17">
      <c r="A21" s="20">
        <f t="shared" si="4"/>
        <v>1997</v>
      </c>
      <c r="B21" s="321">
        <v>109200</v>
      </c>
      <c r="C21" s="321">
        <v>93038.400000000009</v>
      </c>
      <c r="D21" s="313">
        <v>20416984</v>
      </c>
      <c r="E21" s="310">
        <f t="shared" si="3"/>
        <v>0.53484882977818859</v>
      </c>
      <c r="F21" s="310">
        <f t="shared" si="1"/>
        <v>0.45569120297101673</v>
      </c>
      <c r="G21" s="318">
        <f t="shared" si="2"/>
        <v>100</v>
      </c>
      <c r="K21" s="113">
        <v>46.098999999999997</v>
      </c>
      <c r="L21" s="113">
        <v>11203.1</v>
      </c>
      <c r="N21" s="288">
        <v>109200000</v>
      </c>
      <c r="O21" s="112">
        <v>55414</v>
      </c>
      <c r="P21" s="1">
        <f t="shared" ref="P21:P31" si="5">N21/O21</f>
        <v>1970.621142671527</v>
      </c>
      <c r="Q21" s="287">
        <f>P21/52</f>
        <v>37.896560435990907</v>
      </c>
    </row>
    <row r="22" spans="1:17">
      <c r="A22" s="20">
        <f t="shared" si="4"/>
        <v>1998</v>
      </c>
      <c r="B22" s="321">
        <v>117910</v>
      </c>
      <c r="C22" s="321">
        <v>108815.2</v>
      </c>
      <c r="D22" s="313">
        <v>20959552</v>
      </c>
      <c r="E22" s="310">
        <f t="shared" si="3"/>
        <v>0.56255973410118698</v>
      </c>
      <c r="F22" s="310">
        <f t="shared" si="1"/>
        <v>0.51916758526136431</v>
      </c>
      <c r="G22" s="318">
        <f t="shared" si="2"/>
        <v>100</v>
      </c>
      <c r="K22" s="113">
        <v>46.323</v>
      </c>
      <c r="L22" s="113">
        <v>11521.205</v>
      </c>
      <c r="N22" s="288">
        <v>117910000</v>
      </c>
      <c r="O22" s="112">
        <v>60367</v>
      </c>
      <c r="P22" s="1">
        <f t="shared" si="5"/>
        <v>1953.2194742160452</v>
      </c>
      <c r="Q22" s="287">
        <f t="shared" ref="Q22:Q31" si="6">P22/52</f>
        <v>37.561912965693175</v>
      </c>
    </row>
    <row r="23" spans="1:17">
      <c r="A23" s="20">
        <f t="shared" si="4"/>
        <v>1999</v>
      </c>
      <c r="B23" s="321">
        <v>122891.6</v>
      </c>
      <c r="C23" s="321">
        <v>99465.599999999991</v>
      </c>
      <c r="D23" s="313">
        <v>21567683</v>
      </c>
      <c r="E23" s="310">
        <f t="shared" si="3"/>
        <v>0.56979509574579712</v>
      </c>
      <c r="F23" s="310">
        <f t="shared" si="1"/>
        <v>0.46117888509396204</v>
      </c>
      <c r="G23" s="318">
        <f t="shared" si="2"/>
        <v>100</v>
      </c>
      <c r="K23" s="113">
        <v>45.988999999999997</v>
      </c>
      <c r="L23" s="113">
        <v>11881.91</v>
      </c>
      <c r="N23" s="288">
        <v>122891600</v>
      </c>
      <c r="O23" s="112">
        <v>62400</v>
      </c>
      <c r="P23" s="1">
        <f t="shared" si="5"/>
        <v>1969.4166666666667</v>
      </c>
      <c r="Q23" s="287">
        <f t="shared" si="6"/>
        <v>37.873397435897438</v>
      </c>
    </row>
    <row r="24" spans="1:17">
      <c r="A24" s="20">
        <f t="shared" si="4"/>
        <v>2000</v>
      </c>
      <c r="B24" s="321">
        <v>120198</v>
      </c>
      <c r="C24" s="321">
        <v>87890.400000000009</v>
      </c>
      <c r="D24" s="313">
        <v>22083149</v>
      </c>
      <c r="E24" s="310">
        <f t="shared" si="3"/>
        <v>0.54429737353128393</v>
      </c>
      <c r="F24" s="310">
        <f t="shared" si="1"/>
        <v>0.39799758630438087</v>
      </c>
      <c r="G24" s="318">
        <f t="shared" si="2"/>
        <v>100</v>
      </c>
      <c r="K24" s="113">
        <v>47.274999999999999</v>
      </c>
      <c r="L24" s="113">
        <v>12184.945</v>
      </c>
      <c r="N24" s="288">
        <v>120198000</v>
      </c>
      <c r="O24" s="112">
        <v>62751</v>
      </c>
      <c r="P24" s="1">
        <f t="shared" si="5"/>
        <v>1915.4754505904289</v>
      </c>
      <c r="Q24" s="287">
        <f t="shared" si="6"/>
        <v>36.836066357508244</v>
      </c>
    </row>
    <row r="25" spans="1:17">
      <c r="A25" s="20">
        <f t="shared" si="4"/>
        <v>2001</v>
      </c>
      <c r="B25" s="321">
        <v>120338.4</v>
      </c>
      <c r="C25" s="321">
        <v>87921.599999999991</v>
      </c>
      <c r="D25" s="313">
        <v>22151741</v>
      </c>
      <c r="E25" s="310">
        <f t="shared" si="3"/>
        <v>0.54324578822043823</v>
      </c>
      <c r="F25" s="310">
        <f t="shared" si="1"/>
        <v>0.39690604905501553</v>
      </c>
      <c r="G25" s="318">
        <f t="shared" si="2"/>
        <v>100</v>
      </c>
      <c r="K25" s="113">
        <v>46.966000000000001</v>
      </c>
      <c r="L25" s="113">
        <v>12291.565000000001</v>
      </c>
      <c r="N25" s="288">
        <v>120338400</v>
      </c>
      <c r="O25" s="112">
        <v>61980</v>
      </c>
      <c r="P25" s="1">
        <f t="shared" si="5"/>
        <v>1941.568247821878</v>
      </c>
      <c r="Q25" s="287">
        <f t="shared" si="6"/>
        <v>37.337850919651501</v>
      </c>
    </row>
    <row r="26" spans="1:17">
      <c r="A26" s="20">
        <f t="shared" si="4"/>
        <v>2002</v>
      </c>
      <c r="B26" s="321">
        <v>114160.8</v>
      </c>
      <c r="C26" s="321">
        <v>89398.400000000009</v>
      </c>
      <c r="D26" s="313">
        <v>22397236</v>
      </c>
      <c r="E26" s="310">
        <f t="shared" si="3"/>
        <v>0.5097093230611135</v>
      </c>
      <c r="F26" s="310">
        <f t="shared" si="1"/>
        <v>0.39914925216665131</v>
      </c>
      <c r="G26" s="318">
        <f t="shared" si="2"/>
        <v>100</v>
      </c>
      <c r="K26" s="113">
        <v>46.843000000000004</v>
      </c>
      <c r="L26" s="113">
        <v>12580.195</v>
      </c>
      <c r="N26" s="288">
        <v>114160800</v>
      </c>
      <c r="O26" s="112">
        <v>57562</v>
      </c>
      <c r="P26" s="1">
        <f t="shared" si="5"/>
        <v>1983.2667384732983</v>
      </c>
      <c r="Q26" s="287">
        <f t="shared" si="6"/>
        <v>38.139744970640351</v>
      </c>
    </row>
    <row r="27" spans="1:17">
      <c r="A27" s="20">
        <f t="shared" si="4"/>
        <v>2003</v>
      </c>
      <c r="B27" s="321">
        <v>115788.4</v>
      </c>
      <c r="C27" s="321">
        <v>91187.199999999997</v>
      </c>
      <c r="D27" s="313">
        <v>22693731</v>
      </c>
      <c r="E27" s="310">
        <f t="shared" si="3"/>
        <v>0.51022196394237684</v>
      </c>
      <c r="F27" s="310">
        <f t="shared" si="1"/>
        <v>0.40181669554468591</v>
      </c>
      <c r="G27" s="318">
        <f t="shared" si="2"/>
        <v>100</v>
      </c>
      <c r="K27" s="113">
        <v>45.52</v>
      </c>
      <c r="L27" s="113">
        <v>12816.42</v>
      </c>
      <c r="N27" s="288">
        <v>115788400</v>
      </c>
      <c r="O27" s="112">
        <v>60492</v>
      </c>
      <c r="P27" s="1">
        <f t="shared" si="5"/>
        <v>1914.1109568207366</v>
      </c>
      <c r="Q27" s="287">
        <f t="shared" si="6"/>
        <v>36.809826092706473</v>
      </c>
    </row>
    <row r="28" spans="1:17">
      <c r="A28" s="20">
        <f t="shared" si="4"/>
        <v>2004</v>
      </c>
      <c r="B28" s="321">
        <v>97011.199999999997</v>
      </c>
      <c r="C28" s="321">
        <v>85280</v>
      </c>
      <c r="D28" s="313">
        <v>23363248</v>
      </c>
      <c r="E28" s="310">
        <f t="shared" si="3"/>
        <v>0.4152299372073609</v>
      </c>
      <c r="F28" s="310">
        <f t="shared" si="1"/>
        <v>0.36501774068400078</v>
      </c>
      <c r="G28" s="318">
        <f t="shared" si="2"/>
        <v>100</v>
      </c>
      <c r="K28" s="113">
        <v>43.771000000000001</v>
      </c>
      <c r="L28" s="113">
        <v>13046.07</v>
      </c>
      <c r="N28" s="288">
        <v>97011200</v>
      </c>
      <c r="O28" s="112">
        <v>59559</v>
      </c>
      <c r="P28" s="1">
        <f t="shared" si="5"/>
        <v>1628.8251985426216</v>
      </c>
      <c r="Q28" s="287">
        <f t="shared" si="6"/>
        <v>31.323561510435031</v>
      </c>
    </row>
    <row r="29" spans="1:17">
      <c r="A29" s="20">
        <f t="shared" si="4"/>
        <v>2005</v>
      </c>
      <c r="B29" s="321">
        <v>102008.40000000001</v>
      </c>
      <c r="C29" s="321">
        <v>78197.599999999991</v>
      </c>
      <c r="D29" s="313">
        <v>23501978</v>
      </c>
      <c r="E29" s="310">
        <f t="shared" si="3"/>
        <v>0.43404176448467446</v>
      </c>
      <c r="F29" s="310">
        <f t="shared" si="1"/>
        <v>0.33272773891627327</v>
      </c>
      <c r="G29" s="318">
        <f t="shared" si="2"/>
        <v>100</v>
      </c>
      <c r="K29" s="113">
        <v>43.308</v>
      </c>
      <c r="L29" s="113">
        <v>13231.805</v>
      </c>
      <c r="N29" s="288">
        <v>102008400</v>
      </c>
      <c r="O29" s="112">
        <v>60546</v>
      </c>
      <c r="P29" s="1">
        <f t="shared" si="5"/>
        <v>1684.8082449707661</v>
      </c>
      <c r="Q29" s="287">
        <f t="shared" si="6"/>
        <v>32.400158557130119</v>
      </c>
    </row>
    <row r="30" spans="1:17">
      <c r="A30" s="20">
        <f t="shared" si="4"/>
        <v>2006</v>
      </c>
      <c r="B30" s="321">
        <v>102003.2</v>
      </c>
      <c r="C30" s="321">
        <v>80839.199999999997</v>
      </c>
      <c r="D30" s="313">
        <v>23832464</v>
      </c>
      <c r="E30" s="310">
        <f t="shared" si="3"/>
        <v>0.42800106610881694</v>
      </c>
      <c r="F30" s="310">
        <f t="shared" si="1"/>
        <v>0.33919782696409401</v>
      </c>
      <c r="G30" s="318">
        <f t="shared" si="2"/>
        <v>100</v>
      </c>
      <c r="K30" s="113">
        <v>42.284999999999997</v>
      </c>
      <c r="L30" s="113">
        <v>13431.99</v>
      </c>
      <c r="N30" s="288">
        <v>102003200</v>
      </c>
      <c r="O30" s="112">
        <v>61143</v>
      </c>
      <c r="P30" s="1">
        <f t="shared" si="5"/>
        <v>1668.2727376805194</v>
      </c>
      <c r="Q30" s="287">
        <f t="shared" si="6"/>
        <v>32.082168032317682</v>
      </c>
    </row>
    <row r="31" spans="1:17">
      <c r="A31" s="20">
        <f t="shared" si="4"/>
        <v>2007</v>
      </c>
      <c r="B31" s="321">
        <v>105279.2</v>
      </c>
      <c r="C31" s="321">
        <v>74880</v>
      </c>
      <c r="D31" s="313">
        <v>24332936</v>
      </c>
      <c r="E31" s="310">
        <f t="shared" si="3"/>
        <v>0.43266131140113956</v>
      </c>
      <c r="F31" s="310">
        <f t="shared" si="1"/>
        <v>0.30773105226594932</v>
      </c>
      <c r="G31" s="318">
        <f t="shared" si="2"/>
        <v>100</v>
      </c>
      <c r="K31" s="113">
        <v>41.454000000000001</v>
      </c>
      <c r="L31" s="113">
        <v>13720.955</v>
      </c>
      <c r="N31" s="288">
        <v>105279200</v>
      </c>
      <c r="O31" s="112">
        <v>68436</v>
      </c>
      <c r="P31" s="1">
        <f t="shared" si="5"/>
        <v>1538.3599275235256</v>
      </c>
      <c r="Q31" s="287">
        <f t="shared" si="6"/>
        <v>29.583844760067798</v>
      </c>
    </row>
    <row r="32" spans="1:17">
      <c r="A32" s="20">
        <f t="shared" si="4"/>
        <v>2008</v>
      </c>
      <c r="B32" s="313" t="s">
        <v>37</v>
      </c>
      <c r="C32" s="313" t="s">
        <v>37</v>
      </c>
      <c r="D32" s="313">
        <v>24457544</v>
      </c>
      <c r="E32" s="310" t="str">
        <f t="shared" si="3"/>
        <v>na</v>
      </c>
      <c r="F32" s="310" t="str">
        <f t="shared" si="1"/>
        <v>na</v>
      </c>
      <c r="G32" s="318">
        <f t="shared" si="2"/>
        <v>100</v>
      </c>
    </row>
    <row r="33" spans="1:14">
      <c r="A33" s="20">
        <f t="shared" si="4"/>
        <v>2009</v>
      </c>
      <c r="B33" s="313" t="s">
        <v>37</v>
      </c>
      <c r="C33" s="313" t="s">
        <v>37</v>
      </c>
      <c r="D33" s="313">
        <v>23365825</v>
      </c>
      <c r="E33" s="310" t="str">
        <f t="shared" si="3"/>
        <v>na</v>
      </c>
      <c r="F33" s="310" t="str">
        <f t="shared" si="1"/>
        <v>na</v>
      </c>
      <c r="G33" s="318">
        <f t="shared" si="2"/>
        <v>100</v>
      </c>
    </row>
    <row r="34" spans="1:14">
      <c r="A34" s="21">
        <f t="shared" si="4"/>
        <v>2010</v>
      </c>
      <c r="B34" s="314" t="s">
        <v>37</v>
      </c>
      <c r="C34" s="314" t="s">
        <v>37</v>
      </c>
      <c r="D34" s="314">
        <v>23812295</v>
      </c>
      <c r="E34" s="325" t="str">
        <f t="shared" si="3"/>
        <v>na</v>
      </c>
      <c r="F34" s="325" t="str">
        <f t="shared" si="1"/>
        <v>na</v>
      </c>
      <c r="G34" s="319">
        <f t="shared" si="2"/>
        <v>100</v>
      </c>
    </row>
    <row r="36" spans="1:14">
      <c r="A36" s="384" t="s">
        <v>52</v>
      </c>
      <c r="B36" s="385"/>
      <c r="C36" s="385"/>
      <c r="D36" s="386"/>
      <c r="E36" s="389" t="s">
        <v>77</v>
      </c>
      <c r="F36" s="390"/>
      <c r="G36" s="144"/>
      <c r="H36" s="144"/>
      <c r="I36" s="144"/>
      <c r="J36" s="144"/>
      <c r="K36" s="144"/>
      <c r="L36" s="144"/>
      <c r="M36" s="144"/>
      <c r="N36" s="144"/>
    </row>
    <row r="37" spans="1:14">
      <c r="A37" s="27" t="s">
        <v>53</v>
      </c>
      <c r="B37" s="315" t="str">
        <f>IFERROR((POWER(B14/B5,1/($A14-$A5))-1)*100, "na")</f>
        <v>na</v>
      </c>
      <c r="C37" s="315" t="str">
        <f t="shared" ref="C37:D37" si="7">IFERROR((POWER(C14/C5,1/($A14-$A5))-1)*100, "na")</f>
        <v>na</v>
      </c>
      <c r="D37" s="315" t="str">
        <f t="shared" si="7"/>
        <v>na</v>
      </c>
      <c r="E37" s="315" t="str">
        <f>IFERROR(E14-E5,"na")</f>
        <v>na</v>
      </c>
      <c r="F37" s="315" t="str">
        <f>IFERROR(F14-F5,"na")</f>
        <v>na</v>
      </c>
      <c r="G37" s="86"/>
      <c r="H37" s="86"/>
      <c r="I37" s="86"/>
      <c r="J37" s="86"/>
      <c r="K37" s="86"/>
      <c r="L37" s="86"/>
      <c r="M37" s="86"/>
      <c r="N37" s="86"/>
    </row>
    <row r="38" spans="1:14">
      <c r="A38" s="28" t="s">
        <v>71</v>
      </c>
      <c r="B38" s="316">
        <f>IFERROR((POWER(B$24/B14,1/($A$24-$A$14))-1)*100,"na")</f>
        <v>0.23888654641410767</v>
      </c>
      <c r="C38" s="318">
        <f t="shared" ref="C38:D38" si="8">IFERROR((POWER(C$24/C14,1/($A$24-$A$14))-1)*100,"na")</f>
        <v>-4.4370996293569442</v>
      </c>
      <c r="D38" s="318" t="str">
        <f t="shared" si="8"/>
        <v>na</v>
      </c>
      <c r="E38" s="318" t="str">
        <f>IFERROR(E24-E14,"na")</f>
        <v>na</v>
      </c>
      <c r="F38" s="318" t="str">
        <f>IFERROR(F24-F14,"na")</f>
        <v>na</v>
      </c>
      <c r="G38" s="86"/>
      <c r="H38" s="86"/>
      <c r="I38" s="86"/>
      <c r="J38" s="86"/>
      <c r="K38" s="86"/>
      <c r="L38" s="86"/>
      <c r="M38" s="86"/>
      <c r="N38" s="86"/>
    </row>
    <row r="39" spans="1:14">
      <c r="A39" s="28" t="s">
        <v>69</v>
      </c>
      <c r="B39" s="316" t="str">
        <f>IFERROR((POWER(B$36/B24,1/($A$36-$A$24))-1)*100,"na")</f>
        <v>na</v>
      </c>
      <c r="C39" s="318" t="str">
        <f t="shared" ref="C39:D39" si="9">IFERROR((POWER(C$36/C24,1/($A$36-$A$24))-1)*100,"na")</f>
        <v>na</v>
      </c>
      <c r="D39" s="318" t="str">
        <f t="shared" si="9"/>
        <v>na</v>
      </c>
      <c r="E39" s="318" t="str">
        <f>IFERROR(E34-E24,"na")</f>
        <v>na</v>
      </c>
      <c r="F39" s="318" t="str">
        <f>IFERROR(F34-F24,"na")</f>
        <v>na</v>
      </c>
      <c r="G39" s="86"/>
      <c r="H39" s="86"/>
      <c r="I39" s="86"/>
      <c r="J39" s="86"/>
      <c r="K39" s="86"/>
      <c r="L39" s="86"/>
      <c r="M39" s="86"/>
      <c r="N39" s="86"/>
    </row>
    <row r="40" spans="1:14">
      <c r="A40" s="29" t="s">
        <v>70</v>
      </c>
      <c r="B40" s="317" t="str">
        <f>IFERROR((POWER(B34/B5,1/($A$34-$A$5))-1)*100, "na")</f>
        <v>na</v>
      </c>
      <c r="C40" s="319" t="str">
        <f t="shared" ref="C40:D40" si="10">IFERROR((POWER(C34/C5,1/($A$34-$A$5))-1)*100, "na")</f>
        <v>na</v>
      </c>
      <c r="D40" s="319" t="str">
        <f t="shared" si="10"/>
        <v>na</v>
      </c>
      <c r="E40" s="319" t="str">
        <f>IFERROR(E34-E5,"na")</f>
        <v>na</v>
      </c>
      <c r="F40" s="319" t="str">
        <f>IFERROR(F34-F5,"na")</f>
        <v>na</v>
      </c>
      <c r="G40" s="86"/>
      <c r="H40" s="86"/>
      <c r="I40" s="86"/>
      <c r="J40" s="86"/>
      <c r="K40" s="86"/>
      <c r="L40" s="86"/>
      <c r="M40" s="86"/>
      <c r="N40" s="86"/>
    </row>
    <row r="42" spans="1:14">
      <c r="A42" s="1" t="s">
        <v>120</v>
      </c>
    </row>
  </sheetData>
  <mergeCells count="3">
    <mergeCell ref="A36:D36"/>
    <mergeCell ref="E36:F36"/>
    <mergeCell ref="E3:G3"/>
  </mergeCells>
  <pageMargins left="0.7" right="0.7" top="0.75" bottom="0.75" header="0.3" footer="0.3"/>
  <pageSetup scale="7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M43"/>
  <sheetViews>
    <sheetView zoomScaleNormal="100" workbookViewId="0">
      <selection sqref="A1:H2"/>
    </sheetView>
  </sheetViews>
  <sheetFormatPr defaultRowHeight="15"/>
  <cols>
    <col min="1" max="1" width="10.85546875" customWidth="1"/>
    <col min="2" max="2" width="12.42578125" customWidth="1"/>
    <col min="4" max="4" width="19" customWidth="1"/>
    <col min="6" max="6" width="12.140625" customWidth="1"/>
    <col min="8" max="8" width="19.28515625" customWidth="1"/>
    <col min="10" max="10" width="11.42578125" customWidth="1"/>
    <col min="12" max="12" width="18.140625" customWidth="1"/>
  </cols>
  <sheetData>
    <row r="1" spans="1:13">
      <c r="A1" s="387" t="s">
        <v>176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IFERROR('1a'!B6/'1k'!$B5*1000,"na")</f>
        <v>na</v>
      </c>
      <c r="C6" s="214" t="str">
        <f>IFERROR('1a'!C6/'1k'!$B5*1000,"na")</f>
        <v>na</v>
      </c>
      <c r="D6" s="214" t="str">
        <f>IFERROR('1a'!D6/'1k'!$B5*1000,"na")</f>
        <v>na</v>
      </c>
      <c r="E6" s="237" t="str">
        <f>IFERROR('1a'!E6/'1k'!$B5*1000,"na")</f>
        <v>na</v>
      </c>
      <c r="F6" s="236" t="str">
        <f>IFERROR('1a'!F6/'1k'!$C5*1000,"na")</f>
        <v>na</v>
      </c>
      <c r="G6" s="214" t="str">
        <f>IFERROR('1a'!G6/'1k'!$C5*1000,"na")</f>
        <v>na</v>
      </c>
      <c r="H6" s="214" t="str">
        <f>IFERROR('1a'!H6/'1k'!$C5*1000,"na")</f>
        <v>na</v>
      </c>
      <c r="I6" s="237" t="str">
        <f>IFERROR('1a'!I6/'1k'!$C5*1000,"na")</f>
        <v>na</v>
      </c>
      <c r="J6" s="236" t="str">
        <f>IFERROR('1a'!J6/'1k'!$D5*1000,"na")</f>
        <v>na</v>
      </c>
      <c r="K6" s="214" t="str">
        <f>IFERROR('1a'!K6/'1k'!$D5*1000,"na")</f>
        <v>na</v>
      </c>
      <c r="L6" s="214" t="str">
        <f>IFERROR('1a'!L6/'1k'!$D5*1000,"na")</f>
        <v>na</v>
      </c>
      <c r="M6" s="237" t="str">
        <f>IFERROR('1a'!M6/'1k'!$D5*1000,"na")</f>
        <v>na</v>
      </c>
    </row>
    <row r="7" spans="1:13">
      <c r="A7" s="185">
        <v>1982</v>
      </c>
      <c r="B7" s="216" t="str">
        <f>IFERROR('1a'!B7/'1k'!$B6*1000,"na")</f>
        <v>na</v>
      </c>
      <c r="C7" s="143" t="str">
        <f>IFERROR('1a'!C7/'1k'!$B6*1000,"na")</f>
        <v>na</v>
      </c>
      <c r="D7" s="143" t="str">
        <f>IFERROR('1a'!D7/'1k'!$B6*1000,"na")</f>
        <v>na</v>
      </c>
      <c r="E7" s="217" t="str">
        <f>IFERROR('1a'!E7/'1k'!$B6*1000,"na")</f>
        <v>na</v>
      </c>
      <c r="F7" s="216" t="str">
        <f>IFERROR('1a'!F7/'1k'!$C6*1000,"na")</f>
        <v>na</v>
      </c>
      <c r="G7" s="143" t="str">
        <f>IFERROR('1a'!G7/'1k'!$C6*1000,"na")</f>
        <v>na</v>
      </c>
      <c r="H7" s="143" t="str">
        <f>IFERROR('1a'!H7/'1k'!$C6*1000,"na")</f>
        <v>na</v>
      </c>
      <c r="I7" s="217" t="str">
        <f>IFERROR('1a'!I7/'1k'!$C6*1000,"na")</f>
        <v>na</v>
      </c>
      <c r="J7" s="216" t="str">
        <f>IFERROR('1a'!J7/'1k'!$D6*1000,"na")</f>
        <v>na</v>
      </c>
      <c r="K7" s="143" t="str">
        <f>IFERROR('1a'!K7/'1k'!$D6*1000,"na")</f>
        <v>na</v>
      </c>
      <c r="L7" s="143" t="str">
        <f>IFERROR('1a'!L7/'1k'!$D6*1000,"na")</f>
        <v>na</v>
      </c>
      <c r="M7" s="217" t="str">
        <f>IFERROR('1a'!M7/'1k'!$D6*1000,"na")</f>
        <v>na</v>
      </c>
    </row>
    <row r="8" spans="1:13">
      <c r="A8" s="185">
        <v>1983</v>
      </c>
      <c r="B8" s="216" t="str">
        <f>IFERROR('1a'!B8/'1k'!$B7*1000,"na")</f>
        <v>na</v>
      </c>
      <c r="C8" s="143" t="str">
        <f>IFERROR('1a'!C8/'1k'!$B7*1000,"na")</f>
        <v>na</v>
      </c>
      <c r="D8" s="143" t="str">
        <f>IFERROR('1a'!D8/'1k'!$B7*1000,"na")</f>
        <v>na</v>
      </c>
      <c r="E8" s="217" t="str">
        <f>IFERROR('1a'!E8/'1k'!$B7*1000,"na")</f>
        <v>na</v>
      </c>
      <c r="F8" s="216" t="str">
        <f>IFERROR('1a'!F8/'1k'!$C7*1000,"na")</f>
        <v>na</v>
      </c>
      <c r="G8" s="143" t="str">
        <f>IFERROR('1a'!G8/'1k'!$C7*1000,"na")</f>
        <v>na</v>
      </c>
      <c r="H8" s="143" t="str">
        <f>IFERROR('1a'!H8/'1k'!$C7*1000,"na")</f>
        <v>na</v>
      </c>
      <c r="I8" s="217" t="str">
        <f>IFERROR('1a'!I8/'1k'!$C7*1000,"na")</f>
        <v>na</v>
      </c>
      <c r="J8" s="216" t="str">
        <f>IFERROR('1a'!J8/'1k'!$D7*1000,"na")</f>
        <v>na</v>
      </c>
      <c r="K8" s="143" t="str">
        <f>IFERROR('1a'!K8/'1k'!$D7*1000,"na")</f>
        <v>na</v>
      </c>
      <c r="L8" s="143" t="str">
        <f>IFERROR('1a'!L8/'1k'!$D7*1000,"na")</f>
        <v>na</v>
      </c>
      <c r="M8" s="217" t="str">
        <f>IFERROR('1a'!M8/'1k'!$D7*1000,"na")</f>
        <v>na</v>
      </c>
    </row>
    <row r="9" spans="1:13">
      <c r="A9" s="185">
        <v>1984</v>
      </c>
      <c r="B9" s="216" t="str">
        <f>IFERROR('1a'!B9/'1k'!$B8*1000,"na")</f>
        <v>na</v>
      </c>
      <c r="C9" s="143" t="str">
        <f>IFERROR('1a'!C9/'1k'!$B8*1000,"na")</f>
        <v>na</v>
      </c>
      <c r="D9" s="143" t="str">
        <f>IFERROR('1a'!D9/'1k'!$B8*1000,"na")</f>
        <v>na</v>
      </c>
      <c r="E9" s="217" t="str">
        <f>IFERROR('1a'!E9/'1k'!$B8*1000,"na")</f>
        <v>na</v>
      </c>
      <c r="F9" s="216" t="str">
        <f>IFERROR('1a'!F9/'1k'!$C8*1000,"na")</f>
        <v>na</v>
      </c>
      <c r="G9" s="143" t="str">
        <f>IFERROR('1a'!G9/'1k'!$C8*1000,"na")</f>
        <v>na</v>
      </c>
      <c r="H9" s="143" t="str">
        <f>IFERROR('1a'!H9/'1k'!$C8*1000,"na")</f>
        <v>na</v>
      </c>
      <c r="I9" s="217" t="str">
        <f>IFERROR('1a'!I9/'1k'!$C8*1000,"na")</f>
        <v>na</v>
      </c>
      <c r="J9" s="216" t="str">
        <f>IFERROR('1a'!J9/'1k'!$D8*1000,"na")</f>
        <v>na</v>
      </c>
      <c r="K9" s="143" t="str">
        <f>IFERROR('1a'!K9/'1k'!$D8*1000,"na")</f>
        <v>na</v>
      </c>
      <c r="L9" s="143" t="str">
        <f>IFERROR('1a'!L9/'1k'!$D8*1000,"na")</f>
        <v>na</v>
      </c>
      <c r="M9" s="217" t="str">
        <f>IFERROR('1a'!M9/'1k'!$D8*1000,"na")</f>
        <v>na</v>
      </c>
    </row>
    <row r="10" spans="1:13">
      <c r="A10" s="185">
        <v>1985</v>
      </c>
      <c r="B10" s="216" t="str">
        <f>IFERROR('1a'!B10/'1k'!$B9*1000,"na")</f>
        <v>na</v>
      </c>
      <c r="C10" s="143" t="str">
        <f>IFERROR('1a'!C10/'1k'!$B9*1000,"na")</f>
        <v>na</v>
      </c>
      <c r="D10" s="143" t="str">
        <f>IFERROR('1a'!D10/'1k'!$B9*1000,"na")</f>
        <v>na</v>
      </c>
      <c r="E10" s="217" t="str">
        <f>IFERROR('1a'!E10/'1k'!$B9*1000,"na")</f>
        <v>na</v>
      </c>
      <c r="F10" s="216" t="str">
        <f>IFERROR('1a'!F10/'1k'!$C9*1000,"na")</f>
        <v>na</v>
      </c>
      <c r="G10" s="143" t="str">
        <f>IFERROR('1a'!G10/'1k'!$C9*1000,"na")</f>
        <v>na</v>
      </c>
      <c r="H10" s="143" t="str">
        <f>IFERROR('1a'!H10/'1k'!$C9*1000,"na")</f>
        <v>na</v>
      </c>
      <c r="I10" s="217" t="str">
        <f>IFERROR('1a'!I10/'1k'!$C9*1000,"na")</f>
        <v>na</v>
      </c>
      <c r="J10" s="216" t="str">
        <f>IFERROR('1a'!J10/'1k'!$D9*1000,"na")</f>
        <v>na</v>
      </c>
      <c r="K10" s="143" t="str">
        <f>IFERROR('1a'!K10/'1k'!$D9*1000,"na")</f>
        <v>na</v>
      </c>
      <c r="L10" s="143" t="str">
        <f>IFERROR('1a'!L10/'1k'!$D9*1000,"na")</f>
        <v>na</v>
      </c>
      <c r="M10" s="217" t="str">
        <f>IFERROR('1a'!M10/'1k'!$D9*1000,"na")</f>
        <v>na</v>
      </c>
    </row>
    <row r="11" spans="1:13">
      <c r="A11" s="185">
        <v>1986</v>
      </c>
      <c r="B11" s="216" t="str">
        <f>IFERROR('1a'!B11/'1k'!$B10*1000,"na")</f>
        <v>na</v>
      </c>
      <c r="C11" s="143" t="str">
        <f>IFERROR('1a'!C11/'1k'!$B10*1000,"na")</f>
        <v>na</v>
      </c>
      <c r="D11" s="143" t="str">
        <f>IFERROR('1a'!D11/'1k'!$B10*1000,"na")</f>
        <v>na</v>
      </c>
      <c r="E11" s="217" t="str">
        <f>IFERROR('1a'!E11/'1k'!$B10*1000,"na")</f>
        <v>na</v>
      </c>
      <c r="F11" s="216" t="str">
        <f>IFERROR('1a'!F11/'1k'!$C10*1000,"na")</f>
        <v>na</v>
      </c>
      <c r="G11" s="143" t="str">
        <f>IFERROR('1a'!G11/'1k'!$C10*1000,"na")</f>
        <v>na</v>
      </c>
      <c r="H11" s="143" t="str">
        <f>IFERROR('1a'!H11/'1k'!$C10*1000,"na")</f>
        <v>na</v>
      </c>
      <c r="I11" s="217" t="str">
        <f>IFERROR('1a'!I11/'1k'!$C10*1000,"na")</f>
        <v>na</v>
      </c>
      <c r="J11" s="216" t="str">
        <f>IFERROR('1a'!J11/'1k'!$D10*1000,"na")</f>
        <v>na</v>
      </c>
      <c r="K11" s="143" t="str">
        <f>IFERROR('1a'!K11/'1k'!$D10*1000,"na")</f>
        <v>na</v>
      </c>
      <c r="L11" s="143" t="str">
        <f>IFERROR('1a'!L11/'1k'!$D10*1000,"na")</f>
        <v>na</v>
      </c>
      <c r="M11" s="217" t="str">
        <f>IFERROR('1a'!M11/'1k'!$D10*1000,"na")</f>
        <v>na</v>
      </c>
    </row>
    <row r="12" spans="1:13">
      <c r="A12" s="185">
        <v>1987</v>
      </c>
      <c r="B12" s="216">
        <f>IFERROR('1a'!B12/'1k'!$B11*1000,"na")</f>
        <v>0.15696108076684467</v>
      </c>
      <c r="C12" s="143">
        <f>IFERROR('1a'!C12/'1k'!$B11*1000,"na")</f>
        <v>0.25117894344108321</v>
      </c>
      <c r="D12" s="143">
        <f>IFERROR('1a'!D12/'1k'!$B11*1000,"na")</f>
        <v>2.1659154110792486E-2</v>
      </c>
      <c r="E12" s="217">
        <f>IFERROR('1a'!E12/'1k'!$B11*1000,"na")</f>
        <v>0.42979917831872039</v>
      </c>
      <c r="F12" s="216">
        <f>IFERROR('1a'!F12/'1k'!$C11*1000,"na")</f>
        <v>0.13688524590163936</v>
      </c>
      <c r="G12" s="143">
        <f>IFERROR('1a'!G12/'1k'!$C11*1000,"na")</f>
        <v>9.2886621575146155E-2</v>
      </c>
      <c r="H12" s="143">
        <f>IFERROR('1a'!H12/'1k'!$C11*1000,"na")</f>
        <v>1.6788948756161871E-2</v>
      </c>
      <c r="I12" s="217">
        <f>IFERROR('1a'!I12/'1k'!$C11*1000,"na")</f>
        <v>0.2465608162329474</v>
      </c>
      <c r="J12" s="216" t="str">
        <f>IFERROR('1a'!J12/'1k'!$D11*1000,"na")</f>
        <v>na</v>
      </c>
      <c r="K12" s="143" t="str">
        <f>IFERROR('1a'!K12/'1k'!$D11*1000,"na")</f>
        <v>na</v>
      </c>
      <c r="L12" s="143" t="str">
        <f>IFERROR('1a'!L12/'1k'!$D11*1000,"na")</f>
        <v>na</v>
      </c>
      <c r="M12" s="217" t="str">
        <f>IFERROR('1a'!M12/'1k'!$D11*1000,"na")</f>
        <v>na</v>
      </c>
    </row>
    <row r="13" spans="1:13">
      <c r="A13" s="185">
        <v>1988</v>
      </c>
      <c r="B13" s="216">
        <f>IFERROR('1a'!B13/'1k'!$B12*1000,"na")</f>
        <v>0.1905069839627522</v>
      </c>
      <c r="C13" s="143">
        <f>IFERROR('1a'!C13/'1k'!$B12*1000,"na")</f>
        <v>0.58806558159894939</v>
      </c>
      <c r="D13" s="143">
        <f>IFERROR('1a'!D13/'1k'!$B12*1000,"na")</f>
        <v>9.9387162242827003E-3</v>
      </c>
      <c r="E13" s="217">
        <f>IFERROR('1a'!E13/'1k'!$B12*1000,"na")</f>
        <v>0.78851128178598429</v>
      </c>
      <c r="F13" s="216">
        <f>IFERROR('1a'!F13/'1k'!$C12*1000,"na")</f>
        <v>0.11759177288106816</v>
      </c>
      <c r="G13" s="143">
        <f>IFERROR('1a'!G13/'1k'!$C12*1000,"na")</f>
        <v>7.9015025649110462E-2</v>
      </c>
      <c r="H13" s="143">
        <f>IFERROR('1a'!H13/'1k'!$C12*1000,"na")</f>
        <v>5.8574564328939226E-3</v>
      </c>
      <c r="I13" s="217">
        <f>IFERROR('1a'!I13/'1k'!$C12*1000,"na")</f>
        <v>0.20246425496307258</v>
      </c>
      <c r="J13" s="216" t="str">
        <f>IFERROR('1a'!J13/'1k'!$D12*1000,"na")</f>
        <v>na</v>
      </c>
      <c r="K13" s="143" t="str">
        <f>IFERROR('1a'!K13/'1k'!$D12*1000,"na")</f>
        <v>na</v>
      </c>
      <c r="L13" s="143" t="str">
        <f>IFERROR('1a'!L13/'1k'!$D12*1000,"na")</f>
        <v>na</v>
      </c>
      <c r="M13" s="217" t="str">
        <f>IFERROR('1a'!M13/'1k'!$D12*1000,"na")</f>
        <v>na</v>
      </c>
    </row>
    <row r="14" spans="1:13">
      <c r="A14" s="185">
        <v>1989</v>
      </c>
      <c r="B14" s="216">
        <f>IFERROR('1a'!B14/'1k'!$B13*1000,"na")</f>
        <v>0.24312836960228718</v>
      </c>
      <c r="C14" s="143">
        <f>IFERROR('1a'!C14/'1k'!$B13*1000,"na")</f>
        <v>0.47505496578697226</v>
      </c>
      <c r="D14" s="143">
        <f>IFERROR('1a'!D14/'1k'!$B13*1000,"na")</f>
        <v>3.6271977244527007E-2</v>
      </c>
      <c r="E14" s="217">
        <f>IFERROR('1a'!E14/'1k'!$B13*1000,"na")</f>
        <v>0.7544553126337864</v>
      </c>
      <c r="F14" s="216">
        <f>IFERROR('1a'!F14/'1k'!$C13*1000,"na")</f>
        <v>8.6951599802067112E-2</v>
      </c>
      <c r="G14" s="143">
        <f>IFERROR('1a'!G14/'1k'!$C13*1000,"na")</f>
        <v>8.4874237911621089E-2</v>
      </c>
      <c r="H14" s="143">
        <f>IFERROR('1a'!H14/'1k'!$C13*1000,"na")</f>
        <v>4.4674951217007292E-2</v>
      </c>
      <c r="I14" s="217">
        <f>IFERROR('1a'!I14/'1k'!$C13*1000,"na")</f>
        <v>0.21650078893069549</v>
      </c>
      <c r="J14" s="216" t="str">
        <f>IFERROR('1a'!J14/'1k'!$D13*1000,"na")</f>
        <v>na</v>
      </c>
      <c r="K14" s="143" t="str">
        <f>IFERROR('1a'!K14/'1k'!$D13*1000,"na")</f>
        <v>na</v>
      </c>
      <c r="L14" s="143" t="str">
        <f>IFERROR('1a'!L14/'1k'!$D13*1000,"na")</f>
        <v>na</v>
      </c>
      <c r="M14" s="217" t="str">
        <f>IFERROR('1a'!M14/'1k'!$D13*1000,"na")</f>
        <v>na</v>
      </c>
    </row>
    <row r="15" spans="1:13">
      <c r="A15" s="185">
        <v>1990</v>
      </c>
      <c r="B15" s="216">
        <f>IFERROR('1a'!B15/'1k'!$B14*1000,"na")</f>
        <v>6.5267032480147234E-3</v>
      </c>
      <c r="C15" s="143">
        <f>IFERROR('1a'!C15/'1k'!$B14*1000,"na")</f>
        <v>0.50998602637946899</v>
      </c>
      <c r="D15" s="143">
        <f>IFERROR('1a'!D15/'1k'!$B14*1000,"na")</f>
        <v>1.7006918646262907E-2</v>
      </c>
      <c r="E15" s="217">
        <f>IFERROR('1a'!E15/'1k'!$B14*1000,"na")</f>
        <v>0.53351964827374665</v>
      </c>
      <c r="F15" s="216">
        <f>IFERROR('1a'!F15/'1k'!$C14*1000,"na")</f>
        <v>9.1918885323620386E-2</v>
      </c>
      <c r="G15" s="143">
        <f>IFERROR('1a'!G15/'1k'!$C14*1000,"na")</f>
        <v>0.10227502673951376</v>
      </c>
      <c r="H15" s="143">
        <f>IFERROR('1a'!H15/'1k'!$C14*1000,"na")</f>
        <v>7.060677015581187E-3</v>
      </c>
      <c r="I15" s="217">
        <f>IFERROR('1a'!I15/'1k'!$C14*1000,"na")</f>
        <v>0.20125458907871532</v>
      </c>
      <c r="J15" s="216" t="str">
        <f>IFERROR('1a'!J15/'1k'!$D14*1000,"na")</f>
        <v>na</v>
      </c>
      <c r="K15" s="143" t="str">
        <f>IFERROR('1a'!K15/'1k'!$D14*1000,"na")</f>
        <v>na</v>
      </c>
      <c r="L15" s="143" t="str">
        <f>IFERROR('1a'!L15/'1k'!$D14*1000,"na")</f>
        <v>na</v>
      </c>
      <c r="M15" s="217" t="str">
        <f>IFERROR('1a'!M15/'1k'!$D14*1000,"na")</f>
        <v>na</v>
      </c>
    </row>
    <row r="16" spans="1:13">
      <c r="A16" s="185">
        <v>1991</v>
      </c>
      <c r="B16" s="216">
        <f>IFERROR('1a'!B16/'1k'!$B15*1000,"na")</f>
        <v>0.15031477819028566</v>
      </c>
      <c r="C16" s="143">
        <f>IFERROR('1a'!C16/'1k'!$B15*1000,"na")</f>
        <v>0.73987331768116626</v>
      </c>
      <c r="D16" s="143">
        <f>IFERROR('1a'!D16/'1k'!$B15*1000,"na")</f>
        <v>9.6293597646777626E-2</v>
      </c>
      <c r="E16" s="217">
        <f>IFERROR('1a'!E16/'1k'!$B15*1000,"na")</f>
        <v>0.98648169351822956</v>
      </c>
      <c r="F16" s="216">
        <f>IFERROR('1a'!F16/'1k'!$C15*1000,"na")</f>
        <v>0.10347379443888684</v>
      </c>
      <c r="G16" s="143">
        <f>IFERROR('1a'!G16/'1k'!$C15*1000,"na")</f>
        <v>8.028542679466702E-2</v>
      </c>
      <c r="H16" s="143">
        <f>IFERROR('1a'!H16/'1k'!$C15*1000,"na")</f>
        <v>6.9908796808180783E-3</v>
      </c>
      <c r="I16" s="217">
        <f>IFERROR('1a'!I16/'1k'!$C15*1000,"na")</f>
        <v>0.19075010091437195</v>
      </c>
      <c r="J16" s="216" t="str">
        <f>IFERROR('1a'!J16/'1k'!$D15*1000,"na")</f>
        <v>na</v>
      </c>
      <c r="K16" s="143" t="str">
        <f>IFERROR('1a'!K16/'1k'!$D15*1000,"na")</f>
        <v>na</v>
      </c>
      <c r="L16" s="143" t="str">
        <f>IFERROR('1a'!L16/'1k'!$D15*1000,"na")</f>
        <v>na</v>
      </c>
      <c r="M16" s="217" t="str">
        <f>IFERROR('1a'!M16/'1k'!$D15*1000,"na")</f>
        <v>na</v>
      </c>
    </row>
    <row r="17" spans="1:13">
      <c r="A17" s="185">
        <v>1992</v>
      </c>
      <c r="B17" s="216">
        <f>IFERROR('1a'!B17/'1k'!$B16*1000,"na")</f>
        <v>0.3774158284180556</v>
      </c>
      <c r="C17" s="143">
        <f>IFERROR('1a'!C17/'1k'!$B16*1000,"na")</f>
        <v>0.81656836111179099</v>
      </c>
      <c r="D17" s="143" t="str">
        <f>IFERROR('1a'!D17/'1k'!$B16*1000,"na")</f>
        <v>na</v>
      </c>
      <c r="E17" s="217" t="str">
        <f>IFERROR('1a'!E17/'1k'!$B16*1000,"na")</f>
        <v>na</v>
      </c>
      <c r="F17" s="216">
        <f>IFERROR('1a'!F17/'1k'!$C16*1000,"na")</f>
        <v>0.10050282393107314</v>
      </c>
      <c r="G17" s="143">
        <f>IFERROR('1a'!G17/'1k'!$C16*1000,"na")</f>
        <v>6.813527605746382E-2</v>
      </c>
      <c r="H17" s="143" t="str">
        <f>IFERROR('1a'!H17/'1k'!$C16*1000,"na")</f>
        <v>na</v>
      </c>
      <c r="I17" s="217" t="str">
        <f>IFERROR('1a'!I17/'1k'!$C16*1000,"na")</f>
        <v>na</v>
      </c>
      <c r="J17" s="216" t="str">
        <f>IFERROR('1a'!J17/'1k'!$D16*1000,"na")</f>
        <v>na</v>
      </c>
      <c r="K17" s="143" t="str">
        <f>IFERROR('1a'!K17/'1k'!$D16*1000,"na")</f>
        <v>na</v>
      </c>
      <c r="L17" s="143" t="str">
        <f>IFERROR('1a'!L17/'1k'!$D16*1000,"na")</f>
        <v>na</v>
      </c>
      <c r="M17" s="217" t="str">
        <f>IFERROR('1a'!M17/'1k'!$D16*1000,"na")</f>
        <v>na</v>
      </c>
    </row>
    <row r="18" spans="1:13">
      <c r="A18" s="185">
        <v>1993</v>
      </c>
      <c r="B18" s="216">
        <f>IFERROR('1a'!B18/'1k'!$B17*1000,"na")</f>
        <v>0.77184636636342074</v>
      </c>
      <c r="C18" s="143">
        <f>IFERROR('1a'!C18/'1k'!$B17*1000,"na")</f>
        <v>0.56708393614673491</v>
      </c>
      <c r="D18" s="143" t="str">
        <f>IFERROR('1a'!D18/'1k'!$B17*1000,"na")</f>
        <v>na</v>
      </c>
      <c r="E18" s="217" t="str">
        <f>IFERROR('1a'!E18/'1k'!$B17*1000,"na")</f>
        <v>na</v>
      </c>
      <c r="F18" s="216">
        <f>IFERROR('1a'!F18/'1k'!$C17*1000,"na")</f>
        <v>4.3393305549347248E-2</v>
      </c>
      <c r="G18" s="143">
        <f>IFERROR('1a'!G18/'1k'!$C17*1000,"na")</f>
        <v>0.12502793736770834</v>
      </c>
      <c r="H18" s="143" t="str">
        <f>IFERROR('1a'!H18/'1k'!$C17*1000,"na")</f>
        <v>na</v>
      </c>
      <c r="I18" s="217" t="str">
        <f>IFERROR('1a'!I18/'1k'!$C17*1000,"na")</f>
        <v>na</v>
      </c>
      <c r="J18" s="216" t="str">
        <f>IFERROR('1a'!J18/'1k'!$D17*1000,"na")</f>
        <v>na</v>
      </c>
      <c r="K18" s="143" t="str">
        <f>IFERROR('1a'!K18/'1k'!$D17*1000,"na")</f>
        <v>na</v>
      </c>
      <c r="L18" s="143" t="str">
        <f>IFERROR('1a'!L18/'1k'!$D17*1000,"na")</f>
        <v>na</v>
      </c>
      <c r="M18" s="217" t="str">
        <f>IFERROR('1a'!M18/'1k'!$D17*1000,"na")</f>
        <v>na</v>
      </c>
    </row>
    <row r="19" spans="1:13">
      <c r="A19" s="185">
        <v>1994</v>
      </c>
      <c r="B19" s="216">
        <f>IFERROR('1a'!B19/'1k'!$B18*1000,"na")</f>
        <v>1.3285711662412545E-2</v>
      </c>
      <c r="C19" s="143">
        <f>IFERROR('1a'!C19/'1k'!$B18*1000,"na")</f>
        <v>0.36177167306315078</v>
      </c>
      <c r="D19" s="143">
        <f>IFERROR('1a'!D19/'1k'!$B18*1000,"na")</f>
        <v>1.8353930624162185E-2</v>
      </c>
      <c r="E19" s="217">
        <f>IFERROR('1a'!E19/'1k'!$B18*1000,"na")</f>
        <v>0.39341131534972551</v>
      </c>
      <c r="F19" s="216">
        <f>IFERROR('1a'!F19/'1k'!$C18*1000,"na")</f>
        <v>9.0490216135554052E-2</v>
      </c>
      <c r="G19" s="143">
        <f>IFERROR('1a'!G19/'1k'!$C18*1000,"na")</f>
        <v>0.12366720419755464</v>
      </c>
      <c r="H19" s="143" t="str">
        <f>IFERROR('1a'!H19/'1k'!$C18*1000,"na")</f>
        <v>na</v>
      </c>
      <c r="I19" s="217" t="str">
        <f>IFERROR('1a'!I19/'1k'!$C18*1000,"na")</f>
        <v>na</v>
      </c>
      <c r="J19" s="216" t="str">
        <f>IFERROR('1a'!J19/'1k'!$D18*1000,"na")</f>
        <v>na</v>
      </c>
      <c r="K19" s="143" t="str">
        <f>IFERROR('1a'!K19/'1k'!$D18*1000,"na")</f>
        <v>na</v>
      </c>
      <c r="L19" s="143" t="str">
        <f>IFERROR('1a'!L19/'1k'!$D18*1000,"na")</f>
        <v>na</v>
      </c>
      <c r="M19" s="217" t="str">
        <f>IFERROR('1a'!M19/'1k'!$D18*1000,"na")</f>
        <v>na</v>
      </c>
    </row>
    <row r="20" spans="1:13">
      <c r="A20" s="185">
        <v>1995</v>
      </c>
      <c r="B20" s="216">
        <f>IFERROR('1a'!B20/'1k'!$B19*1000,"na")</f>
        <v>0.10185833466894988</v>
      </c>
      <c r="C20" s="143">
        <f>IFERROR('1a'!C20/'1k'!$B19*1000,"na")</f>
        <v>0.43560781799623777</v>
      </c>
      <c r="D20" s="143" t="str">
        <f>IFERROR('1a'!D20/'1k'!$B19*1000,"na")</f>
        <v>na</v>
      </c>
      <c r="E20" s="217" t="str">
        <f>IFERROR('1a'!E20/'1k'!$B19*1000,"na")</f>
        <v>na</v>
      </c>
      <c r="F20" s="216">
        <f>IFERROR('1a'!F20/'1k'!$C19*1000,"na")</f>
        <v>0.25338657762018696</v>
      </c>
      <c r="G20" s="143">
        <f>IFERROR('1a'!G20/'1k'!$C19*1000,"na")</f>
        <v>0.19284988897877689</v>
      </c>
      <c r="H20" s="143" t="str">
        <f>IFERROR('1a'!H20/'1k'!$C19*1000,"na")</f>
        <v>na</v>
      </c>
      <c r="I20" s="217" t="str">
        <f>IFERROR('1a'!I20/'1k'!$C19*1000,"na")</f>
        <v>na</v>
      </c>
      <c r="J20" s="216" t="str">
        <f>IFERROR('1a'!J20/'1k'!$D19*1000,"na")</f>
        <v>na</v>
      </c>
      <c r="K20" s="143" t="str">
        <f>IFERROR('1a'!K20/'1k'!$D19*1000,"na")</f>
        <v>na</v>
      </c>
      <c r="L20" s="143" t="str">
        <f>IFERROR('1a'!L20/'1k'!$D19*1000,"na")</f>
        <v>na</v>
      </c>
      <c r="M20" s="217" t="str">
        <f>IFERROR('1a'!M20/'1k'!$D19*1000,"na")</f>
        <v>na</v>
      </c>
    </row>
    <row r="21" spans="1:13">
      <c r="A21" s="185">
        <v>1996</v>
      </c>
      <c r="B21" s="216">
        <f>IFERROR('1a'!B21/'1k'!$B20*1000,"na")</f>
        <v>0.19721891468558786</v>
      </c>
      <c r="C21" s="143">
        <f>IFERROR('1a'!C21/'1k'!$B20*1000,"na")</f>
        <v>0.48249238431864538</v>
      </c>
      <c r="D21" s="143">
        <f>IFERROR('1a'!D21/'1k'!$B20*1000,"na")</f>
        <v>3.7524368302238313E-2</v>
      </c>
      <c r="E21" s="217">
        <f>IFERROR('1a'!E21/'1k'!$B20*1000,"na")</f>
        <v>0.71723566730647148</v>
      </c>
      <c r="F21" s="216">
        <f>IFERROR('1a'!F21/'1k'!$C20*1000,"na")</f>
        <v>0.46056560519370437</v>
      </c>
      <c r="G21" s="143">
        <f>IFERROR('1a'!G21/'1k'!$C20*1000,"na")</f>
        <v>0.32533857327245758</v>
      </c>
      <c r="H21" s="143" t="str">
        <f>IFERROR('1a'!H21/'1k'!$C20*1000,"na")</f>
        <v>na</v>
      </c>
      <c r="I21" s="217" t="str">
        <f>IFERROR('1a'!I21/'1k'!$C20*1000,"na")</f>
        <v>na</v>
      </c>
      <c r="J21" s="216" t="str">
        <f>IFERROR('1a'!J21/'1k'!$D20*1000,"na")</f>
        <v>na</v>
      </c>
      <c r="K21" s="143" t="str">
        <f>IFERROR('1a'!K21/'1k'!$D20*1000,"na")</f>
        <v>na</v>
      </c>
      <c r="L21" s="143" t="str">
        <f>IFERROR('1a'!L21/'1k'!$D20*1000,"na")</f>
        <v>na</v>
      </c>
      <c r="M21" s="217" t="str">
        <f>IFERROR('1a'!M21/'1k'!$D20*1000,"na")</f>
        <v>na</v>
      </c>
    </row>
    <row r="22" spans="1:13">
      <c r="A22" s="185">
        <v>1997</v>
      </c>
      <c r="B22" s="216">
        <f>IFERROR('1a'!B22/'1k'!$B21*1000,"na")</f>
        <v>0.83694139194139205</v>
      </c>
      <c r="C22" s="143">
        <f>IFERROR('1a'!C22/'1k'!$B21*1000,"na")</f>
        <v>1.0213461538461539</v>
      </c>
      <c r="D22" s="143">
        <f>IFERROR('1a'!D22/'1k'!$B21*1000,"na")</f>
        <v>0.22668498168498172</v>
      </c>
      <c r="E22" s="217">
        <f>IFERROR('1a'!E22/'1k'!$B21*1000,"na")</f>
        <v>2.0849725274725275</v>
      </c>
      <c r="F22" s="216">
        <f>IFERROR('1a'!F22/'1k'!$C21*1000,"na")</f>
        <v>0.79920763899637137</v>
      </c>
      <c r="G22" s="143">
        <f>IFERROR('1a'!G22/'1k'!$C21*1000,"na")</f>
        <v>0.82957144576862885</v>
      </c>
      <c r="H22" s="143">
        <f>IFERROR('1a'!H22/'1k'!$C21*1000,"na")</f>
        <v>1.2811914220364923E-2</v>
      </c>
      <c r="I22" s="217">
        <f>IFERROR('1a'!I22/'1k'!$C21*1000,"na")</f>
        <v>1.641590998985365</v>
      </c>
      <c r="J22" s="216">
        <f>IFERROR('1a'!J22/'1k'!$D21*1000,"na")</f>
        <v>0.28839715013735623</v>
      </c>
      <c r="K22" s="143">
        <f>IFERROR('1a'!K22/'1k'!$D21*1000,"na")</f>
        <v>0.38389117609143442</v>
      </c>
      <c r="L22" s="143">
        <f>IFERROR('1a'!L22/'1k'!$D21*1000,"na")</f>
        <v>0.24966469092594676</v>
      </c>
      <c r="M22" s="217">
        <f>IFERROR('1a'!M22/'1k'!$D21*1000,"na")</f>
        <v>0.92195301715473743</v>
      </c>
    </row>
    <row r="23" spans="1:13">
      <c r="A23" s="185">
        <v>1998</v>
      </c>
      <c r="B23" s="216">
        <f>IFERROR('1a'!B23/'1k'!$B22*1000,"na")</f>
        <v>1.031227207191926</v>
      </c>
      <c r="C23" s="143">
        <f>IFERROR('1a'!C23/'1k'!$B22*1000,"na")</f>
        <v>1.1231786956152998</v>
      </c>
      <c r="D23" s="143">
        <f>IFERROR('1a'!D23/'1k'!$B22*1000,"na")</f>
        <v>5.4668815198032392E-2</v>
      </c>
      <c r="E23" s="217">
        <f>IFERROR('1a'!E23/'1k'!$B22*1000,"na")</f>
        <v>2.2090747180052586</v>
      </c>
      <c r="F23" s="216">
        <f>IFERROR('1a'!F23/'1k'!$C22*1000,"na")</f>
        <v>1.7495258015424315</v>
      </c>
      <c r="G23" s="143">
        <f>IFERROR('1a'!G23/'1k'!$C22*1000,"na")</f>
        <v>1.0189293407538653</v>
      </c>
      <c r="H23" s="143">
        <f>IFERROR('1a'!H23/'1k'!$C22*1000,"na")</f>
        <v>7.028429851711894E-2</v>
      </c>
      <c r="I23" s="217">
        <f>IFERROR('1a'!I23/'1k'!$C22*1000,"na")</f>
        <v>2.8387394408134159</v>
      </c>
      <c r="J23" s="216">
        <f>IFERROR('1a'!J23/'1k'!$D22*1000,"na")</f>
        <v>0.38085737710424344</v>
      </c>
      <c r="K23" s="143">
        <f>IFERROR('1a'!K23/'1k'!$D22*1000,"na")</f>
        <v>0.42752345088291965</v>
      </c>
      <c r="L23" s="143">
        <f>IFERROR('1a'!L23/'1k'!$D22*1000,"na")</f>
        <v>0.23917495946478246</v>
      </c>
      <c r="M23" s="217">
        <f>IFERROR('1a'!M23/'1k'!$D22*1000,"na")</f>
        <v>1.0475557874519457</v>
      </c>
    </row>
    <row r="24" spans="1:13">
      <c r="A24" s="185">
        <v>1999</v>
      </c>
      <c r="B24" s="216">
        <f>IFERROR('1a'!B24/'1k'!$B23*1000,"na")</f>
        <v>0.77875949210523754</v>
      </c>
      <c r="C24" s="143">
        <f>IFERROR('1a'!C24/'1k'!$B23*1000,"na")</f>
        <v>1.6346031787363822</v>
      </c>
      <c r="D24" s="143">
        <f>IFERROR('1a'!D24/'1k'!$B23*1000,"na")</f>
        <v>6.6513903309908889E-2</v>
      </c>
      <c r="E24" s="217">
        <f>IFERROR('1a'!E24/'1k'!$B23*1000,"na")</f>
        <v>2.4798765741515281</v>
      </c>
      <c r="F24" s="216">
        <f>IFERROR('1a'!F24/'1k'!$C23*1000,"na")</f>
        <v>0.2339703374835119</v>
      </c>
      <c r="G24" s="143">
        <f>IFERROR('1a'!G24/'1k'!$C23*1000,"na")</f>
        <v>0.5124384711900396</v>
      </c>
      <c r="H24" s="143">
        <f>IFERROR('1a'!H24/'1k'!$C23*1000,"na")</f>
        <v>7.0778238908728247E-3</v>
      </c>
      <c r="I24" s="217">
        <f>IFERROR('1a'!I24/'1k'!$C23*1000,"na")</f>
        <v>0.75348663256442416</v>
      </c>
      <c r="J24" s="216">
        <f>IFERROR('1a'!J24/'1k'!$D23*1000,"na")</f>
        <v>0.39274037920531379</v>
      </c>
      <c r="K24" s="143">
        <f>IFERROR('1a'!K24/'1k'!$D23*1000,"na")</f>
        <v>0.43547097757325165</v>
      </c>
      <c r="L24" s="143">
        <f>IFERROR('1a'!L24/'1k'!$D23*1000,"na")</f>
        <v>0.27969624739013454</v>
      </c>
      <c r="M24" s="217">
        <f>IFERROR('1a'!M24/'1k'!$D23*1000,"na")</f>
        <v>1.1079076041687002</v>
      </c>
    </row>
    <row r="25" spans="1:13">
      <c r="A25" s="185">
        <v>2000</v>
      </c>
      <c r="B25" s="216">
        <f>IFERROR('1a'!B25/'1k'!$B24*1000,"na")</f>
        <v>0.17221584385763489</v>
      </c>
      <c r="C25" s="143">
        <f>IFERROR('1a'!C25/'1k'!$B24*1000,"na")</f>
        <v>1.9447827750877718</v>
      </c>
      <c r="D25" s="143">
        <f>IFERROR('1a'!D25/'1k'!$B24*1000,"na")</f>
        <v>2.4601074893093062E-2</v>
      </c>
      <c r="E25" s="217">
        <f>IFERROR('1a'!E25/'1k'!$B24*1000,"na")</f>
        <v>2.1415996938384998</v>
      </c>
      <c r="F25" s="216">
        <f>IFERROR('1a'!F25/'1k'!$C24*1000,"na")</f>
        <v>0.5374989759973785</v>
      </c>
      <c r="G25" s="143">
        <f>IFERROR('1a'!G25/'1k'!$C24*1000,"na")</f>
        <v>1.1673402328354403</v>
      </c>
      <c r="H25" s="143">
        <f>IFERROR('1a'!H25/'1k'!$C24*1000,"na")</f>
        <v>0.1535435041824818</v>
      </c>
      <c r="I25" s="217">
        <f>IFERROR('1a'!I25/'1k'!$C24*1000,"na")</f>
        <v>1.8583827130153006</v>
      </c>
      <c r="J25" s="216">
        <f>IFERROR('1a'!J25/'1k'!$D24*1000,"na")</f>
        <v>0.41241400852749754</v>
      </c>
      <c r="K25" s="143">
        <f>IFERROR('1a'!K25/'1k'!$D24*1000,"na")</f>
        <v>0.45211396255126479</v>
      </c>
      <c r="L25" s="143">
        <f>IFERROR('1a'!L25/'1k'!$D24*1000,"na")</f>
        <v>0.34376890723329356</v>
      </c>
      <c r="M25" s="217">
        <f>IFERROR('1a'!M25/'1k'!$D24*1000,"na")</f>
        <v>1.2082968783120558</v>
      </c>
    </row>
    <row r="26" spans="1:13">
      <c r="A26" s="185">
        <v>2001</v>
      </c>
      <c r="B26" s="216">
        <f>IFERROR('1a'!B26/'1k'!$B25*1000,"na")</f>
        <v>3.0405921966720515E-2</v>
      </c>
      <c r="C26" s="143">
        <f>IFERROR('1a'!C26/'1k'!$B25*1000,"na")</f>
        <v>1.4260618389475015</v>
      </c>
      <c r="D26" s="143">
        <f>IFERROR('1a'!D26/'1k'!$B25*1000,"na")</f>
        <v>9.9718793003729478E-5</v>
      </c>
      <c r="E26" s="217">
        <f>IFERROR('1a'!E26/'1k'!$B25*1000,"na")</f>
        <v>1.4565674797072257</v>
      </c>
      <c r="F26" s="216">
        <f>IFERROR('1a'!F26/'1k'!$C25*1000,"na")</f>
        <v>2.0586522538261361E-3</v>
      </c>
      <c r="G26" s="143">
        <f>IFERROR('1a'!G26/'1k'!$C25*1000,"na")</f>
        <v>0.83938417863187209</v>
      </c>
      <c r="H26" s="143">
        <f>IFERROR('1a'!H26/'1k'!$C25*1000,"na")</f>
        <v>8.2346090153045445E-3</v>
      </c>
      <c r="I26" s="217">
        <f>IFERROR('1a'!I26/'1k'!$C25*1000,"na")</f>
        <v>0.84967743990100275</v>
      </c>
      <c r="J26" s="216">
        <f>IFERROR('1a'!J26/'1k'!$D25*1000,"na")</f>
        <v>0.34886196981086043</v>
      </c>
      <c r="K26" s="143">
        <f>IFERROR('1a'!K26/'1k'!$D25*1000,"na")</f>
        <v>0.49439454894312823</v>
      </c>
      <c r="L26" s="143">
        <f>IFERROR('1a'!L26/'1k'!$D25*1000,"na")</f>
        <v>0.35848198116798136</v>
      </c>
      <c r="M26" s="217">
        <f>IFERROR('1a'!M26/'1k'!$D25*1000,"na")</f>
        <v>1.2017384999219698</v>
      </c>
    </row>
    <row r="27" spans="1:13">
      <c r="A27" s="185">
        <v>2002</v>
      </c>
      <c r="B27" s="216">
        <f>IFERROR('1a'!B27/'1k'!$B26*1000,"na")</f>
        <v>0.30003293599904696</v>
      </c>
      <c r="C27" s="143">
        <f>IFERROR('1a'!C27/'1k'!$B26*1000,"na")</f>
        <v>1.0234861703842297</v>
      </c>
      <c r="D27" s="143">
        <f>IFERROR('1a'!D27/'1k'!$B26*1000,"na")</f>
        <v>3.2138877793428215E-2</v>
      </c>
      <c r="E27" s="217">
        <f>IFERROR('1a'!E27/'1k'!$B26*1000,"na")</f>
        <v>1.3556579841767051</v>
      </c>
      <c r="F27" s="216">
        <f>IFERROR('1a'!F27/'1k'!$C26*1000,"na")</f>
        <v>2.8837205140136733E-2</v>
      </c>
      <c r="G27" s="143">
        <f>IFERROR('1a'!G27/'1k'!$C26*1000,"na")</f>
        <v>0.66431837706267671</v>
      </c>
      <c r="H27" s="143">
        <f>IFERROR('1a'!H27/'1k'!$C26*1000,"na")</f>
        <v>3.1119125174499766E-2</v>
      </c>
      <c r="I27" s="217">
        <f>IFERROR('1a'!I27/'1k'!$C26*1000,"na")</f>
        <v>0.72427470737731336</v>
      </c>
      <c r="J27" s="216">
        <f>IFERROR('1a'!J27/'1k'!$D26*1000,"na")</f>
        <v>0.35344093351518913</v>
      </c>
      <c r="K27" s="143">
        <f>IFERROR('1a'!K27/'1k'!$D26*1000,"na")</f>
        <v>0.47110723841102536</v>
      </c>
      <c r="L27" s="143">
        <f>IFERROR('1a'!L27/'1k'!$D26*1000,"na")</f>
        <v>0.32147270314962079</v>
      </c>
      <c r="M27" s="217">
        <f>IFERROR('1a'!M27/'1k'!$D26*1000,"na")</f>
        <v>1.1460208750758352</v>
      </c>
    </row>
    <row r="28" spans="1:13">
      <c r="A28" s="185">
        <v>2003</v>
      </c>
      <c r="B28" s="216">
        <f>IFERROR('1a'!B28/'1k'!$B27*1000,"na")</f>
        <v>0.59750372230724325</v>
      </c>
      <c r="C28" s="143">
        <f>IFERROR('1a'!C28/'1k'!$B27*1000,"na")</f>
        <v>0.92967862065630058</v>
      </c>
      <c r="D28" s="143">
        <f>IFERROR('1a'!D28/'1k'!$B27*1000,"na")</f>
        <v>0.10854282466982876</v>
      </c>
      <c r="E28" s="217">
        <f>IFERROR('1a'!E28/'1k'!$B27*1000,"na")</f>
        <v>1.6357251676333726</v>
      </c>
      <c r="F28" s="216">
        <f>IFERROR('1a'!F28/'1k'!$C27*1000,"na")</f>
        <v>0.1854426937113981</v>
      </c>
      <c r="G28" s="143">
        <f>IFERROR('1a'!G28/'1k'!$C27*1000,"na")</f>
        <v>0.72084678551375625</v>
      </c>
      <c r="H28" s="143">
        <f>IFERROR('1a'!H28/'1k'!$C27*1000,"na")</f>
        <v>3.8887036777091523E-2</v>
      </c>
      <c r="I28" s="217">
        <f>IFERROR('1a'!I28/'1k'!$C27*1000,"na")</f>
        <v>0.94517651600224595</v>
      </c>
      <c r="J28" s="216">
        <f>IFERROR('1a'!J28/'1k'!$D27*1000,"na")</f>
        <v>0.3634131381922171</v>
      </c>
      <c r="K28" s="143">
        <f>IFERROR('1a'!K28/'1k'!$D27*1000,"na")</f>
        <v>0.46605822550729986</v>
      </c>
      <c r="L28" s="143">
        <f>IFERROR('1a'!L28/'1k'!$D27*1000,"na")</f>
        <v>0.2804959660445433</v>
      </c>
      <c r="M28" s="217">
        <f>IFERROR('1a'!M28/'1k'!$D27*1000,"na")</f>
        <v>1.1099673297440602</v>
      </c>
    </row>
    <row r="29" spans="1:13">
      <c r="A29" s="185">
        <v>2004</v>
      </c>
      <c r="B29" s="216">
        <f>IFERROR('1a'!B29/'1k'!$B28*1000,"na")</f>
        <v>0.73611088204248576</v>
      </c>
      <c r="C29" s="143">
        <f>IFERROR('1a'!C29/'1k'!$B28*1000,"na")</f>
        <v>1.3815415127325508</v>
      </c>
      <c r="D29" s="143">
        <f>IFERROR('1a'!D29/'1k'!$B28*1000,"na")</f>
        <v>0.12996437524739413</v>
      </c>
      <c r="E29" s="217">
        <f>IFERROR('1a'!E29/'1k'!$B28*1000,"na")</f>
        <v>2.2476167700224305</v>
      </c>
      <c r="F29" s="216">
        <f>IFERROR('1a'!F29/'1k'!$C28*1000,"na")</f>
        <v>0.19971857410881802</v>
      </c>
      <c r="G29" s="143">
        <f>IFERROR('1a'!G29/'1k'!$C28*1000,"na")</f>
        <v>1.3850727016885553</v>
      </c>
      <c r="H29" s="143">
        <f>IFERROR('1a'!H29/'1k'!$C28*1000,"na")</f>
        <v>4.9425422138836772E-2</v>
      </c>
      <c r="I29" s="217">
        <f>IFERROR('1a'!I29/'1k'!$C28*1000,"na")</f>
        <v>1.6342166979362103</v>
      </c>
      <c r="J29" s="216">
        <f>IFERROR('1a'!J29/'1k'!$D28*1000,"na")</f>
        <v>0.39699103480817394</v>
      </c>
      <c r="K29" s="143">
        <f>IFERROR('1a'!K29/'1k'!$D28*1000,"na")</f>
        <v>0.49618529067533768</v>
      </c>
      <c r="L29" s="143">
        <f>IFERROR('1a'!L29/'1k'!$D28*1000,"na")</f>
        <v>0.26216817113784863</v>
      </c>
      <c r="M29" s="217">
        <f>IFERROR('1a'!M29/'1k'!$D28*1000,"na")</f>
        <v>1.1553444966213602</v>
      </c>
    </row>
    <row r="30" spans="1:13">
      <c r="A30" s="185">
        <v>2005</v>
      </c>
      <c r="B30" s="216">
        <f>IFERROR('1a'!B30/'1k'!$B29*1000,"na")</f>
        <v>0.89250493096646943</v>
      </c>
      <c r="C30" s="143">
        <f>IFERROR('1a'!C30/'1k'!$B29*1000,"na")</f>
        <v>1.9498296218742768</v>
      </c>
      <c r="D30" s="143">
        <f>IFERROR('1a'!D30/'1k'!$B29*1000,"na")</f>
        <v>0.12130373577077966</v>
      </c>
      <c r="E30" s="217">
        <f>IFERROR('1a'!E30/'1k'!$B29*1000,"na")</f>
        <v>2.9636382886115258</v>
      </c>
      <c r="F30" s="216">
        <f>IFERROR('1a'!F30/'1k'!$C29*1000,"na")</f>
        <v>0.32816863944673497</v>
      </c>
      <c r="G30" s="143">
        <f>IFERROR('1a'!G30/'1k'!$C29*1000,"na")</f>
        <v>1.9360568610801359</v>
      </c>
      <c r="H30" s="143">
        <f>IFERROR('1a'!H30/'1k'!$C29*1000,"na")</f>
        <v>0.10711326178808557</v>
      </c>
      <c r="I30" s="217">
        <f>IFERROR('1a'!I30/'1k'!$C29*1000,"na")</f>
        <v>2.3713387623149567</v>
      </c>
      <c r="J30" s="216">
        <f>IFERROR('1a'!J30/'1k'!$D29*1000,"na")</f>
        <v>0.41926683788062435</v>
      </c>
      <c r="K30" s="143">
        <f>IFERROR('1a'!K30/'1k'!$D29*1000,"na")</f>
        <v>0.55465544219299334</v>
      </c>
      <c r="L30" s="143">
        <f>IFERROR('1a'!L30/'1k'!$D29*1000,"na")</f>
        <v>0.25135331162338764</v>
      </c>
      <c r="M30" s="217">
        <f>IFERROR('1a'!M30/'1k'!$D29*1000,"na")</f>
        <v>1.2252755916970053</v>
      </c>
    </row>
    <row r="31" spans="1:13">
      <c r="A31" s="185">
        <v>2006</v>
      </c>
      <c r="B31" s="216">
        <f>IFERROR('1a'!B31/'1k'!$B30*1000,"na")</f>
        <v>0.67820421320115454</v>
      </c>
      <c r="C31" s="143">
        <f>IFERROR('1a'!C31/'1k'!$B30*1000,"na")</f>
        <v>1.5676763081942526</v>
      </c>
      <c r="D31" s="143">
        <f>IFERROR('1a'!D31/'1k'!$B30*1000,"na")</f>
        <v>0.15299520015058352</v>
      </c>
      <c r="E31" s="217">
        <f>IFERROR('1a'!E31/'1k'!$B30*1000,"na")</f>
        <v>2.3988757215459904</v>
      </c>
      <c r="F31" s="216">
        <f>IFERROR('1a'!F31/'1k'!$C30*1000,"na")</f>
        <v>0.30304604696731291</v>
      </c>
      <c r="G31" s="143">
        <f>IFERROR('1a'!G31/'1k'!$C30*1000,"na")</f>
        <v>1.5750155864976396</v>
      </c>
      <c r="H31" s="143">
        <f>IFERROR('1a'!H31/'1k'!$C30*1000,"na")</f>
        <v>8.9708953082168058E-2</v>
      </c>
      <c r="I31" s="217">
        <f>IFERROR('1a'!I31/'1k'!$C30*1000,"na")</f>
        <v>1.9677705865471209</v>
      </c>
      <c r="J31" s="216">
        <f>IFERROR('1a'!J31/'1k'!$D30*1000,"na")</f>
        <v>0.46570090276859327</v>
      </c>
      <c r="K31" s="143">
        <f>IFERROR('1a'!K31/'1k'!$D30*1000,"na")</f>
        <v>0.55650141756219584</v>
      </c>
      <c r="L31" s="143">
        <f>IFERROR('1a'!L31/'1k'!$D30*1000,"na")</f>
        <v>0.25237424044781942</v>
      </c>
      <c r="M31" s="217">
        <f>IFERROR('1a'!M31/'1k'!$D30*1000,"na")</f>
        <v>1.2745765607786086</v>
      </c>
    </row>
    <row r="32" spans="1:13">
      <c r="A32" s="185">
        <v>2007</v>
      </c>
      <c r="B32" s="216">
        <f>IFERROR('1a'!B32/'1k'!$B31*1000,"na")</f>
        <v>1.3832361948039118</v>
      </c>
      <c r="C32" s="143">
        <f>IFERROR('1a'!C32/'1k'!$B31*1000,"na")</f>
        <v>1.6329911321514601</v>
      </c>
      <c r="D32" s="143">
        <f>IFERROR('1a'!D32/'1k'!$B31*1000,"na")</f>
        <v>0.39479783281027975</v>
      </c>
      <c r="E32" s="217">
        <f>IFERROR('1a'!E32/'1k'!$B31*1000,"na")</f>
        <v>3.4110251597656518</v>
      </c>
      <c r="F32" s="216">
        <f>IFERROR('1a'!F32/'1k'!$C31*1000,"na")</f>
        <v>0.13844818376068377</v>
      </c>
      <c r="G32" s="143">
        <f>IFERROR('1a'!G32/'1k'!$C31*1000,"na")</f>
        <v>2.0941907051282049</v>
      </c>
      <c r="H32" s="143">
        <f>IFERROR('1a'!H32/'1k'!$C31*1000,"na")</f>
        <v>5.0814636752136752E-2</v>
      </c>
      <c r="I32" s="217">
        <f>IFERROR('1a'!I32/'1k'!$C31*1000,"na")</f>
        <v>2.2834535256410255</v>
      </c>
      <c r="J32" s="216">
        <f>IFERROR('1a'!J32/'1k'!$D31*1000,"na")</f>
        <v>0.44350176238494199</v>
      </c>
      <c r="K32" s="143">
        <f>IFERROR('1a'!K32/'1k'!$D31*1000,"na")</f>
        <v>0.63481447532677515</v>
      </c>
      <c r="L32" s="143">
        <f>IFERROR('1a'!L32/'1k'!$D31*1000,"na")</f>
        <v>0.22160498839926263</v>
      </c>
      <c r="M32" s="217">
        <f>IFERROR('1a'!M32/'1k'!$D31*1000,"na")</f>
        <v>1.2999212261109796</v>
      </c>
    </row>
    <row r="33" spans="1:13">
      <c r="A33" s="185">
        <v>2008</v>
      </c>
      <c r="B33" s="216" t="str">
        <f>IFERROR('1a'!B33/'1k'!$B32*1000,"na")</f>
        <v>na</v>
      </c>
      <c r="C33" s="143" t="str">
        <f>IFERROR('1a'!C33/'1k'!$B32*1000,"na")</f>
        <v>na</v>
      </c>
      <c r="D33" s="143" t="str">
        <f>IFERROR('1a'!D33/'1k'!$B32*1000,"na")</f>
        <v>na</v>
      </c>
      <c r="E33" s="217" t="str">
        <f>IFERROR('1a'!E33/'1k'!$B32*1000,"na")</f>
        <v>na</v>
      </c>
      <c r="F33" s="216" t="str">
        <f>IFERROR('1a'!F33/'1k'!$C32*1000,"na")</f>
        <v>na</v>
      </c>
      <c r="G33" s="143" t="str">
        <f>IFERROR('1a'!G33/'1k'!$C32*1000,"na")</f>
        <v>na</v>
      </c>
      <c r="H33" s="143" t="str">
        <f>IFERROR('1a'!H33/'1k'!$C32*1000,"na")</f>
        <v>na</v>
      </c>
      <c r="I33" s="217" t="str">
        <f>IFERROR('1a'!I33/'1k'!$C32*1000,"na")</f>
        <v>na</v>
      </c>
      <c r="J33" s="216">
        <f>IFERROR('1a'!J33/'1k'!$D32*1000,"na")</f>
        <v>0.45116549723880695</v>
      </c>
      <c r="K33" s="143">
        <f>IFERROR('1a'!K33/'1k'!$D32*1000,"na")</f>
        <v>0.64785736458247811</v>
      </c>
      <c r="L33" s="143">
        <f>IFERROR('1a'!L33/'1k'!$D32*1000,"na")</f>
        <v>0.24875351343536373</v>
      </c>
      <c r="M33" s="217">
        <f>IFERROR('1a'!M33/'1k'!$D32*1000,"na")</f>
        <v>1.347776375256649</v>
      </c>
    </row>
    <row r="34" spans="1:13">
      <c r="A34" s="57">
        <f>A33+1</f>
        <v>2009</v>
      </c>
      <c r="B34" s="216" t="str">
        <f>IFERROR('1a'!B34/'1k'!$B33*1000,"na")</f>
        <v>na</v>
      </c>
      <c r="C34" s="143" t="str">
        <f>IFERROR('1a'!C34/'1k'!$B33*1000,"na")</f>
        <v>na</v>
      </c>
      <c r="D34" s="143" t="str">
        <f>IFERROR('1a'!D34/'1k'!$B33*1000,"na")</f>
        <v>na</v>
      </c>
      <c r="E34" s="217" t="str">
        <f>IFERROR('1a'!E34/'1k'!$B33*1000,"na")</f>
        <v>na</v>
      </c>
      <c r="F34" s="216" t="str">
        <f>IFERROR('1a'!F34/'1k'!$C33*1000,"na")</f>
        <v>na</v>
      </c>
      <c r="G34" s="143" t="str">
        <f>IFERROR('1a'!G34/'1k'!$C33*1000,"na")</f>
        <v>na</v>
      </c>
      <c r="H34" s="143" t="str">
        <f>IFERROR('1a'!H34/'1k'!$C33*1000,"na")</f>
        <v>na</v>
      </c>
      <c r="I34" s="217" t="str">
        <f>IFERROR('1a'!I34/'1k'!$C33*1000,"na")</f>
        <v>na</v>
      </c>
      <c r="J34" s="216">
        <f>IFERROR('1a'!J34/'1k'!$D33*1000,"na")</f>
        <v>0.40784350648864315</v>
      </c>
      <c r="K34" s="143">
        <f>IFERROR('1a'!K34/'1k'!$D33*1000,"na")</f>
        <v>0.66732503560220968</v>
      </c>
      <c r="L34" s="143">
        <f>IFERROR('1a'!L34/'1k'!$D33*1000,"na")</f>
        <v>0.25180364913286823</v>
      </c>
      <c r="M34" s="217">
        <f>IFERROR('1a'!M34/'1k'!$D33*1000,"na")</f>
        <v>1.3269721912237211</v>
      </c>
    </row>
    <row r="35" spans="1:13">
      <c r="A35" s="58">
        <f t="shared" ref="A35" si="0">A34+1</f>
        <v>2010</v>
      </c>
      <c r="B35" s="234" t="str">
        <f>IFERROR('1a'!B35/'1k'!$B34*1000,"na")</f>
        <v>na</v>
      </c>
      <c r="C35" s="215" t="str">
        <f>IFERROR('1a'!C35/'1k'!$B34*1000,"na")</f>
        <v>na</v>
      </c>
      <c r="D35" s="215" t="str">
        <f>IFERROR('1a'!D35/'1k'!$B34*1000,"na")</f>
        <v>na</v>
      </c>
      <c r="E35" s="235" t="str">
        <f>IFERROR('1a'!E35/'1k'!$B34*1000,"na")</f>
        <v>na</v>
      </c>
      <c r="F35" s="234" t="str">
        <f>IFERROR('1a'!F35/'1k'!$C34*1000,"na")</f>
        <v>na</v>
      </c>
      <c r="G35" s="215" t="str">
        <f>IFERROR('1a'!G35/'1k'!$C34*1000,"na")</f>
        <v>na</v>
      </c>
      <c r="H35" s="215" t="str">
        <f>IFERROR('1a'!H35/'1k'!$C34*1000,"na")</f>
        <v>na</v>
      </c>
      <c r="I35" s="235" t="str">
        <f>IFERROR('1a'!I35/'1k'!$C34*1000,"na")</f>
        <v>na</v>
      </c>
      <c r="J35" s="234">
        <f>IFERROR('1a'!J35/'1k'!$D34*1000,"na")</f>
        <v>0.42832914677060735</v>
      </c>
      <c r="K35" s="215">
        <f>IFERROR('1a'!K35/'1k'!$D34*1000,"na")</f>
        <v>0.67188819893252627</v>
      </c>
      <c r="L35" s="215">
        <f>IFERROR('1a'!L35/'1k'!$D34*1000,"na")</f>
        <v>0.26764324900224862</v>
      </c>
      <c r="M35" s="235">
        <f>IFERROR('1a'!M35/'1k'!$D34*1000,"na")</f>
        <v>1.3678605947053821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>
        <f>IFERROR((POWER(B$24/B14,1/($A$24-$A$14))-1)*100,"na")</f>
        <v>12.345781995846927</v>
      </c>
      <c r="C39" s="86">
        <f t="shared" ref="C39:M39" si="2">IFERROR((POWER(C$24/C14,1/($A$24-$A$14))-1)*100,"na")</f>
        <v>13.15320189652509</v>
      </c>
      <c r="D39" s="86">
        <f t="shared" si="2"/>
        <v>6.2512677141995265</v>
      </c>
      <c r="E39" s="87">
        <f t="shared" si="2"/>
        <v>12.636631624957406</v>
      </c>
      <c r="F39" s="85">
        <f t="shared" si="2"/>
        <v>10.404893325114074</v>
      </c>
      <c r="G39" s="86">
        <f t="shared" si="2"/>
        <v>19.697914544243609</v>
      </c>
      <c r="H39" s="86">
        <f t="shared" si="2"/>
        <v>-16.826770176737949</v>
      </c>
      <c r="I39" s="87">
        <f t="shared" si="2"/>
        <v>13.282182319664049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>
        <f t="shared" si="3"/>
        <v>0.37935990169546407</v>
      </c>
      <c r="K40" s="86">
        <f t="shared" si="3"/>
        <v>4.0410938046041789</v>
      </c>
      <c r="L40" s="86">
        <f t="shared" si="3"/>
        <v>-2.4720782153358933</v>
      </c>
      <c r="M40" s="87">
        <f t="shared" si="3"/>
        <v>1.2480851786777825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210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M37"/>
  <sheetViews>
    <sheetView zoomScaleNormal="100" workbookViewId="0">
      <selection sqref="A1:H2"/>
    </sheetView>
  </sheetViews>
  <sheetFormatPr defaultRowHeight="15"/>
  <cols>
    <col min="1" max="1" width="12" customWidth="1"/>
    <col min="2" max="2" width="13.140625" customWidth="1"/>
    <col min="4" max="4" width="17.85546875" customWidth="1"/>
    <col min="6" max="6" width="11.28515625" customWidth="1"/>
    <col min="8" max="8" width="19.140625" customWidth="1"/>
    <col min="10" max="10" width="11.42578125" customWidth="1"/>
    <col min="12" max="12" width="17.7109375" customWidth="1"/>
  </cols>
  <sheetData>
    <row r="1" spans="1:13">
      <c r="A1" s="387" t="s">
        <v>244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IFERROR('1l'!B6/'1l'!J6*100, "na")</f>
        <v>na</v>
      </c>
      <c r="C6" s="83" t="str">
        <f>IFERROR('1l'!C6/'1l'!K6*100, "na")</f>
        <v>na</v>
      </c>
      <c r="D6" s="83" t="str">
        <f>IFERROR('1l'!D6/'1l'!L6*100, "na")</f>
        <v>na</v>
      </c>
      <c r="E6" s="84" t="str">
        <f>IFERROR('1l'!E6/'1l'!M6*100, "na")</f>
        <v>na</v>
      </c>
      <c r="F6" s="82" t="str">
        <f>IFERROR('1l'!F6/'1l'!J6*100, "na")</f>
        <v>na</v>
      </c>
      <c r="G6" s="83" t="str">
        <f>IFERROR('1l'!G6/'1l'!K6*100, "na")</f>
        <v>na</v>
      </c>
      <c r="H6" s="83" t="str">
        <f>IFERROR('1l'!H6/'1l'!L6*100, "na")</f>
        <v>na</v>
      </c>
      <c r="I6" s="84" t="str">
        <f>IFERROR('1l'!I6/'1l'!M6*100, "na")</f>
        <v>na</v>
      </c>
      <c r="J6" s="82" t="str">
        <f>IFERROR('1l'!J6/'1l'!J6*100,"na")</f>
        <v>na</v>
      </c>
      <c r="K6" s="83" t="str">
        <f>IFERROR('1l'!K6/'1l'!K6*100,"na")</f>
        <v>na</v>
      </c>
      <c r="L6" s="83" t="str">
        <f>IFERROR('1l'!L6/'1l'!L6*100,"na")</f>
        <v>na</v>
      </c>
      <c r="M6" s="84" t="str">
        <f>IFERROR('1l'!M6/'1l'!M6*100,"na")</f>
        <v>na</v>
      </c>
    </row>
    <row r="7" spans="1:13">
      <c r="A7" s="185">
        <v>1982</v>
      </c>
      <c r="B7" s="85" t="str">
        <f>IFERROR('1l'!B7/'1l'!J7*100, "na")</f>
        <v>na</v>
      </c>
      <c r="C7" s="86" t="str">
        <f>IFERROR('1l'!C7/'1l'!K7*100, "na")</f>
        <v>na</v>
      </c>
      <c r="D7" s="86" t="str">
        <f>IFERROR('1l'!D7/'1l'!L7*100, "na")</f>
        <v>na</v>
      </c>
      <c r="E7" s="87" t="str">
        <f>IFERROR('1l'!E7/'1l'!M7*100, "na")</f>
        <v>na</v>
      </c>
      <c r="F7" s="85" t="str">
        <f>IFERROR('1l'!F7/'1l'!J7*100, "na")</f>
        <v>na</v>
      </c>
      <c r="G7" s="86" t="str">
        <f>IFERROR('1l'!G7/'1l'!K7*100, "na")</f>
        <v>na</v>
      </c>
      <c r="H7" s="86" t="str">
        <f>IFERROR('1l'!H7/'1l'!L7*100, "na")</f>
        <v>na</v>
      </c>
      <c r="I7" s="87" t="str">
        <f>IFERROR('1l'!I7/'1l'!M7*100, "na")</f>
        <v>na</v>
      </c>
      <c r="J7" s="85" t="str">
        <f>IFERROR('1l'!J7/'1l'!J7*100,"na")</f>
        <v>na</v>
      </c>
      <c r="K7" s="86" t="str">
        <f>IFERROR('1l'!K7/'1l'!K7*100,"na")</f>
        <v>na</v>
      </c>
      <c r="L7" s="86" t="str">
        <f>IFERROR('1l'!L7/'1l'!L7*100,"na")</f>
        <v>na</v>
      </c>
      <c r="M7" s="87" t="str">
        <f>IFERROR('1l'!M7/'1l'!M7*100,"na")</f>
        <v>na</v>
      </c>
    </row>
    <row r="8" spans="1:13">
      <c r="A8" s="185">
        <v>1983</v>
      </c>
      <c r="B8" s="85" t="str">
        <f>IFERROR('1l'!B8/'1l'!J8*100, "na")</f>
        <v>na</v>
      </c>
      <c r="C8" s="86" t="str">
        <f>IFERROR('1l'!C8/'1l'!K8*100, "na")</f>
        <v>na</v>
      </c>
      <c r="D8" s="86" t="str">
        <f>IFERROR('1l'!D8/'1l'!L8*100, "na")</f>
        <v>na</v>
      </c>
      <c r="E8" s="87" t="str">
        <f>IFERROR('1l'!E8/'1l'!M8*100, "na")</f>
        <v>na</v>
      </c>
      <c r="F8" s="85" t="str">
        <f>IFERROR('1l'!F8/'1l'!J8*100, "na")</f>
        <v>na</v>
      </c>
      <c r="G8" s="86" t="str">
        <f>IFERROR('1l'!G8/'1l'!K8*100, "na")</f>
        <v>na</v>
      </c>
      <c r="H8" s="86" t="str">
        <f>IFERROR('1l'!H8/'1l'!L8*100, "na")</f>
        <v>na</v>
      </c>
      <c r="I8" s="87" t="str">
        <f>IFERROR('1l'!I8/'1l'!M8*100, "na")</f>
        <v>na</v>
      </c>
      <c r="J8" s="85" t="str">
        <f>IFERROR('1l'!J8/'1l'!J8*100,"na")</f>
        <v>na</v>
      </c>
      <c r="K8" s="86" t="str">
        <f>IFERROR('1l'!K8/'1l'!K8*100,"na")</f>
        <v>na</v>
      </c>
      <c r="L8" s="86" t="str">
        <f>IFERROR('1l'!L8/'1l'!L8*100,"na")</f>
        <v>na</v>
      </c>
      <c r="M8" s="87" t="str">
        <f>IFERROR('1l'!M8/'1l'!M8*100,"na")</f>
        <v>na</v>
      </c>
    </row>
    <row r="9" spans="1:13">
      <c r="A9" s="185">
        <v>1984</v>
      </c>
      <c r="B9" s="85" t="str">
        <f>IFERROR('1l'!B9/'1l'!J9*100, "na")</f>
        <v>na</v>
      </c>
      <c r="C9" s="86" t="str">
        <f>IFERROR('1l'!C9/'1l'!K9*100, "na")</f>
        <v>na</v>
      </c>
      <c r="D9" s="86" t="str">
        <f>IFERROR('1l'!D9/'1l'!L9*100, "na")</f>
        <v>na</v>
      </c>
      <c r="E9" s="87" t="str">
        <f>IFERROR('1l'!E9/'1l'!M9*100, "na")</f>
        <v>na</v>
      </c>
      <c r="F9" s="85" t="str">
        <f>IFERROR('1l'!F9/'1l'!J9*100, "na")</f>
        <v>na</v>
      </c>
      <c r="G9" s="86" t="str">
        <f>IFERROR('1l'!G9/'1l'!K9*100, "na")</f>
        <v>na</v>
      </c>
      <c r="H9" s="86" t="str">
        <f>IFERROR('1l'!H9/'1l'!L9*100, "na")</f>
        <v>na</v>
      </c>
      <c r="I9" s="87" t="str">
        <f>IFERROR('1l'!I9/'1l'!M9*100, "na")</f>
        <v>na</v>
      </c>
      <c r="J9" s="85" t="str">
        <f>IFERROR('1l'!J9/'1l'!J9*100,"na")</f>
        <v>na</v>
      </c>
      <c r="K9" s="86" t="str">
        <f>IFERROR('1l'!K9/'1l'!K9*100,"na")</f>
        <v>na</v>
      </c>
      <c r="L9" s="86" t="str">
        <f>IFERROR('1l'!L9/'1l'!L9*100,"na")</f>
        <v>na</v>
      </c>
      <c r="M9" s="87" t="str">
        <f>IFERROR('1l'!M9/'1l'!M9*100,"na")</f>
        <v>na</v>
      </c>
    </row>
    <row r="10" spans="1:13">
      <c r="A10" s="185">
        <v>1985</v>
      </c>
      <c r="B10" s="85" t="str">
        <f>IFERROR('1l'!B10/'1l'!J10*100, "na")</f>
        <v>na</v>
      </c>
      <c r="C10" s="86" t="str">
        <f>IFERROR('1l'!C10/'1l'!K10*100, "na")</f>
        <v>na</v>
      </c>
      <c r="D10" s="86" t="str">
        <f>IFERROR('1l'!D10/'1l'!L10*100, "na")</f>
        <v>na</v>
      </c>
      <c r="E10" s="87" t="str">
        <f>IFERROR('1l'!E10/'1l'!M10*100, "na")</f>
        <v>na</v>
      </c>
      <c r="F10" s="85" t="str">
        <f>IFERROR('1l'!F10/'1l'!J10*100, "na")</f>
        <v>na</v>
      </c>
      <c r="G10" s="86" t="str">
        <f>IFERROR('1l'!G10/'1l'!K10*100, "na")</f>
        <v>na</v>
      </c>
      <c r="H10" s="86" t="str">
        <f>IFERROR('1l'!H10/'1l'!L10*100, "na")</f>
        <v>na</v>
      </c>
      <c r="I10" s="87" t="str">
        <f>IFERROR('1l'!I10/'1l'!M10*100, "na")</f>
        <v>na</v>
      </c>
      <c r="J10" s="85" t="str">
        <f>IFERROR('1l'!J10/'1l'!J10*100,"na")</f>
        <v>na</v>
      </c>
      <c r="K10" s="86" t="str">
        <f>IFERROR('1l'!K10/'1l'!K10*100,"na")</f>
        <v>na</v>
      </c>
      <c r="L10" s="86" t="str">
        <f>IFERROR('1l'!L10/'1l'!L10*100,"na")</f>
        <v>na</v>
      </c>
      <c r="M10" s="87" t="str">
        <f>IFERROR('1l'!M10/'1l'!M10*100,"na")</f>
        <v>na</v>
      </c>
    </row>
    <row r="11" spans="1:13">
      <c r="A11" s="185">
        <v>1986</v>
      </c>
      <c r="B11" s="85" t="str">
        <f>IFERROR('1l'!B11/'1l'!J11*100, "na")</f>
        <v>na</v>
      </c>
      <c r="C11" s="86" t="str">
        <f>IFERROR('1l'!C11/'1l'!K11*100, "na")</f>
        <v>na</v>
      </c>
      <c r="D11" s="86" t="str">
        <f>IFERROR('1l'!D11/'1l'!L11*100, "na")</f>
        <v>na</v>
      </c>
      <c r="E11" s="87" t="str">
        <f>IFERROR('1l'!E11/'1l'!M11*100, "na")</f>
        <v>na</v>
      </c>
      <c r="F11" s="85" t="str">
        <f>IFERROR('1l'!F11/'1l'!J11*100, "na")</f>
        <v>na</v>
      </c>
      <c r="G11" s="86" t="str">
        <f>IFERROR('1l'!G11/'1l'!K11*100, "na")</f>
        <v>na</v>
      </c>
      <c r="H11" s="86" t="str">
        <f>IFERROR('1l'!H11/'1l'!L11*100, "na")</f>
        <v>na</v>
      </c>
      <c r="I11" s="87" t="str">
        <f>IFERROR('1l'!I11/'1l'!M11*100, "na")</f>
        <v>na</v>
      </c>
      <c r="J11" s="85" t="str">
        <f>IFERROR('1l'!J11/'1l'!J11*100,"na")</f>
        <v>na</v>
      </c>
      <c r="K11" s="86" t="str">
        <f>IFERROR('1l'!K11/'1l'!K11*100,"na")</f>
        <v>na</v>
      </c>
      <c r="L11" s="86" t="str">
        <f>IFERROR('1l'!L11/'1l'!L11*100,"na")</f>
        <v>na</v>
      </c>
      <c r="M11" s="87" t="str">
        <f>IFERROR('1l'!M11/'1l'!M11*100,"na")</f>
        <v>na</v>
      </c>
    </row>
    <row r="12" spans="1:13">
      <c r="A12" s="185">
        <v>1987</v>
      </c>
      <c r="B12" s="85" t="str">
        <f>IFERROR('1l'!B12/'1l'!J12*100, "na")</f>
        <v>na</v>
      </c>
      <c r="C12" s="86" t="str">
        <f>IFERROR('1l'!C12/'1l'!K12*100, "na")</f>
        <v>na</v>
      </c>
      <c r="D12" s="86" t="str">
        <f>IFERROR('1l'!D12/'1l'!L12*100, "na")</f>
        <v>na</v>
      </c>
      <c r="E12" s="87" t="str">
        <f>IFERROR('1l'!E12/'1l'!M12*100, "na")</f>
        <v>na</v>
      </c>
      <c r="F12" s="85" t="str">
        <f>IFERROR('1l'!F12/'1l'!J12*100, "na")</f>
        <v>na</v>
      </c>
      <c r="G12" s="86" t="str">
        <f>IFERROR('1l'!G12/'1l'!K12*100, "na")</f>
        <v>na</v>
      </c>
      <c r="H12" s="86" t="str">
        <f>IFERROR('1l'!H12/'1l'!L12*100, "na")</f>
        <v>na</v>
      </c>
      <c r="I12" s="87" t="str">
        <f>IFERROR('1l'!I12/'1l'!M12*100, "na")</f>
        <v>na</v>
      </c>
      <c r="J12" s="85" t="str">
        <f>IFERROR('1l'!J12/'1l'!J12*100,"na")</f>
        <v>na</v>
      </c>
      <c r="K12" s="86" t="str">
        <f>IFERROR('1l'!K12/'1l'!K12*100,"na")</f>
        <v>na</v>
      </c>
      <c r="L12" s="86" t="str">
        <f>IFERROR('1l'!L12/'1l'!L12*100,"na")</f>
        <v>na</v>
      </c>
      <c r="M12" s="87" t="str">
        <f>IFERROR('1l'!M12/'1l'!M12*100,"na")</f>
        <v>na</v>
      </c>
    </row>
    <row r="13" spans="1:13">
      <c r="A13" s="185">
        <v>1988</v>
      </c>
      <c r="B13" s="85" t="str">
        <f>IFERROR('1l'!B13/'1l'!J13*100, "na")</f>
        <v>na</v>
      </c>
      <c r="C13" s="86" t="str">
        <f>IFERROR('1l'!C13/'1l'!K13*100, "na")</f>
        <v>na</v>
      </c>
      <c r="D13" s="86" t="str">
        <f>IFERROR('1l'!D13/'1l'!L13*100, "na")</f>
        <v>na</v>
      </c>
      <c r="E13" s="87" t="str">
        <f>IFERROR('1l'!E13/'1l'!M13*100, "na")</f>
        <v>na</v>
      </c>
      <c r="F13" s="85" t="str">
        <f>IFERROR('1l'!F13/'1l'!J13*100, "na")</f>
        <v>na</v>
      </c>
      <c r="G13" s="86" t="str">
        <f>IFERROR('1l'!G13/'1l'!K13*100, "na")</f>
        <v>na</v>
      </c>
      <c r="H13" s="86" t="str">
        <f>IFERROR('1l'!H13/'1l'!L13*100, "na")</f>
        <v>na</v>
      </c>
      <c r="I13" s="87" t="str">
        <f>IFERROR('1l'!I13/'1l'!M13*100, "na")</f>
        <v>na</v>
      </c>
      <c r="J13" s="85" t="str">
        <f>IFERROR('1l'!J13/'1l'!J13*100,"na")</f>
        <v>na</v>
      </c>
      <c r="K13" s="86" t="str">
        <f>IFERROR('1l'!K13/'1l'!K13*100,"na")</f>
        <v>na</v>
      </c>
      <c r="L13" s="86" t="str">
        <f>IFERROR('1l'!L13/'1l'!L13*100,"na")</f>
        <v>na</v>
      </c>
      <c r="M13" s="87" t="str">
        <f>IFERROR('1l'!M13/'1l'!M13*100,"na")</f>
        <v>na</v>
      </c>
    </row>
    <row r="14" spans="1:13">
      <c r="A14" s="185">
        <v>1989</v>
      </c>
      <c r="B14" s="85" t="str">
        <f>IFERROR('1l'!B14/'1l'!J14*100, "na")</f>
        <v>na</v>
      </c>
      <c r="C14" s="86" t="str">
        <f>IFERROR('1l'!C14/'1l'!K14*100, "na")</f>
        <v>na</v>
      </c>
      <c r="D14" s="86" t="str">
        <f>IFERROR('1l'!D14/'1l'!L14*100, "na")</f>
        <v>na</v>
      </c>
      <c r="E14" s="87" t="str">
        <f>IFERROR('1l'!E14/'1l'!M14*100, "na")</f>
        <v>na</v>
      </c>
      <c r="F14" s="85" t="str">
        <f>IFERROR('1l'!F14/'1l'!J14*100, "na")</f>
        <v>na</v>
      </c>
      <c r="G14" s="86" t="str">
        <f>IFERROR('1l'!G14/'1l'!K14*100, "na")</f>
        <v>na</v>
      </c>
      <c r="H14" s="86" t="str">
        <f>IFERROR('1l'!H14/'1l'!L14*100, "na")</f>
        <v>na</v>
      </c>
      <c r="I14" s="87" t="str">
        <f>IFERROR('1l'!I14/'1l'!M14*100, "na")</f>
        <v>na</v>
      </c>
      <c r="J14" s="85" t="str">
        <f>IFERROR('1l'!J14/'1l'!J14*100,"na")</f>
        <v>na</v>
      </c>
      <c r="K14" s="86" t="str">
        <f>IFERROR('1l'!K14/'1l'!K14*100,"na")</f>
        <v>na</v>
      </c>
      <c r="L14" s="86" t="str">
        <f>IFERROR('1l'!L14/'1l'!L14*100,"na")</f>
        <v>na</v>
      </c>
      <c r="M14" s="87" t="str">
        <f>IFERROR('1l'!M14/'1l'!M14*100,"na")</f>
        <v>na</v>
      </c>
    </row>
    <row r="15" spans="1:13">
      <c r="A15" s="185">
        <v>1990</v>
      </c>
      <c r="B15" s="85" t="str">
        <f>IFERROR('1l'!B15/'1l'!J15*100, "na")</f>
        <v>na</v>
      </c>
      <c r="C15" s="86" t="str">
        <f>IFERROR('1l'!C15/'1l'!K15*100, "na")</f>
        <v>na</v>
      </c>
      <c r="D15" s="86" t="str">
        <f>IFERROR('1l'!D15/'1l'!L15*100, "na")</f>
        <v>na</v>
      </c>
      <c r="E15" s="87" t="str">
        <f>IFERROR('1l'!E15/'1l'!M15*100, "na")</f>
        <v>na</v>
      </c>
      <c r="F15" s="85" t="str">
        <f>IFERROR('1l'!F15/'1l'!J15*100, "na")</f>
        <v>na</v>
      </c>
      <c r="G15" s="86" t="str">
        <f>IFERROR('1l'!G15/'1l'!K15*100, "na")</f>
        <v>na</v>
      </c>
      <c r="H15" s="86" t="str">
        <f>IFERROR('1l'!H15/'1l'!L15*100, "na")</f>
        <v>na</v>
      </c>
      <c r="I15" s="87" t="str">
        <f>IFERROR('1l'!I15/'1l'!M15*100, "na")</f>
        <v>na</v>
      </c>
      <c r="J15" s="85" t="str">
        <f>IFERROR('1l'!J15/'1l'!J15*100,"na")</f>
        <v>na</v>
      </c>
      <c r="K15" s="86" t="str">
        <f>IFERROR('1l'!K15/'1l'!K15*100,"na")</f>
        <v>na</v>
      </c>
      <c r="L15" s="86" t="str">
        <f>IFERROR('1l'!L15/'1l'!L15*100,"na")</f>
        <v>na</v>
      </c>
      <c r="M15" s="87" t="str">
        <f>IFERROR('1l'!M15/'1l'!M15*100,"na")</f>
        <v>na</v>
      </c>
    </row>
    <row r="16" spans="1:13">
      <c r="A16" s="185">
        <v>1991</v>
      </c>
      <c r="B16" s="85" t="str">
        <f>IFERROR('1l'!B16/'1l'!J16*100, "na")</f>
        <v>na</v>
      </c>
      <c r="C16" s="86" t="str">
        <f>IFERROR('1l'!C16/'1l'!K16*100, "na")</f>
        <v>na</v>
      </c>
      <c r="D16" s="86" t="str">
        <f>IFERROR('1l'!D16/'1l'!L16*100, "na")</f>
        <v>na</v>
      </c>
      <c r="E16" s="87" t="str">
        <f>IFERROR('1l'!E16/'1l'!M16*100, "na")</f>
        <v>na</v>
      </c>
      <c r="F16" s="85" t="str">
        <f>IFERROR('1l'!F16/'1l'!J16*100, "na")</f>
        <v>na</v>
      </c>
      <c r="G16" s="86" t="str">
        <f>IFERROR('1l'!G16/'1l'!K16*100, "na")</f>
        <v>na</v>
      </c>
      <c r="H16" s="86" t="str">
        <f>IFERROR('1l'!H16/'1l'!L16*100, "na")</f>
        <v>na</v>
      </c>
      <c r="I16" s="87" t="str">
        <f>IFERROR('1l'!I16/'1l'!M16*100, "na")</f>
        <v>na</v>
      </c>
      <c r="J16" s="85" t="str">
        <f>IFERROR('1l'!J16/'1l'!J16*100,"na")</f>
        <v>na</v>
      </c>
      <c r="K16" s="86" t="str">
        <f>IFERROR('1l'!K16/'1l'!K16*100,"na")</f>
        <v>na</v>
      </c>
      <c r="L16" s="86" t="str">
        <f>IFERROR('1l'!L16/'1l'!L16*100,"na")</f>
        <v>na</v>
      </c>
      <c r="M16" s="87" t="str">
        <f>IFERROR('1l'!M16/'1l'!M16*100,"na")</f>
        <v>na</v>
      </c>
    </row>
    <row r="17" spans="1:13">
      <c r="A17" s="185">
        <v>1992</v>
      </c>
      <c r="B17" s="85" t="str">
        <f>IFERROR('1l'!B17/'1l'!J17*100, "na")</f>
        <v>na</v>
      </c>
      <c r="C17" s="86" t="str">
        <f>IFERROR('1l'!C17/'1l'!K17*100, "na")</f>
        <v>na</v>
      </c>
      <c r="D17" s="86" t="str">
        <f>IFERROR('1l'!D17/'1l'!L17*100, "na")</f>
        <v>na</v>
      </c>
      <c r="E17" s="87" t="str">
        <f>IFERROR('1l'!E17/'1l'!M17*100, "na")</f>
        <v>na</v>
      </c>
      <c r="F17" s="85" t="str">
        <f>IFERROR('1l'!F17/'1l'!J17*100, "na")</f>
        <v>na</v>
      </c>
      <c r="G17" s="86" t="str">
        <f>IFERROR('1l'!G17/'1l'!K17*100, "na")</f>
        <v>na</v>
      </c>
      <c r="H17" s="86" t="str">
        <f>IFERROR('1l'!H17/'1l'!L17*100, "na")</f>
        <v>na</v>
      </c>
      <c r="I17" s="87" t="str">
        <f>IFERROR('1l'!I17/'1l'!M17*100, "na")</f>
        <v>na</v>
      </c>
      <c r="J17" s="85" t="str">
        <f>IFERROR('1l'!J17/'1l'!J17*100,"na")</f>
        <v>na</v>
      </c>
      <c r="K17" s="86" t="str">
        <f>IFERROR('1l'!K17/'1l'!K17*100,"na")</f>
        <v>na</v>
      </c>
      <c r="L17" s="86" t="str">
        <f>IFERROR('1l'!L17/'1l'!L17*100,"na")</f>
        <v>na</v>
      </c>
      <c r="M17" s="87" t="str">
        <f>IFERROR('1l'!M17/'1l'!M17*100,"na")</f>
        <v>na</v>
      </c>
    </row>
    <row r="18" spans="1:13">
      <c r="A18" s="185">
        <v>1993</v>
      </c>
      <c r="B18" s="85" t="str">
        <f>IFERROR('1l'!B18/'1l'!J18*100, "na")</f>
        <v>na</v>
      </c>
      <c r="C18" s="86" t="str">
        <f>IFERROR('1l'!C18/'1l'!K18*100, "na")</f>
        <v>na</v>
      </c>
      <c r="D18" s="86" t="str">
        <f>IFERROR('1l'!D18/'1l'!L18*100, "na")</f>
        <v>na</v>
      </c>
      <c r="E18" s="87" t="str">
        <f>IFERROR('1l'!E18/'1l'!M18*100, "na")</f>
        <v>na</v>
      </c>
      <c r="F18" s="85" t="str">
        <f>IFERROR('1l'!F18/'1l'!J18*100, "na")</f>
        <v>na</v>
      </c>
      <c r="G18" s="86" t="str">
        <f>IFERROR('1l'!G18/'1l'!K18*100, "na")</f>
        <v>na</v>
      </c>
      <c r="H18" s="86" t="str">
        <f>IFERROR('1l'!H18/'1l'!L18*100, "na")</f>
        <v>na</v>
      </c>
      <c r="I18" s="87" t="str">
        <f>IFERROR('1l'!I18/'1l'!M18*100, "na")</f>
        <v>na</v>
      </c>
      <c r="J18" s="85" t="str">
        <f>IFERROR('1l'!J18/'1l'!J18*100,"na")</f>
        <v>na</v>
      </c>
      <c r="K18" s="86" t="str">
        <f>IFERROR('1l'!K18/'1l'!K18*100,"na")</f>
        <v>na</v>
      </c>
      <c r="L18" s="86" t="str">
        <f>IFERROR('1l'!L18/'1l'!L18*100,"na")</f>
        <v>na</v>
      </c>
      <c r="M18" s="87" t="str">
        <f>IFERROR('1l'!M18/'1l'!M18*100,"na")</f>
        <v>na</v>
      </c>
    </row>
    <row r="19" spans="1:13">
      <c r="A19" s="185">
        <v>1994</v>
      </c>
      <c r="B19" s="85" t="str">
        <f>IFERROR('1l'!B19/'1l'!J19*100, "na")</f>
        <v>na</v>
      </c>
      <c r="C19" s="86" t="str">
        <f>IFERROR('1l'!C19/'1l'!K19*100, "na")</f>
        <v>na</v>
      </c>
      <c r="D19" s="86" t="str">
        <f>IFERROR('1l'!D19/'1l'!L19*100, "na")</f>
        <v>na</v>
      </c>
      <c r="E19" s="87" t="str">
        <f>IFERROR('1l'!E19/'1l'!M19*100, "na")</f>
        <v>na</v>
      </c>
      <c r="F19" s="85" t="str">
        <f>IFERROR('1l'!F19/'1l'!J19*100, "na")</f>
        <v>na</v>
      </c>
      <c r="G19" s="86" t="str">
        <f>IFERROR('1l'!G19/'1l'!K19*100, "na")</f>
        <v>na</v>
      </c>
      <c r="H19" s="86" t="str">
        <f>IFERROR('1l'!H19/'1l'!L19*100, "na")</f>
        <v>na</v>
      </c>
      <c r="I19" s="87" t="str">
        <f>IFERROR('1l'!I19/'1l'!M19*100, "na")</f>
        <v>na</v>
      </c>
      <c r="J19" s="85" t="str">
        <f>IFERROR('1l'!J19/'1l'!J19*100,"na")</f>
        <v>na</v>
      </c>
      <c r="K19" s="86" t="str">
        <f>IFERROR('1l'!K19/'1l'!K19*100,"na")</f>
        <v>na</v>
      </c>
      <c r="L19" s="86" t="str">
        <f>IFERROR('1l'!L19/'1l'!L19*100,"na")</f>
        <v>na</v>
      </c>
      <c r="M19" s="87" t="str">
        <f>IFERROR('1l'!M19/'1l'!M19*100,"na")</f>
        <v>na</v>
      </c>
    </row>
    <row r="20" spans="1:13">
      <c r="A20" s="185">
        <v>1995</v>
      </c>
      <c r="B20" s="85" t="str">
        <f>IFERROR('1l'!B20/'1l'!J20*100, "na")</f>
        <v>na</v>
      </c>
      <c r="C20" s="86" t="str">
        <f>IFERROR('1l'!C20/'1l'!K20*100, "na")</f>
        <v>na</v>
      </c>
      <c r="D20" s="86" t="str">
        <f>IFERROR('1l'!D20/'1l'!L20*100, "na")</f>
        <v>na</v>
      </c>
      <c r="E20" s="87" t="str">
        <f>IFERROR('1l'!E20/'1l'!M20*100, "na")</f>
        <v>na</v>
      </c>
      <c r="F20" s="85" t="str">
        <f>IFERROR('1l'!F20/'1l'!J20*100, "na")</f>
        <v>na</v>
      </c>
      <c r="G20" s="86" t="str">
        <f>IFERROR('1l'!G20/'1l'!K20*100, "na")</f>
        <v>na</v>
      </c>
      <c r="H20" s="86" t="str">
        <f>IFERROR('1l'!H20/'1l'!L20*100, "na")</f>
        <v>na</v>
      </c>
      <c r="I20" s="87" t="str">
        <f>IFERROR('1l'!I20/'1l'!M20*100, "na")</f>
        <v>na</v>
      </c>
      <c r="J20" s="85" t="str">
        <f>IFERROR('1l'!J20/'1l'!J20*100,"na")</f>
        <v>na</v>
      </c>
      <c r="K20" s="86" t="str">
        <f>IFERROR('1l'!K20/'1l'!K20*100,"na")</f>
        <v>na</v>
      </c>
      <c r="L20" s="86" t="str">
        <f>IFERROR('1l'!L20/'1l'!L20*100,"na")</f>
        <v>na</v>
      </c>
      <c r="M20" s="87" t="str">
        <f>IFERROR('1l'!M20/'1l'!M20*100,"na")</f>
        <v>na</v>
      </c>
    </row>
    <row r="21" spans="1:13">
      <c r="A21" s="185">
        <v>1996</v>
      </c>
      <c r="B21" s="85" t="str">
        <f>IFERROR('1l'!B21/'1l'!J21*100, "na")</f>
        <v>na</v>
      </c>
      <c r="C21" s="86" t="str">
        <f>IFERROR('1l'!C21/'1l'!K21*100, "na")</f>
        <v>na</v>
      </c>
      <c r="D21" s="86" t="str">
        <f>IFERROR('1l'!D21/'1l'!L21*100, "na")</f>
        <v>na</v>
      </c>
      <c r="E21" s="87" t="str">
        <f>IFERROR('1l'!E21/'1l'!M21*100, "na")</f>
        <v>na</v>
      </c>
      <c r="F21" s="85" t="str">
        <f>IFERROR('1l'!F21/'1l'!J21*100, "na")</f>
        <v>na</v>
      </c>
      <c r="G21" s="86" t="str">
        <f>IFERROR('1l'!G21/'1l'!K21*100, "na")</f>
        <v>na</v>
      </c>
      <c r="H21" s="86" t="str">
        <f>IFERROR('1l'!H21/'1l'!L21*100, "na")</f>
        <v>na</v>
      </c>
      <c r="I21" s="87" t="str">
        <f>IFERROR('1l'!I21/'1l'!M21*100, "na")</f>
        <v>na</v>
      </c>
      <c r="J21" s="85" t="str">
        <f>IFERROR('1l'!J21/'1l'!J21*100,"na")</f>
        <v>na</v>
      </c>
      <c r="K21" s="86" t="str">
        <f>IFERROR('1l'!K21/'1l'!K21*100,"na")</f>
        <v>na</v>
      </c>
      <c r="L21" s="86" t="str">
        <f>IFERROR('1l'!L21/'1l'!L21*100,"na")</f>
        <v>na</v>
      </c>
      <c r="M21" s="87" t="str">
        <f>IFERROR('1l'!M21/'1l'!M21*100,"na")</f>
        <v>na</v>
      </c>
    </row>
    <row r="22" spans="1:13">
      <c r="A22" s="185">
        <v>1997</v>
      </c>
      <c r="B22" s="85">
        <f>IFERROR('1l'!B22/'1l'!J22*100, "na")</f>
        <v>290.20445990634033</v>
      </c>
      <c r="C22" s="86">
        <f>IFERROR('1l'!C22/'1l'!K22*100, "na")</f>
        <v>266.05095856719868</v>
      </c>
      <c r="D22" s="86">
        <f>IFERROR('1l'!D22/'1l'!L22*100, "na")</f>
        <v>90.795771257946498</v>
      </c>
      <c r="E22" s="87">
        <f>IFERROR('1l'!E22/'1l'!M22*100, "na")</f>
        <v>226.14737287882781</v>
      </c>
      <c r="F22" s="85">
        <f>IFERROR('1l'!F22/'1l'!J22*100, "na")</f>
        <v>277.12050504511888</v>
      </c>
      <c r="G22" s="86">
        <f>IFERROR('1l'!G22/'1l'!K22*100, "na")</f>
        <v>216.09547117359199</v>
      </c>
      <c r="H22" s="86">
        <f>IFERROR('1l'!H22/'1l'!L22*100, "na")</f>
        <v>5.1316484412948382</v>
      </c>
      <c r="I22" s="87">
        <f>IFERROR('1l'!I22/'1l'!M22*100, "na")</f>
        <v>178.05581937911768</v>
      </c>
      <c r="J22" s="85">
        <f>IFERROR('1l'!J22/'1l'!J22*100,"na")</f>
        <v>100</v>
      </c>
      <c r="K22" s="86">
        <f>IFERROR('1l'!K22/'1l'!K22*100,"na")</f>
        <v>100</v>
      </c>
      <c r="L22" s="86">
        <f>IFERROR('1l'!L22/'1l'!L22*100,"na")</f>
        <v>100</v>
      </c>
      <c r="M22" s="87">
        <f>IFERROR('1l'!M22/'1l'!M22*100,"na")</f>
        <v>100</v>
      </c>
    </row>
    <row r="23" spans="1:13">
      <c r="A23" s="185">
        <v>1998</v>
      </c>
      <c r="B23" s="85">
        <f>IFERROR('1l'!B23/'1l'!J23*100, "na")</f>
        <v>270.764666561696</v>
      </c>
      <c r="C23" s="86">
        <f>IFERROR('1l'!C23/'1l'!K23*100, "na")</f>
        <v>262.71744703026599</v>
      </c>
      <c r="D23" s="86">
        <f>IFERROR('1l'!D23/'1l'!L23*100, "na")</f>
        <v>22.857248651935972</v>
      </c>
      <c r="E23" s="87">
        <f>IFERROR('1l'!E23/'1l'!M23*100, "na")</f>
        <v>210.87895694591779</v>
      </c>
      <c r="F23" s="85">
        <f>IFERROR('1l'!F23/'1l'!J23*100, "na")</f>
        <v>459.36508171235283</v>
      </c>
      <c r="G23" s="86">
        <f>IFERROR('1l'!G23/'1l'!K23*100, "na")</f>
        <v>238.33297065917125</v>
      </c>
      <c r="H23" s="86">
        <f>IFERROR('1l'!H23/'1l'!L23*100, "na")</f>
        <v>29.386144216099687</v>
      </c>
      <c r="I23" s="87">
        <f>IFERROR('1l'!I23/'1l'!M23*100, "na")</f>
        <v>270.98694645354504</v>
      </c>
      <c r="J23" s="85">
        <f>IFERROR('1l'!J23/'1l'!J23*100,"na")</f>
        <v>100</v>
      </c>
      <c r="K23" s="86">
        <f>IFERROR('1l'!K23/'1l'!K23*100,"na")</f>
        <v>100</v>
      </c>
      <c r="L23" s="86">
        <f>IFERROR('1l'!L23/'1l'!L23*100,"na")</f>
        <v>100</v>
      </c>
      <c r="M23" s="87">
        <f>IFERROR('1l'!M23/'1l'!M23*100,"na")</f>
        <v>100</v>
      </c>
    </row>
    <row r="24" spans="1:13">
      <c r="A24" s="185">
        <v>1999</v>
      </c>
      <c r="B24" s="85">
        <f>IFERROR('1l'!B24/'1l'!J24*100, "na")</f>
        <v>198.28862356374199</v>
      </c>
      <c r="C24" s="86">
        <f>IFERROR('1l'!C24/'1l'!K24*100, "na")</f>
        <v>375.36443595978136</v>
      </c>
      <c r="D24" s="86">
        <f>IFERROR('1l'!D24/'1l'!L24*100, "na")</f>
        <v>23.780763571393905</v>
      </c>
      <c r="E24" s="87">
        <f>IFERROR('1l'!E24/'1l'!M24*100, "na")</f>
        <v>223.834240763449</v>
      </c>
      <c r="F24" s="85">
        <f>IFERROR('1l'!F24/'1l'!J24*100, "na")</f>
        <v>59.573792222978604</v>
      </c>
      <c r="G24" s="86">
        <f>IFERROR('1l'!G24/'1l'!K24*100, "na")</f>
        <v>117.67454034381456</v>
      </c>
      <c r="H24" s="86">
        <f>IFERROR('1l'!H24/'1l'!L24*100, "na")</f>
        <v>2.5305394537525978</v>
      </c>
      <c r="I24" s="87">
        <f>IFERROR('1l'!I24/'1l'!M24*100, "na")</f>
        <v>68.009880041376761</v>
      </c>
      <c r="J24" s="85">
        <f>IFERROR('1l'!J24/'1l'!J24*100,"na")</f>
        <v>100</v>
      </c>
      <c r="K24" s="86">
        <f>IFERROR('1l'!K24/'1l'!K24*100,"na")</f>
        <v>100</v>
      </c>
      <c r="L24" s="86">
        <f>IFERROR('1l'!L24/'1l'!L24*100,"na")</f>
        <v>100</v>
      </c>
      <c r="M24" s="87">
        <f>IFERROR('1l'!M24/'1l'!M24*100,"na")</f>
        <v>100</v>
      </c>
    </row>
    <row r="25" spans="1:13">
      <c r="A25" s="185">
        <v>2000</v>
      </c>
      <c r="B25" s="85">
        <f>IFERROR('1l'!B25/'1l'!J25*100, "na")</f>
        <v>41.75800052780032</v>
      </c>
      <c r="C25" s="86">
        <f>IFERROR('1l'!C25/'1l'!K25*100, "na")</f>
        <v>430.15322157126582</v>
      </c>
      <c r="D25" s="86">
        <f>IFERROR('1l'!D25/'1l'!L25*100, "na")</f>
        <v>7.1562827165162766</v>
      </c>
      <c r="E25" s="87">
        <f>IFERROR('1l'!E25/'1l'!M25*100, "na")</f>
        <v>177.24118403998793</v>
      </c>
      <c r="F25" s="85">
        <f>IFERROR('1l'!F25/'1l'!J25*100, "na")</f>
        <v>130.32995118582181</v>
      </c>
      <c r="G25" s="86">
        <f>IFERROR('1l'!G25/'1l'!K25*100, "na")</f>
        <v>258.19601461723863</v>
      </c>
      <c r="H25" s="86">
        <f>IFERROR('1l'!H25/'1l'!L25*100, "na")</f>
        <v>44.664744528009869</v>
      </c>
      <c r="I25" s="87">
        <f>IFERROR('1l'!I25/'1l'!M25*100, "na")</f>
        <v>153.80183019353569</v>
      </c>
      <c r="J25" s="85">
        <f>IFERROR('1l'!J25/'1l'!J25*100,"na")</f>
        <v>100</v>
      </c>
      <c r="K25" s="86">
        <f>IFERROR('1l'!K25/'1l'!K25*100,"na")</f>
        <v>100</v>
      </c>
      <c r="L25" s="86">
        <f>IFERROR('1l'!L25/'1l'!L25*100,"na")</f>
        <v>100</v>
      </c>
      <c r="M25" s="87">
        <f>IFERROR('1l'!M25/'1l'!M25*100,"na")</f>
        <v>100</v>
      </c>
    </row>
    <row r="26" spans="1:13">
      <c r="A26" s="185">
        <v>2001</v>
      </c>
      <c r="B26" s="85">
        <f>IFERROR('1l'!B26/'1l'!J26*100, "na")</f>
        <v>8.7157456524153201</v>
      </c>
      <c r="C26" s="86">
        <f>IFERROR('1l'!C26/'1l'!K26*100, "na")</f>
        <v>288.44610888125828</v>
      </c>
      <c r="D26" s="86">
        <f>IFERROR('1l'!D26/'1l'!L26*100, "na")</f>
        <v>2.7816961030742063E-2</v>
      </c>
      <c r="E26" s="87">
        <f>IFERROR('1l'!E26/'1l'!M26*100, "na")</f>
        <v>121.20502753317817</v>
      </c>
      <c r="F26" s="85">
        <f>IFERROR('1l'!F26/'1l'!J26*100, "na")</f>
        <v>0.59010509369716002</v>
      </c>
      <c r="G26" s="86">
        <f>IFERROR('1l'!G26/'1l'!K26*100, "na")</f>
        <v>169.78022521207635</v>
      </c>
      <c r="H26" s="86">
        <f>IFERROR('1l'!H26/'1l'!L26*100, "na")</f>
        <v>2.2970775235271539</v>
      </c>
      <c r="I26" s="87">
        <f>IFERROR('1l'!I26/'1l'!M26*100, "na")</f>
        <v>70.704020879432022</v>
      </c>
      <c r="J26" s="85">
        <f>IFERROR('1l'!J26/'1l'!J26*100,"na")</f>
        <v>100</v>
      </c>
      <c r="K26" s="86">
        <f>IFERROR('1l'!K26/'1l'!K26*100,"na")</f>
        <v>100</v>
      </c>
      <c r="L26" s="86">
        <f>IFERROR('1l'!L26/'1l'!L26*100,"na")</f>
        <v>100</v>
      </c>
      <c r="M26" s="87">
        <f>IFERROR('1l'!M26/'1l'!M26*100,"na")</f>
        <v>100</v>
      </c>
    </row>
    <row r="27" spans="1:13">
      <c r="A27" s="185">
        <v>2002</v>
      </c>
      <c r="B27" s="85">
        <f>IFERROR('1l'!B27/'1l'!J27*100, "na")</f>
        <v>84.889130700010739</v>
      </c>
      <c r="C27" s="86">
        <f>IFERROR('1l'!C27/'1l'!K27*100, "na")</f>
        <v>217.25120884075065</v>
      </c>
      <c r="D27" s="86">
        <f>IFERROR('1l'!D27/'1l'!L27*100, "na")</f>
        <v>9.9973893517391552</v>
      </c>
      <c r="E27" s="87">
        <f>IFERROR('1l'!E27/'1l'!M27*100, "na")</f>
        <v>118.29260824651189</v>
      </c>
      <c r="F27" s="85">
        <f>IFERROR('1l'!F27/'1l'!J27*100, "na")</f>
        <v>8.1589885057547971</v>
      </c>
      <c r="G27" s="86">
        <f>IFERROR('1l'!G27/'1l'!K27*100, "na")</f>
        <v>141.0121354329693</v>
      </c>
      <c r="H27" s="86">
        <f>IFERROR('1l'!H27/'1l'!L27*100, "na")</f>
        <v>9.6801765343094193</v>
      </c>
      <c r="I27" s="87">
        <f>IFERROR('1l'!I27/'1l'!M27*100, "na")</f>
        <v>63.199085036682789</v>
      </c>
      <c r="J27" s="85">
        <f>IFERROR('1l'!J27/'1l'!J27*100,"na")</f>
        <v>100</v>
      </c>
      <c r="K27" s="86">
        <f>IFERROR('1l'!K27/'1l'!K27*100,"na")</f>
        <v>100</v>
      </c>
      <c r="L27" s="86">
        <f>IFERROR('1l'!L27/'1l'!L27*100,"na")</f>
        <v>100</v>
      </c>
      <c r="M27" s="87">
        <f>IFERROR('1l'!M27/'1l'!M27*100,"na")</f>
        <v>100</v>
      </c>
    </row>
    <row r="28" spans="1:13">
      <c r="A28" s="185">
        <v>2003</v>
      </c>
      <c r="B28" s="85">
        <f>IFERROR('1l'!B28/'1l'!J28*100, "na")</f>
        <v>164.41445272988742</v>
      </c>
      <c r="C28" s="86">
        <f>IFERROR('1l'!C28/'1l'!K28*100, "na")</f>
        <v>199.47692579491638</v>
      </c>
      <c r="D28" s="86">
        <f>IFERROR('1l'!D28/'1l'!L28*100, "na")</f>
        <v>38.696750687884027</v>
      </c>
      <c r="E28" s="87">
        <f>IFERROR('1l'!E28/'1l'!M28*100, "na")</f>
        <v>147.36696511694117</v>
      </c>
      <c r="F28" s="85">
        <f>IFERROR('1l'!F28/'1l'!J28*100, "na")</f>
        <v>51.028065367662478</v>
      </c>
      <c r="G28" s="86">
        <f>IFERROR('1l'!G28/'1l'!K28*100, "na")</f>
        <v>154.66882592386852</v>
      </c>
      <c r="H28" s="86">
        <f>IFERROR('1l'!H28/'1l'!L28*100, "na")</f>
        <v>13.863670599425371</v>
      </c>
      <c r="I28" s="87">
        <f>IFERROR('1l'!I28/'1l'!M28*100, "na")</f>
        <v>85.153543773237701</v>
      </c>
      <c r="J28" s="85">
        <f>IFERROR('1l'!J28/'1l'!J28*100,"na")</f>
        <v>100</v>
      </c>
      <c r="K28" s="86">
        <f>IFERROR('1l'!K28/'1l'!K28*100,"na")</f>
        <v>100</v>
      </c>
      <c r="L28" s="86">
        <f>IFERROR('1l'!L28/'1l'!L28*100,"na")</f>
        <v>100</v>
      </c>
      <c r="M28" s="87">
        <f>IFERROR('1l'!M28/'1l'!M28*100,"na")</f>
        <v>100</v>
      </c>
    </row>
    <row r="29" spans="1:13">
      <c r="A29" s="185">
        <v>2004</v>
      </c>
      <c r="B29" s="85">
        <f>IFERROR('1l'!B29/'1l'!J29*100, "na")</f>
        <v>185.42254547339451</v>
      </c>
      <c r="C29" s="86">
        <f>IFERROR('1l'!C29/'1l'!K29*100, "na")</f>
        <v>278.43258127466669</v>
      </c>
      <c r="D29" s="86">
        <f>IFERROR('1l'!D29/'1l'!L29*100, "na")</f>
        <v>49.572903790467592</v>
      </c>
      <c r="E29" s="87">
        <f>IFERROR('1l'!E29/'1l'!M29*100, "na")</f>
        <v>194.54082973479032</v>
      </c>
      <c r="F29" s="85">
        <f>IFERROR('1l'!F29/'1l'!J29*100, "na")</f>
        <v>50.308081693915838</v>
      </c>
      <c r="G29" s="86">
        <f>IFERROR('1l'!G29/'1l'!K29*100, "na")</f>
        <v>279.14424867439925</v>
      </c>
      <c r="H29" s="86">
        <f>IFERROR('1l'!H29/'1l'!L29*100, "na")</f>
        <v>18.852563957067378</v>
      </c>
      <c r="I29" s="87">
        <f>IFERROR('1l'!I29/'1l'!M29*100, "na")</f>
        <v>141.4484340138585</v>
      </c>
      <c r="J29" s="85">
        <f>IFERROR('1l'!J29/'1l'!J29*100,"na")</f>
        <v>100</v>
      </c>
      <c r="K29" s="86">
        <f>IFERROR('1l'!K29/'1l'!K29*100,"na")</f>
        <v>100</v>
      </c>
      <c r="L29" s="86">
        <f>IFERROR('1l'!L29/'1l'!L29*100,"na")</f>
        <v>100</v>
      </c>
      <c r="M29" s="87">
        <f>IFERROR('1l'!M29/'1l'!M29*100,"na")</f>
        <v>100</v>
      </c>
    </row>
    <row r="30" spans="1:13">
      <c r="A30" s="185">
        <v>2005</v>
      </c>
      <c r="B30" s="85">
        <f>IFERROR('1l'!B30/'1l'!J30*100, "na")</f>
        <v>212.87276987563413</v>
      </c>
      <c r="C30" s="86">
        <f>IFERROR('1l'!C30/'1l'!K30*100, "na")</f>
        <v>351.53889668242539</v>
      </c>
      <c r="D30" s="86">
        <f>IFERROR('1l'!D30/'1l'!L30*100, "na")</f>
        <v>48.26024968094859</v>
      </c>
      <c r="E30" s="87">
        <f>IFERROR('1l'!E30/'1l'!M30*100, "na")</f>
        <v>241.87524085964122</v>
      </c>
      <c r="F30" s="85">
        <f>IFERROR('1l'!F30/'1l'!J30*100, "na")</f>
        <v>78.272023875203956</v>
      </c>
      <c r="G30" s="86">
        <f>IFERROR('1l'!G30/'1l'!K30*100, "na")</f>
        <v>349.05577657822408</v>
      </c>
      <c r="H30" s="86">
        <f>IFERROR('1l'!H30/'1l'!L30*100, "na")</f>
        <v>42.614621266091575</v>
      </c>
      <c r="I30" s="87">
        <f>IFERROR('1l'!I30/'1l'!M30*100, "na")</f>
        <v>193.53513433093491</v>
      </c>
      <c r="J30" s="85">
        <f>IFERROR('1l'!J30/'1l'!J30*100,"na")</f>
        <v>100</v>
      </c>
      <c r="K30" s="86">
        <f>IFERROR('1l'!K30/'1l'!K30*100,"na")</f>
        <v>100</v>
      </c>
      <c r="L30" s="86">
        <f>IFERROR('1l'!L30/'1l'!L30*100,"na")</f>
        <v>100</v>
      </c>
      <c r="M30" s="87">
        <f>IFERROR('1l'!M30/'1l'!M30*100,"na")</f>
        <v>100</v>
      </c>
    </row>
    <row r="31" spans="1:13">
      <c r="A31" s="185">
        <v>2006</v>
      </c>
      <c r="B31" s="85">
        <f>IFERROR('1l'!B31/'1l'!J31*100, "na")</f>
        <v>145.63085645083109</v>
      </c>
      <c r="C31" s="86">
        <f>IFERROR('1l'!C31/'1l'!K31*100, "na")</f>
        <v>281.70212307124007</v>
      </c>
      <c r="D31" s="86">
        <f>IFERROR('1l'!D31/'1l'!L31*100, "na")</f>
        <v>60.622351900536621</v>
      </c>
      <c r="E31" s="87">
        <f>IFERROR('1l'!E31/'1l'!M31*100, "na")</f>
        <v>188.20962156094993</v>
      </c>
      <c r="F31" s="85">
        <f>IFERROR('1l'!F31/'1l'!J31*100, "na")</f>
        <v>65.073107044822805</v>
      </c>
      <c r="G31" s="86">
        <f>IFERROR('1l'!G31/'1l'!K31*100, "na")</f>
        <v>283.02094779868418</v>
      </c>
      <c r="H31" s="86">
        <f>IFERROR('1l'!H31/'1l'!L31*100, "na")</f>
        <v>35.546002208064564</v>
      </c>
      <c r="I31" s="87">
        <f>IFERROR('1l'!I31/'1l'!M31*100, "na")</f>
        <v>154.38622104780089</v>
      </c>
      <c r="J31" s="85">
        <f>IFERROR('1l'!J31/'1l'!J31*100,"na")</f>
        <v>100</v>
      </c>
      <c r="K31" s="86">
        <f>IFERROR('1l'!K31/'1l'!K31*100,"na")</f>
        <v>100</v>
      </c>
      <c r="L31" s="86">
        <f>IFERROR('1l'!L31/'1l'!L31*100,"na")</f>
        <v>100</v>
      </c>
      <c r="M31" s="87">
        <f>IFERROR('1l'!M31/'1l'!M31*100,"na")</f>
        <v>100</v>
      </c>
    </row>
    <row r="32" spans="1:13">
      <c r="A32" s="185">
        <v>2007</v>
      </c>
      <c r="B32" s="85">
        <f>IFERROR('1l'!B32/'1l'!J32*100, "na")</f>
        <v>311.88967262847484</v>
      </c>
      <c r="C32" s="86">
        <f>IFERROR('1l'!C32/'1l'!K32*100, "na")</f>
        <v>257.23911404365293</v>
      </c>
      <c r="D32" s="86">
        <f>IFERROR('1l'!D32/'1l'!L32*100, "na")</f>
        <v>178.15385640100212</v>
      </c>
      <c r="E32" s="87">
        <f>IFERROR('1l'!E32/'1l'!M32*100, "na")</f>
        <v>262.40245110625176</v>
      </c>
      <c r="F32" s="85">
        <f>IFERROR('1l'!F32/'1l'!J32*100, "na")</f>
        <v>31.217053798428022</v>
      </c>
      <c r="G32" s="86">
        <f>IFERROR('1l'!G32/'1l'!K32*100, "na")</f>
        <v>329.89019414691285</v>
      </c>
      <c r="H32" s="86">
        <f>IFERROR('1l'!H32/'1l'!L32*100, "na")</f>
        <v>22.930276578695388</v>
      </c>
      <c r="I32" s="87">
        <f>IFERROR('1l'!I32/'1l'!M32*100, "na")</f>
        <v>175.66091542889214</v>
      </c>
      <c r="J32" s="85">
        <f>IFERROR('1l'!J32/'1l'!J32*100,"na")</f>
        <v>100</v>
      </c>
      <c r="K32" s="86">
        <f>IFERROR('1l'!K32/'1l'!K32*100,"na")</f>
        <v>100</v>
      </c>
      <c r="L32" s="86">
        <f>IFERROR('1l'!L32/'1l'!L32*100,"na")</f>
        <v>100</v>
      </c>
      <c r="M32" s="87">
        <f>IFERROR('1l'!M32/'1l'!M32*100,"na")</f>
        <v>100</v>
      </c>
    </row>
    <row r="33" spans="1:13">
      <c r="A33" s="185">
        <v>2008</v>
      </c>
      <c r="B33" s="85" t="str">
        <f>IFERROR('1l'!B33/'1l'!J33*100, "na")</f>
        <v>na</v>
      </c>
      <c r="C33" s="86" t="str">
        <f>IFERROR('1l'!C33/'1l'!K33*100, "na")</f>
        <v>na</v>
      </c>
      <c r="D33" s="86" t="str">
        <f>IFERROR('1l'!D33/'1l'!L33*100, "na")</f>
        <v>na</v>
      </c>
      <c r="E33" s="87" t="str">
        <f>IFERROR('1l'!E33/'1l'!M33*100, "na")</f>
        <v>na</v>
      </c>
      <c r="F33" s="85" t="str">
        <f>IFERROR('1l'!F33/'1l'!J33*100, "na")</f>
        <v>na</v>
      </c>
      <c r="G33" s="86" t="str">
        <f>IFERROR('1l'!G33/'1l'!K33*100, "na")</f>
        <v>na</v>
      </c>
      <c r="H33" s="86" t="str">
        <f>IFERROR('1l'!H33/'1l'!L33*100, "na")</f>
        <v>na</v>
      </c>
      <c r="I33" s="87" t="str">
        <f>IFERROR('1l'!I33/'1l'!M33*100, "na")</f>
        <v>na</v>
      </c>
      <c r="J33" s="85">
        <f>IFERROR('1l'!J33/'1l'!J33*100,"na")</f>
        <v>100</v>
      </c>
      <c r="K33" s="86">
        <f>IFERROR('1l'!K33/'1l'!K33*100,"na")</f>
        <v>100</v>
      </c>
      <c r="L33" s="86">
        <f>IFERROR('1l'!L33/'1l'!L33*100,"na")</f>
        <v>100</v>
      </c>
      <c r="M33" s="87">
        <f>IFERROR('1l'!M33/'1l'!M33*100,"na")</f>
        <v>100</v>
      </c>
    </row>
    <row r="34" spans="1:13">
      <c r="A34" s="57">
        <f>A33+1</f>
        <v>2009</v>
      </c>
      <c r="B34" s="85" t="str">
        <f>IFERROR('1l'!B34/'1l'!J34*100, "na")</f>
        <v>na</v>
      </c>
      <c r="C34" s="86" t="str">
        <f>IFERROR('1l'!C34/'1l'!K34*100, "na")</f>
        <v>na</v>
      </c>
      <c r="D34" s="86" t="str">
        <f>IFERROR('1l'!D34/'1l'!L34*100, "na")</f>
        <v>na</v>
      </c>
      <c r="E34" s="87" t="str">
        <f>IFERROR('1l'!E34/'1l'!M34*100, "na")</f>
        <v>na</v>
      </c>
      <c r="F34" s="85" t="str">
        <f>IFERROR('1l'!F34/'1l'!J34*100, "na")</f>
        <v>na</v>
      </c>
      <c r="G34" s="86" t="str">
        <f>IFERROR('1l'!G34/'1l'!K34*100, "na")</f>
        <v>na</v>
      </c>
      <c r="H34" s="86" t="str">
        <f>IFERROR('1l'!H34/'1l'!L34*100, "na")</f>
        <v>na</v>
      </c>
      <c r="I34" s="87" t="str">
        <f>IFERROR('1l'!I34/'1l'!M34*100, "na")</f>
        <v>na</v>
      </c>
      <c r="J34" s="85">
        <f>IFERROR('1l'!J34/'1l'!J34*100,"na")</f>
        <v>100</v>
      </c>
      <c r="K34" s="86">
        <f>IFERROR('1l'!K34/'1l'!K34*100,"na")</f>
        <v>100</v>
      </c>
      <c r="L34" s="86">
        <f>IFERROR('1l'!L34/'1l'!L34*100,"na")</f>
        <v>100</v>
      </c>
      <c r="M34" s="87">
        <f>IFERROR('1l'!M34/'1l'!M34*100,"na")</f>
        <v>100</v>
      </c>
    </row>
    <row r="35" spans="1:13">
      <c r="A35" s="58">
        <f t="shared" ref="A35" si="0">A34+1</f>
        <v>2010</v>
      </c>
      <c r="B35" s="88" t="str">
        <f>IFERROR('1l'!B35/'1l'!J35*100, "na")</f>
        <v>na</v>
      </c>
      <c r="C35" s="89" t="str">
        <f>IFERROR('1l'!C35/'1l'!K35*100, "na")</f>
        <v>na</v>
      </c>
      <c r="D35" s="89" t="str">
        <f>IFERROR('1l'!D35/'1l'!L35*100, "na")</f>
        <v>na</v>
      </c>
      <c r="E35" s="90" t="str">
        <f>IFERROR('1l'!E35/'1l'!M35*100, "na")</f>
        <v>na</v>
      </c>
      <c r="F35" s="88" t="str">
        <f>IFERROR('1l'!F35/'1l'!J35*100, "na")</f>
        <v>na</v>
      </c>
      <c r="G35" s="89" t="str">
        <f>IFERROR('1l'!G35/'1l'!K35*100, "na")</f>
        <v>na</v>
      </c>
      <c r="H35" s="89" t="str">
        <f>IFERROR('1l'!H35/'1l'!L35*100, "na")</f>
        <v>na</v>
      </c>
      <c r="I35" s="90" t="str">
        <f>IFERROR('1l'!I35/'1l'!M35*100, "na")</f>
        <v>na</v>
      </c>
      <c r="J35" s="88">
        <f>IFERROR('1l'!J35/'1l'!J35*100,"na")</f>
        <v>100</v>
      </c>
      <c r="K35" s="89">
        <f>IFERROR('1l'!K35/'1l'!K35*100,"na")</f>
        <v>100</v>
      </c>
      <c r="L35" s="89">
        <f>IFERROR('1l'!L35/'1l'!L35*100,"na")</f>
        <v>100</v>
      </c>
      <c r="M35" s="90">
        <f>IFERROR('1l'!M35/'1l'!M35*100,"na")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241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F25"/>
  <sheetViews>
    <sheetView zoomScaleNormal="100" workbookViewId="0">
      <selection sqref="A1:F2"/>
    </sheetView>
  </sheetViews>
  <sheetFormatPr defaultRowHeight="15"/>
  <cols>
    <col min="1" max="1" width="9.140625" style="1"/>
    <col min="2" max="2" width="23.7109375" style="1" bestFit="1" customWidth="1"/>
    <col min="3" max="16384" width="9.140625" style="1"/>
  </cols>
  <sheetData>
    <row r="1" spans="1:6" ht="39" customHeight="1">
      <c r="A1" s="387" t="s">
        <v>159</v>
      </c>
      <c r="B1" s="387"/>
      <c r="C1" s="387"/>
      <c r="D1" s="387"/>
      <c r="E1" s="387"/>
      <c r="F1" s="387"/>
    </row>
    <row r="2" spans="1:6" ht="15" hidden="1" customHeight="1">
      <c r="A2" s="387"/>
      <c r="B2" s="387"/>
      <c r="C2" s="387"/>
      <c r="D2" s="387"/>
      <c r="E2" s="387"/>
      <c r="F2" s="387"/>
    </row>
    <row r="4" spans="1:6">
      <c r="B4" s="309" t="s">
        <v>123</v>
      </c>
    </row>
    <row r="5" spans="1:6">
      <c r="A5" s="19">
        <v>1992</v>
      </c>
      <c r="B5" s="19">
        <v>0.81</v>
      </c>
    </row>
    <row r="6" spans="1:6">
      <c r="A6" s="20">
        <v>1993</v>
      </c>
      <c r="B6" s="20">
        <v>0.81</v>
      </c>
    </row>
    <row r="7" spans="1:6">
      <c r="A7" s="20">
        <v>1994</v>
      </c>
      <c r="B7" s="20">
        <v>0.78</v>
      </c>
    </row>
    <row r="8" spans="1:6">
      <c r="A8" s="20">
        <v>1995</v>
      </c>
      <c r="B8" s="20">
        <v>0.77</v>
      </c>
    </row>
    <row r="9" spans="1:6">
      <c r="A9" s="20">
        <v>1996</v>
      </c>
      <c r="B9" s="20">
        <v>0.77</v>
      </c>
    </row>
    <row r="10" spans="1:6">
      <c r="A10" s="20">
        <v>1997</v>
      </c>
      <c r="B10" s="20">
        <v>0.77</v>
      </c>
    </row>
    <row r="11" spans="1:6">
      <c r="A11" s="20">
        <v>1998</v>
      </c>
      <c r="B11" s="20">
        <v>0.74</v>
      </c>
    </row>
    <row r="12" spans="1:6">
      <c r="A12" s="20">
        <v>1999</v>
      </c>
      <c r="B12" s="20">
        <v>0.76</v>
      </c>
    </row>
    <row r="13" spans="1:6">
      <c r="A13" s="20">
        <v>2000</v>
      </c>
      <c r="B13" s="20">
        <v>0.77</v>
      </c>
    </row>
    <row r="14" spans="1:6">
      <c r="A14" s="20">
        <v>2001</v>
      </c>
      <c r="B14" s="20">
        <v>0.77</v>
      </c>
    </row>
    <row r="15" spans="1:6">
      <c r="A15" s="20">
        <v>2002</v>
      </c>
      <c r="B15" s="20">
        <v>0.78</v>
      </c>
    </row>
    <row r="16" spans="1:6">
      <c r="A16" s="20">
        <v>2003</v>
      </c>
      <c r="B16" s="20">
        <v>0.82</v>
      </c>
    </row>
    <row r="17" spans="1:2">
      <c r="A17" s="20">
        <v>2004</v>
      </c>
      <c r="B17" s="20">
        <v>0.86</v>
      </c>
    </row>
    <row r="18" spans="1:2">
      <c r="A18" s="20">
        <v>2005</v>
      </c>
      <c r="B18" s="20">
        <v>0.89</v>
      </c>
    </row>
    <row r="19" spans="1:2">
      <c r="A19" s="20">
        <v>2006</v>
      </c>
      <c r="B19" s="310">
        <v>0.9</v>
      </c>
    </row>
    <row r="20" spans="1:2">
      <c r="A20" s="20">
        <v>2007</v>
      </c>
      <c r="B20" s="310">
        <v>0.9</v>
      </c>
    </row>
    <row r="21" spans="1:2">
      <c r="A21" s="20">
        <v>2008</v>
      </c>
      <c r="B21" s="20">
        <v>0.88</v>
      </c>
    </row>
    <row r="22" spans="1:2">
      <c r="A22" s="20">
        <v>2009</v>
      </c>
      <c r="B22" s="20">
        <v>0.83</v>
      </c>
    </row>
    <row r="23" spans="1:2">
      <c r="A23" s="21">
        <v>2010</v>
      </c>
      <c r="B23" s="21">
        <v>0.87</v>
      </c>
    </row>
    <row r="25" spans="1:2">
      <c r="A25" s="1" t="s">
        <v>124</v>
      </c>
    </row>
  </sheetData>
  <mergeCells count="1">
    <mergeCell ref="A1:F2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M30"/>
  <sheetViews>
    <sheetView zoomScaleNormal="100" workbookViewId="0">
      <selection activeCell="B15" sqref="B15"/>
    </sheetView>
  </sheetViews>
  <sheetFormatPr defaultRowHeight="15"/>
  <cols>
    <col min="1" max="1" width="11" style="1" customWidth="1"/>
    <col min="2" max="2" width="12.28515625" style="1" customWidth="1"/>
    <col min="3" max="3" width="9.140625" style="1"/>
    <col min="4" max="4" width="17" style="1" customWidth="1"/>
    <col min="5" max="5" width="9.140625" style="1"/>
    <col min="6" max="6" width="11.140625" style="1" customWidth="1"/>
    <col min="7" max="7" width="9.140625" style="1"/>
    <col min="8" max="8" width="18.85546875" style="1" customWidth="1"/>
    <col min="9" max="9" width="9.140625" style="1"/>
    <col min="10" max="10" width="12.7109375" style="1" customWidth="1"/>
    <col min="11" max="11" width="9.140625" style="1"/>
    <col min="12" max="12" width="19.28515625" style="1" customWidth="1"/>
    <col min="13" max="16384" width="9.140625" style="1"/>
  </cols>
  <sheetData>
    <row r="1" spans="1:13">
      <c r="A1" s="2" t="s">
        <v>177</v>
      </c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123">
        <f>IFERROR('1n'!$B5*'1i'!B17, "na")</f>
        <v>633.73287671232879</v>
      </c>
      <c r="C5" s="124">
        <f>IFERROR('1n'!$B5*'1i'!C17, "na")</f>
        <v>1371.1301369863013</v>
      </c>
      <c r="D5" s="124" t="str">
        <f>IFERROR('1n'!$B5*'1i'!D17, "na")</f>
        <v>na</v>
      </c>
      <c r="E5" s="125" t="str">
        <f>IFERROR('1n'!$B5*'1i'!E17, "na")</f>
        <v>na</v>
      </c>
      <c r="F5" s="123">
        <f>IFERROR('1n'!$B5*'1i'!F17, "na")</f>
        <v>175.44794431368626</v>
      </c>
      <c r="G5" s="124">
        <f>IFERROR('1n'!$B5*'1i'!G17, "na")</f>
        <v>118.94386298763084</v>
      </c>
      <c r="H5" s="124" t="str">
        <f>IFERROR('1n'!$B5*'1i'!H17, "na")</f>
        <v>na</v>
      </c>
      <c r="I5" s="125" t="str">
        <f>IFERROR('1n'!$B5*'1i'!I17, "na")</f>
        <v>na</v>
      </c>
      <c r="J5" s="123" t="str">
        <f>IFERROR('1n'!$B5*'1i'!J17, "na")</f>
        <v>na</v>
      </c>
      <c r="K5" s="124" t="str">
        <f>IFERROR('1n'!$B5*'1i'!K17, "na")</f>
        <v>na</v>
      </c>
      <c r="L5" s="124" t="str">
        <f>IFERROR('1n'!$B5*'1i'!L17, "na")</f>
        <v>na</v>
      </c>
      <c r="M5" s="125" t="str">
        <f>IFERROR('1n'!$B5*'1i'!M17, "na")</f>
        <v>na</v>
      </c>
    </row>
    <row r="6" spans="1:13">
      <c r="A6" s="65">
        <v>1993</v>
      </c>
      <c r="B6" s="123">
        <f>IFERROR('1n'!$B6*'1i'!B18, "na")</f>
        <v>1354.2546033994336</v>
      </c>
      <c r="C6" s="124">
        <f>IFERROR('1n'!$B6*'1i'!C18, "na")</f>
        <v>994.98561437677063</v>
      </c>
      <c r="D6" s="124" t="str">
        <f>IFERROR('1n'!$B6*'1i'!D18, "na")</f>
        <v>na</v>
      </c>
      <c r="E6" s="125" t="str">
        <f>IFERROR('1n'!$B6*'1i'!E18, "na")</f>
        <v>na</v>
      </c>
      <c r="F6" s="123">
        <f>IFERROR('1n'!$B6*'1i'!F18, "na")</f>
        <v>74.797775796044704</v>
      </c>
      <c r="G6" s="124">
        <f>IFERROR('1n'!$B6*'1i'!G18, "na")</f>
        <v>215.5127734354509</v>
      </c>
      <c r="H6" s="124" t="str">
        <f>IFERROR('1n'!$B6*'1i'!H18, "na")</f>
        <v>na</v>
      </c>
      <c r="I6" s="125" t="str">
        <f>IFERROR('1n'!$B6*'1i'!I18, "na")</f>
        <v>na</v>
      </c>
      <c r="J6" s="123" t="str">
        <f>IFERROR('1n'!$B6*'1i'!J18, "na")</f>
        <v>na</v>
      </c>
      <c r="K6" s="124" t="str">
        <f>IFERROR('1n'!$B6*'1i'!K18, "na")</f>
        <v>na</v>
      </c>
      <c r="L6" s="124" t="str">
        <f>IFERROR('1n'!$B6*'1i'!L18, "na")</f>
        <v>na</v>
      </c>
      <c r="M6" s="125" t="str">
        <f>IFERROR('1n'!$B6*'1i'!M18, "na")</f>
        <v>na</v>
      </c>
    </row>
    <row r="7" spans="1:13">
      <c r="A7" s="65">
        <v>1994</v>
      </c>
      <c r="B7" s="123">
        <f>IFERROR('1n'!$B7*'1i'!B19, "na")</f>
        <v>24.826994566771521</v>
      </c>
      <c r="C7" s="124">
        <f>IFERROR('1n'!$B7*'1i'!C19, "na")</f>
        <v>676.04232199027751</v>
      </c>
      <c r="D7" s="124">
        <f>IFERROR('1n'!$B7*'1i'!D19, "na")</f>
        <v>34.297969688304264</v>
      </c>
      <c r="E7" s="125">
        <f>IFERROR('1n'!$B7*'1i'!E19, "na")</f>
        <v>735.16728624535335</v>
      </c>
      <c r="F7" s="123">
        <f>IFERROR('1n'!$B7*'1i'!F19, "na")</f>
        <v>170.91044857668425</v>
      </c>
      <c r="G7" s="124">
        <f>IFERROR('1n'!$B7*'1i'!G19, "na")</f>
        <v>233.57240424718162</v>
      </c>
      <c r="H7" s="124" t="str">
        <f>IFERROR('1n'!$B7*'1i'!H19, "na")</f>
        <v>na</v>
      </c>
      <c r="I7" s="125" t="str">
        <f>IFERROR('1n'!$B7*'1i'!I19, "na")</f>
        <v>na</v>
      </c>
      <c r="J7" s="123" t="str">
        <f>IFERROR('1n'!$B7*'1i'!J19, "na")</f>
        <v>na</v>
      </c>
      <c r="K7" s="124" t="str">
        <f>IFERROR('1n'!$B7*'1i'!K19, "na")</f>
        <v>na</v>
      </c>
      <c r="L7" s="124" t="str">
        <f>IFERROR('1n'!$B7*'1i'!L19, "na")</f>
        <v>na</v>
      </c>
      <c r="M7" s="125" t="str">
        <f>IFERROR('1n'!$B7*'1i'!M19, "na")</f>
        <v>na</v>
      </c>
    </row>
    <row r="8" spans="1:13">
      <c r="A8" s="65">
        <v>1995</v>
      </c>
      <c r="B8" s="123">
        <f>IFERROR('1n'!$B8*'1i'!B20, "na")</f>
        <v>153.68499349160106</v>
      </c>
      <c r="C8" s="124">
        <f>IFERROR('1n'!$B8*'1i'!C20, "na")</f>
        <v>657.24994318064421</v>
      </c>
      <c r="D8" s="124" t="str">
        <f>IFERROR('1n'!$B8*'1i'!D20, "na")</f>
        <v>na</v>
      </c>
      <c r="E8" s="125" t="str">
        <f>IFERROR('1n'!$B8*'1i'!E20, "na")</f>
        <v>na</v>
      </c>
      <c r="F8" s="123">
        <f>IFERROR('1n'!$B8*'1i'!F20, "na")</f>
        <v>434.0814919771762</v>
      </c>
      <c r="G8" s="124">
        <f>IFERROR('1n'!$B8*'1i'!G20, "na")</f>
        <v>330.37490904913267</v>
      </c>
      <c r="H8" s="124" t="str">
        <f>IFERROR('1n'!$B8*'1i'!H20, "na")</f>
        <v>na</v>
      </c>
      <c r="I8" s="125" t="str">
        <f>IFERROR('1n'!$B8*'1i'!I20, "na")</f>
        <v>na</v>
      </c>
      <c r="J8" s="123" t="str">
        <f>IFERROR('1n'!$B8*'1i'!J20, "na")</f>
        <v>na</v>
      </c>
      <c r="K8" s="124" t="str">
        <f>IFERROR('1n'!$B8*'1i'!K20, "na")</f>
        <v>na</v>
      </c>
      <c r="L8" s="124" t="str">
        <f>IFERROR('1n'!$B8*'1i'!L20, "na")</f>
        <v>na</v>
      </c>
      <c r="M8" s="125" t="str">
        <f>IFERROR('1n'!$B8*'1i'!M20, "na")</f>
        <v>na</v>
      </c>
    </row>
    <row r="9" spans="1:13">
      <c r="A9" s="65">
        <v>1996</v>
      </c>
      <c r="B9" s="123">
        <f>IFERROR('1n'!$B9*'1i'!B21, "na")</f>
        <v>324.57981253637877</v>
      </c>
      <c r="C9" s="124">
        <f>IFERROR('1n'!$B9*'1i'!C21, "na")</f>
        <v>794.07843766934946</v>
      </c>
      <c r="D9" s="124">
        <f>IFERROR('1n'!$B9*'1i'!D21, "na")</f>
        <v>61.757019850269955</v>
      </c>
      <c r="E9" s="125">
        <f>IFERROR('1n'!$B9*'1i'!E21, "na")</f>
        <v>1180.4152700559982</v>
      </c>
      <c r="F9" s="123">
        <f>IFERROR('1n'!$B9*'1i'!F21, "na")</f>
        <v>756.64419737355888</v>
      </c>
      <c r="G9" s="124">
        <f>IFERROR('1n'!$B9*'1i'!G21, "na")</f>
        <v>534.48529562876342</v>
      </c>
      <c r="H9" s="124" t="str">
        <f>IFERROR('1n'!$B9*'1i'!H21, "na")</f>
        <v>na</v>
      </c>
      <c r="I9" s="125" t="str">
        <f>IFERROR('1n'!$B9*'1i'!I21, "na")</f>
        <v>na</v>
      </c>
      <c r="J9" s="123" t="str">
        <f>IFERROR('1n'!$B9*'1i'!J21, "na")</f>
        <v>na</v>
      </c>
      <c r="K9" s="124" t="str">
        <f>IFERROR('1n'!$B9*'1i'!K21, "na")</f>
        <v>na</v>
      </c>
      <c r="L9" s="124" t="str">
        <f>IFERROR('1n'!$B9*'1i'!L21, "na")</f>
        <v>na</v>
      </c>
      <c r="M9" s="125" t="str">
        <f>IFERROR('1n'!$B9*'1i'!M21, "na")</f>
        <v>na</v>
      </c>
    </row>
    <row r="10" spans="1:13">
      <c r="A10" s="65">
        <v>1997</v>
      </c>
      <c r="B10" s="123">
        <f>IFERROR('1n'!$B10*'1i'!B22, "na")</f>
        <v>1269.9566896452161</v>
      </c>
      <c r="C10" s="124">
        <f>IFERROR('1n'!$B10*'1i'!C22, "na")</f>
        <v>1549.7684700617176</v>
      </c>
      <c r="D10" s="124">
        <f>IFERROR('1n'!$B10*'1i'!D22, "na")</f>
        <v>343.96686757859027</v>
      </c>
      <c r="E10" s="125">
        <f>IFERROR('1n'!$B10*'1i'!E22, "na")</f>
        <v>3163.6920272855236</v>
      </c>
      <c r="F10" s="123">
        <f>IFERROR('1n'!$B10*'1i'!F22, "na")</f>
        <v>1241.9985249137724</v>
      </c>
      <c r="G10" s="124">
        <f>IFERROR('1n'!$B10*'1i'!G22, "na")</f>
        <v>1289.1850148593246</v>
      </c>
      <c r="H10" s="124">
        <f>IFERROR('1n'!$B10*'1i'!H22, "na")</f>
        <v>19.910193279680687</v>
      </c>
      <c r="I10" s="125">
        <f>IFERROR('1n'!$B10*'1i'!I22, "na")</f>
        <v>2551.0937330527777</v>
      </c>
      <c r="J10" s="123">
        <f>IFERROR('1n'!$B10*'1i'!J22, "na")</f>
        <v>404.70173434138763</v>
      </c>
      <c r="K10" s="124">
        <f>IFERROR('1n'!$B10*'1i'!K22, "na")</f>
        <v>538.70651873142253</v>
      </c>
      <c r="L10" s="124">
        <f>IFERROR('1n'!$B10*'1i'!L22, "na")</f>
        <v>350.34927832474938</v>
      </c>
      <c r="M10" s="125">
        <f>IFERROR('1n'!$B10*'1i'!M22, "na")</f>
        <v>1293.7575313975594</v>
      </c>
    </row>
    <row r="11" spans="1:13">
      <c r="A11" s="65">
        <v>1998</v>
      </c>
      <c r="B11" s="123">
        <f>IFERROR('1n'!$B11*'1i'!B23, "na")</f>
        <v>1490.517666937234</v>
      </c>
      <c r="C11" s="124">
        <f>IFERROR('1n'!$B11*'1i'!C23, "na")</f>
        <v>1623.4227309622809</v>
      </c>
      <c r="D11" s="124">
        <f>IFERROR('1n'!$B11*'1i'!D23, "na")</f>
        <v>79.017343913065076</v>
      </c>
      <c r="E11" s="125">
        <f>IFERROR('1n'!$B11*'1i'!E23, "na")</f>
        <v>3192.95774181258</v>
      </c>
      <c r="F11" s="123">
        <f>IFERROR('1n'!$B11*'1i'!F23, "na")</f>
        <v>3041.199835934633</v>
      </c>
      <c r="G11" s="124">
        <f>IFERROR('1n'!$B11*'1i'!G23, "na")</f>
        <v>1771.2043693197763</v>
      </c>
      <c r="H11" s="124">
        <f>IFERROR('1n'!$B11*'1i'!H23, "na")</f>
        <v>122.17516136692356</v>
      </c>
      <c r="I11" s="125">
        <f>IFERROR('1n'!$B11*'1i'!I23, "na")</f>
        <v>4934.5793666213331</v>
      </c>
      <c r="J11" s="123">
        <f>IFERROR('1n'!$B11*'1i'!J23, "na")</f>
        <v>512.71754994377761</v>
      </c>
      <c r="K11" s="124">
        <f>IFERROR('1n'!$B11*'1i'!K23, "na")</f>
        <v>575.54031891629393</v>
      </c>
      <c r="L11" s="124">
        <f>IFERROR('1n'!$B11*'1i'!L23, "na")</f>
        <v>321.98194546490578</v>
      </c>
      <c r="M11" s="125">
        <f>IFERROR('1n'!$B11*'1i'!M23, "na")</f>
        <v>1410.2398143249775</v>
      </c>
    </row>
    <row r="12" spans="1:13">
      <c r="A12" s="65">
        <v>1999</v>
      </c>
      <c r="B12" s="123">
        <f>IFERROR('1n'!$B12*'1i'!B24, "na")</f>
        <v>1165.6134615384615</v>
      </c>
      <c r="C12" s="124">
        <f>IFERROR('1n'!$B12*'1i'!C24, "na")</f>
        <v>2446.603205128205</v>
      </c>
      <c r="D12" s="124">
        <f>IFERROR('1n'!$B12*'1i'!D24, "na")</f>
        <v>99.555128205128213</v>
      </c>
      <c r="E12" s="125">
        <f>IFERROR('1n'!$B12*'1i'!E24, "na")</f>
        <v>3711.7717948717946</v>
      </c>
      <c r="F12" s="123">
        <f>IFERROR('1n'!$B12*'1i'!F24, "na")</f>
        <v>384.58587923199019</v>
      </c>
      <c r="G12" s="124">
        <f>IFERROR('1n'!$B12*'1i'!G24, "na")</f>
        <v>842.31446650285943</v>
      </c>
      <c r="H12" s="124">
        <f>IFERROR('1n'!$B12*'1i'!H24, "na")</f>
        <v>11.634086411968079</v>
      </c>
      <c r="I12" s="125">
        <f>IFERROR('1n'!$B12*'1i'!I24, "na")</f>
        <v>1238.5344321468174</v>
      </c>
      <c r="J12" s="123">
        <f>IFERROR('1n'!$B12*'1i'!J24, "na")</f>
        <v>541.7967313335987</v>
      </c>
      <c r="K12" s="124">
        <f>IFERROR('1n'!$B12*'1i'!K24, "na")</f>
        <v>600.74482974538603</v>
      </c>
      <c r="L12" s="124">
        <f>IFERROR('1n'!$B12*'1i'!L24, "na")</f>
        <v>385.84907645319646</v>
      </c>
      <c r="M12" s="125">
        <f>IFERROR('1n'!$B12*'1i'!M24, "na")</f>
        <v>1528.3906375321815</v>
      </c>
    </row>
    <row r="13" spans="1:13">
      <c r="A13" s="65">
        <v>2000</v>
      </c>
      <c r="B13" s="123">
        <f>IFERROR('1n'!$B13*'1i'!B25, "na")</f>
        <v>254.00392025625092</v>
      </c>
      <c r="C13" s="124">
        <f>IFERROR('1n'!$B13*'1i'!C25, "na")</f>
        <v>2868.3914200570507</v>
      </c>
      <c r="D13" s="124">
        <f>IFERROR('1n'!$B13*'1i'!D25, "na")</f>
        <v>36.284521362209368</v>
      </c>
      <c r="E13" s="125">
        <f>IFERROR('1n'!$B13*'1i'!E25, "na")</f>
        <v>3158.6798616755104</v>
      </c>
      <c r="F13" s="123">
        <f>IFERROR('1n'!$B13*'1i'!F25, "na")</f>
        <v>769.44621893178214</v>
      </c>
      <c r="G13" s="124">
        <f>IFERROR('1n'!$B13*'1i'!G25, "na")</f>
        <v>1671.0832363828663</v>
      </c>
      <c r="H13" s="124">
        <f>IFERROR('1n'!$B13*'1i'!H25, "na")</f>
        <v>219.80222104706502</v>
      </c>
      <c r="I13" s="125">
        <f>IFERROR('1n'!$B13*'1i'!I25, "na")</f>
        <v>2660.3316763617136</v>
      </c>
      <c r="J13" s="123">
        <f>IFERROR('1n'!$B13*'1i'!J25, "na")</f>
        <v>575.52151445903121</v>
      </c>
      <c r="K13" s="124">
        <f>IFERROR('1n'!$B13*'1i'!K25, "na")</f>
        <v>630.92258520658083</v>
      </c>
      <c r="L13" s="124">
        <f>IFERROR('1n'!$B13*'1i'!L25, "na")</f>
        <v>479.72764751913127</v>
      </c>
      <c r="M13" s="125">
        <f>IFERROR('1n'!$B13*'1i'!M25, "na")</f>
        <v>1686.1717471847433</v>
      </c>
    </row>
    <row r="14" spans="1:13">
      <c r="A14" s="65">
        <v>2001</v>
      </c>
      <c r="B14" s="123">
        <f>IFERROR('1n'!$B14*'1i'!B26, "na")</f>
        <v>45.45708292997741</v>
      </c>
      <c r="C14" s="124">
        <f>IFERROR('1n'!$B14*'1i'!C26, "na")</f>
        <v>2131.9732171668284</v>
      </c>
      <c r="D14" s="124">
        <f>IFERROR('1n'!$B14*'1i'!D26, "na")</f>
        <v>0.14908034849951599</v>
      </c>
      <c r="E14" s="125">
        <f>IFERROR('1n'!$B14*'1i'!E26, "na")</f>
        <v>2177.5793804453051</v>
      </c>
      <c r="F14" s="123">
        <f>IFERROR('1n'!$B14*'1i'!F26, "na")</f>
        <v>2.9674658263424605</v>
      </c>
      <c r="G14" s="124">
        <f>IFERROR('1n'!$B14*'1i'!G26, "na")</f>
        <v>1209.9391048843843</v>
      </c>
      <c r="H14" s="124">
        <f>IFERROR('1n'!$B14*'1i'!H26, "na")</f>
        <v>11.869863305369842</v>
      </c>
      <c r="I14" s="125">
        <f>IFERROR('1n'!$B14*'1i'!I26, "na")</f>
        <v>1224.7764340160968</v>
      </c>
      <c r="J14" s="123">
        <f>IFERROR('1n'!$B14*'1i'!J26, "na")</f>
        <v>484.11109569855421</v>
      </c>
      <c r="K14" s="124">
        <f>IFERROR('1n'!$B14*'1i'!K26, "na")</f>
        <v>686.06471185727776</v>
      </c>
      <c r="L14" s="124">
        <f>IFERROR('1n'!$B14*'1i'!L26, "na")</f>
        <v>497.460656962722</v>
      </c>
      <c r="M14" s="125">
        <f>IFERROR('1n'!$B14*'1i'!M26, "na")</f>
        <v>1667.6364645185538</v>
      </c>
    </row>
    <row r="15" spans="1:13">
      <c r="A15" s="65">
        <v>2002</v>
      </c>
      <c r="B15" s="123">
        <f>IFERROR('1n'!$B15*'1i'!B27, "na")</f>
        <v>464.13536708245027</v>
      </c>
      <c r="C15" s="124">
        <f>IFERROR('1n'!$B15*'1i'!C27, "na")</f>
        <v>1583.2799416281575</v>
      </c>
      <c r="D15" s="124">
        <f>IFERROR('1n'!$B15*'1i'!D27, "na")</f>
        <v>49.717174524860155</v>
      </c>
      <c r="E15" s="125">
        <f>IFERROR('1n'!$B15*'1i'!E27, "na")</f>
        <v>2097.132483235468</v>
      </c>
      <c r="F15" s="123">
        <f>IFERROR('1n'!$B15*'1i'!F27, "na")</f>
        <v>42.927224985590158</v>
      </c>
      <c r="G15" s="124">
        <f>IFERROR('1n'!$B15*'1i'!G27, "na")</f>
        <v>988.90805456524993</v>
      </c>
      <c r="H15" s="124">
        <f>IFERROR('1n'!$B15*'1i'!H27, "na")</f>
        <v>46.324103921610487</v>
      </c>
      <c r="I15" s="125">
        <f>IFERROR('1n'!$B15*'1i'!I27, "na")</f>
        <v>1078.1593834724506</v>
      </c>
      <c r="J15" s="123">
        <f>IFERROR('1n'!$B15*'1i'!J27, "na")</f>
        <v>490.81576239478011</v>
      </c>
      <c r="K15" s="124">
        <f>IFERROR('1n'!$B15*'1i'!K27, "na")</f>
        <v>654.21640920510379</v>
      </c>
      <c r="L15" s="124">
        <f>IFERROR('1n'!$B15*'1i'!L27, "na")</f>
        <v>446.42217390112006</v>
      </c>
      <c r="M15" s="125">
        <f>IFERROR('1n'!$B15*'1i'!M27, "na")</f>
        <v>1591.4543455010039</v>
      </c>
    </row>
    <row r="16" spans="1:13">
      <c r="A16" s="65">
        <v>2003</v>
      </c>
      <c r="B16" s="123">
        <f>IFERROR('1n'!$B16*'1i'!B28, "na")</f>
        <v>937.82450571976437</v>
      </c>
      <c r="C16" s="124">
        <f>IFERROR('1n'!$B16*'1i'!C28, "na")</f>
        <v>1459.1965879785755</v>
      </c>
      <c r="D16" s="124">
        <f>IFERROR('1n'!$B16*'1i'!D28, "na")</f>
        <v>170.36566818752891</v>
      </c>
      <c r="E16" s="125">
        <f>IFERROR('1n'!$B16*'1i'!E28, "na")</f>
        <v>2567.3867618858694</v>
      </c>
      <c r="F16" s="123">
        <f>IFERROR('1n'!$B16*'1i'!F28, "na")</f>
        <v>304.61775043936728</v>
      </c>
      <c r="G16" s="124">
        <f>IFERROR('1n'!$B16*'1i'!G28, "na")</f>
        <v>1184.1001757469242</v>
      </c>
      <c r="H16" s="124">
        <f>IFERROR('1n'!$B16*'1i'!H28, "na")</f>
        <v>63.87785588752196</v>
      </c>
      <c r="I16" s="125">
        <f>IFERROR('1n'!$B16*'1i'!I28, "na")</f>
        <v>1552.5957820738136</v>
      </c>
      <c r="J16" s="123">
        <f>IFERROR('1n'!$B16*'1i'!J28, "na")</f>
        <v>527.65936197471683</v>
      </c>
      <c r="K16" s="124">
        <f>IFERROR('1n'!$B16*'1i'!K28, "na")</f>
        <v>676.69536422807619</v>
      </c>
      <c r="L16" s="124">
        <f>IFERROR('1n'!$B16*'1i'!L28, "na")</f>
        <v>407.26739604351286</v>
      </c>
      <c r="M16" s="125">
        <f>IFERROR('1n'!$B16*'1i'!M28, "na")</f>
        <v>1611.6221222463059</v>
      </c>
    </row>
    <row r="17" spans="1:13">
      <c r="A17" s="65">
        <v>2004</v>
      </c>
      <c r="B17" s="123">
        <f>IFERROR('1n'!$B17*'1i'!B29, "na")</f>
        <v>1031.1365200893231</v>
      </c>
      <c r="C17" s="124">
        <f>IFERROR('1n'!$B17*'1i'!C29, "na")</f>
        <v>1935.2490807434644</v>
      </c>
      <c r="D17" s="124">
        <f>IFERROR('1n'!$B17*'1i'!D29, "na")</f>
        <v>182.05275441159188</v>
      </c>
      <c r="E17" s="125">
        <f>IFERROR('1n'!$B17*'1i'!E29, "na")</f>
        <v>3148.4383552443796</v>
      </c>
      <c r="F17" s="123">
        <f>IFERROR('1n'!$B17*'1i'!F29, "na")</f>
        <v>334.63983002444542</v>
      </c>
      <c r="G17" s="124">
        <f>IFERROR('1n'!$B17*'1i'!G29, "na")</f>
        <v>2320.768088460396</v>
      </c>
      <c r="H17" s="124">
        <f>IFERROR('1n'!$B17*'1i'!H29, "na")</f>
        <v>82.815105892028967</v>
      </c>
      <c r="I17" s="125">
        <f>IFERROR('1n'!$B17*'1i'!I29, "na")</f>
        <v>2738.2230243768709</v>
      </c>
      <c r="J17" s="123">
        <f>IFERROR('1n'!$B17*'1i'!J29, "na")</f>
        <v>611.41017946400723</v>
      </c>
      <c r="K17" s="124">
        <f>IFERROR('1n'!$B17*'1i'!K29, "na")</f>
        <v>764.18032403628058</v>
      </c>
      <c r="L17" s="124">
        <f>IFERROR('1n'!$B17*'1i'!L29, "na")</f>
        <v>403.76803129218229</v>
      </c>
      <c r="M17" s="125">
        <f>IFERROR('1n'!$B17*'1i'!M29, "na")</f>
        <v>1779.35853479247</v>
      </c>
    </row>
    <row r="18" spans="1:13">
      <c r="A18" s="65">
        <v>2005</v>
      </c>
      <c r="B18" s="123">
        <f>IFERROR('1n'!$B18*'1i'!B30, "na")</f>
        <v>1338.2927030687413</v>
      </c>
      <c r="C18" s="124">
        <f>IFERROR('1n'!$B18*'1i'!C30, "na")</f>
        <v>2923.7292306675918</v>
      </c>
      <c r="D18" s="124">
        <f>IFERROR('1n'!$B18*'1i'!D30, "na")</f>
        <v>181.89244541340469</v>
      </c>
      <c r="E18" s="125">
        <f>IFERROR('1n'!$B18*'1i'!E30, "na")</f>
        <v>4443.9143791497381</v>
      </c>
      <c r="F18" s="123">
        <f>IFERROR('1n'!$B18*'1i'!F30, "na")</f>
        <v>527.36630645608204</v>
      </c>
      <c r="G18" s="124">
        <f>IFERROR('1n'!$B18*'1i'!G30, "na")</f>
        <v>3111.2392629537271</v>
      </c>
      <c r="H18" s="124">
        <f>IFERROR('1n'!$B18*'1i'!H30, "na")</f>
        <v>172.13078415073426</v>
      </c>
      <c r="I18" s="125">
        <f>IFERROR('1n'!$B18*'1i'!I30, "na")</f>
        <v>3810.7363535605432</v>
      </c>
      <c r="J18" s="123">
        <f>IFERROR('1n'!$B18*'1i'!J30, "na")</f>
        <v>662.77457988535957</v>
      </c>
      <c r="K18" s="124">
        <f>IFERROR('1n'!$B18*'1i'!K30, "na")</f>
        <v>876.7960984914755</v>
      </c>
      <c r="L18" s="124">
        <f>IFERROR('1n'!$B18*'1i'!L30, "na")</f>
        <v>397.33785375464652</v>
      </c>
      <c r="M18" s="125">
        <f>IFERROR('1n'!$B18*'1i'!M30, "na")</f>
        <v>1936.9085321314813</v>
      </c>
    </row>
    <row r="19" spans="1:13">
      <c r="A19" s="65">
        <v>2006</v>
      </c>
      <c r="B19" s="123">
        <f>IFERROR('1n'!$B19*'1i'!B31, "na")</f>
        <v>1018.2866395171974</v>
      </c>
      <c r="C19" s="124">
        <f>IFERROR('1n'!$B19*'1i'!C31, "na")</f>
        <v>2353.780481821304</v>
      </c>
      <c r="D19" s="124">
        <f>IFERROR('1n'!$B19*'1i'!D31, "na")</f>
        <v>229.71394926647366</v>
      </c>
      <c r="E19" s="125">
        <f>IFERROR('1n'!$B19*'1i'!E31, "na")</f>
        <v>3601.781070604975</v>
      </c>
      <c r="F19" s="123">
        <f>IFERROR('1n'!$B19*'1i'!F31, "na")</f>
        <v>521.41894288754895</v>
      </c>
      <c r="G19" s="124">
        <f>IFERROR('1n'!$B19*'1i'!G31, "na")</f>
        <v>2709.9609790705927</v>
      </c>
      <c r="H19" s="124">
        <f>IFERROR('1n'!$B19*'1i'!H31, "na")</f>
        <v>154.35260730755587</v>
      </c>
      <c r="I19" s="125">
        <f>IFERROR('1n'!$B19*'1i'!I31, "na")</f>
        <v>3385.7325292656974</v>
      </c>
      <c r="J19" s="123">
        <f>IFERROR('1n'!$B19*'1i'!J31, "na")</f>
        <v>743.66642619596939</v>
      </c>
      <c r="K19" s="124">
        <f>IFERROR('1n'!$B19*'1i'!K31, "na")</f>
        <v>888.66355618192097</v>
      </c>
      <c r="L19" s="124">
        <f>IFERROR('1n'!$B19*'1i'!L31, "na")</f>
        <v>403.0102762137256</v>
      </c>
      <c r="M19" s="125">
        <f>IFERROR('1n'!$B19*'1i'!M31, "na")</f>
        <v>2035.3402585916158</v>
      </c>
    </row>
    <row r="20" spans="1:13">
      <c r="A20" s="65">
        <v>2007</v>
      </c>
      <c r="B20" s="123">
        <f>IFERROR('1n'!$B20*'1i'!B32, "na")</f>
        <v>1915.1236191478167</v>
      </c>
      <c r="C20" s="124">
        <f>IFERROR('1n'!$B20*'1i'!C32, "na")</f>
        <v>2260.9153077327715</v>
      </c>
      <c r="D20" s="124">
        <f>IFERROR('1n'!$B20*'1i'!D32, "na")</f>
        <v>546.60704892162016</v>
      </c>
      <c r="E20" s="125">
        <f>IFERROR('1n'!$B20*'1i'!E32, "na")</f>
        <v>4722.6459758022093</v>
      </c>
      <c r="F20" s="123">
        <f>IFERROR('1n'!$B20*'1i'!F32, "na")</f>
        <v>225.07598784194531</v>
      </c>
      <c r="G20" s="124">
        <f>IFERROR('1n'!$B20*'1i'!G32, "na")</f>
        <v>3404.5375597047328</v>
      </c>
      <c r="H20" s="124">
        <f>IFERROR('1n'!$B20*'1i'!H32, "na")</f>
        <v>82.609639600521064</v>
      </c>
      <c r="I20" s="125">
        <f>IFERROR('1n'!$B20*'1i'!I32, "na")</f>
        <v>3712.223187147199</v>
      </c>
      <c r="J20" s="123">
        <f>IFERROR('1n'!$B20*'1i'!J32, "na")</f>
        <v>707.86107818296909</v>
      </c>
      <c r="K20" s="124">
        <f>IFERROR('1n'!$B20*'1i'!K32, "na")</f>
        <v>1013.2100863241662</v>
      </c>
      <c r="L20" s="124">
        <f>IFERROR('1n'!$B20*'1i'!L32, "na")</f>
        <v>353.69768357960504</v>
      </c>
      <c r="M20" s="125">
        <f>IFERROR('1n'!$B20*'1i'!M32, "na")</f>
        <v>2074.7688480867405</v>
      </c>
    </row>
    <row r="21" spans="1:13">
      <c r="A21" s="65">
        <v>2008</v>
      </c>
      <c r="B21" s="123">
        <f>IFERROR('1n'!$B21*'1i'!B33, "na")</f>
        <v>685.61257751027165</v>
      </c>
      <c r="C21" s="124">
        <f>IFERROR('1n'!$B21*'1i'!C33, "na")</f>
        <v>2306.5528585939746</v>
      </c>
      <c r="D21" s="124">
        <f>IFERROR('1n'!$B21*'1i'!D33, "na")</f>
        <v>150.3200473021119</v>
      </c>
      <c r="E21" s="125">
        <f>IFERROR('1n'!$B21*'1i'!E33, "na")</f>
        <v>3142.4854834063585</v>
      </c>
      <c r="F21" s="123">
        <f>IFERROR('1n'!$B21*'1i'!F33, "na")</f>
        <v>232.3601427921129</v>
      </c>
      <c r="G21" s="124">
        <f>IFERROR('1n'!$B21*'1i'!G33, "na")</f>
        <v>3226.6877500658861</v>
      </c>
      <c r="H21" s="124">
        <f>IFERROR('1n'!$B21*'1i'!H33, "na")</f>
        <v>115.41052732456457</v>
      </c>
      <c r="I21" s="125">
        <f>IFERROR('1n'!$B21*'1i'!I33, "na")</f>
        <v>3574.4584201825628</v>
      </c>
      <c r="J21" s="123">
        <f>IFERROR('1n'!$B21*'1i'!J33, "na")</f>
        <v>700.06218194834616</v>
      </c>
      <c r="K21" s="124">
        <f>IFERROR('1n'!$B21*'1i'!K33, "na")</f>
        <v>1005.2640173431763</v>
      </c>
      <c r="L21" s="124">
        <f>IFERROR('1n'!$B21*'1i'!L33, "na")</f>
        <v>385.98458536536128</v>
      </c>
      <c r="M21" s="125">
        <f>IFERROR('1n'!$B21*'1i'!M33, "na")</f>
        <v>2091.3107846568842</v>
      </c>
    </row>
    <row r="22" spans="1:13">
      <c r="A22" s="20">
        <f>A21+1</f>
        <v>2009</v>
      </c>
      <c r="B22" s="123">
        <f>IFERROR('1n'!$B22*'1i'!B34, "na")</f>
        <v>874.99345905663426</v>
      </c>
      <c r="C22" s="124">
        <f>IFERROR('1n'!$B22*'1i'!C34, "na")</f>
        <v>2159.4664354063466</v>
      </c>
      <c r="D22" s="124">
        <f>IFERROR('1n'!$B22*'1i'!D34, "na")</f>
        <v>226.82168947422571</v>
      </c>
      <c r="E22" s="125">
        <f>IFERROR('1n'!$B22*'1i'!E34, "na")</f>
        <v>3261.281583937207</v>
      </c>
      <c r="F22" s="123">
        <f>IFERROR('1n'!$B22*'1i'!F34, "na")</f>
        <v>374.70600980418709</v>
      </c>
      <c r="G22" s="124">
        <f>IFERROR('1n'!$B22*'1i'!G34, "na")</f>
        <v>3388.6065595969985</v>
      </c>
      <c r="H22" s="124">
        <f>IFERROR('1n'!$B22*'1i'!H34, "na")</f>
        <v>63.346423638382582</v>
      </c>
      <c r="I22" s="125">
        <f>IFERROR('1n'!$B22*'1i'!I34, "na")</f>
        <v>3826.6589930395685</v>
      </c>
      <c r="J22" s="123">
        <f>IFERROR('1n'!$B22*'1i'!J34, "na")</f>
        <v>586.12642274027962</v>
      </c>
      <c r="K22" s="124">
        <f>IFERROR('1n'!$B22*'1i'!K34, "na")</f>
        <v>959.03656598598923</v>
      </c>
      <c r="L22" s="124">
        <f>IFERROR('1n'!$B22*'1i'!L34, "na")</f>
        <v>361.87598858658379</v>
      </c>
      <c r="M22" s="125">
        <f>IFERROR('1n'!$B22*'1i'!M34, "na")</f>
        <v>1907.0389773128525</v>
      </c>
    </row>
    <row r="23" spans="1:13">
      <c r="A23" s="21">
        <f t="shared" ref="A23" si="0">A22+1</f>
        <v>2010</v>
      </c>
      <c r="B23" s="126">
        <f>IFERROR('1n'!$B23*'1i'!B35, "na")</f>
        <v>864.81592382435269</v>
      </c>
      <c r="C23" s="127">
        <f>IFERROR('1n'!$B23*'1i'!C35, "na")</f>
        <v>1804.7097749764196</v>
      </c>
      <c r="D23" s="127">
        <f>IFERROR('1n'!$B23*'1i'!D35, "na")</f>
        <v>277.81698680999506</v>
      </c>
      <c r="E23" s="128">
        <f>IFERROR('1n'!$B23*'1i'!E35, "na")</f>
        <v>2947.3426856107676</v>
      </c>
      <c r="F23" s="126">
        <f>IFERROR('1n'!$B23*'1i'!F35, "na")</f>
        <v>621.18958787739655</v>
      </c>
      <c r="G23" s="127">
        <f>IFERROR('1n'!$B23*'1i'!G35, "na")</f>
        <v>3932.0534381816096</v>
      </c>
      <c r="H23" s="127">
        <f>IFERROR('1n'!$B23*'1i'!H35, "na")</f>
        <v>130.6348295258868</v>
      </c>
      <c r="I23" s="128">
        <f>IFERROR('1n'!$B23*'1i'!I35, "na")</f>
        <v>4683.8778555848921</v>
      </c>
      <c r="J23" s="126">
        <f>IFERROR('1n'!$B23*'1i'!J35, "na")</f>
        <v>645.49524220352066</v>
      </c>
      <c r="K23" s="127">
        <f>IFERROR('1n'!$B23*'1i'!K35, "na")</f>
        <v>1012.5405636612155</v>
      </c>
      <c r="L23" s="127">
        <f>IFERROR('1n'!$B23*'1i'!L35, "na")</f>
        <v>403.3403870397056</v>
      </c>
      <c r="M23" s="128">
        <f>IFERROR('1n'!$B23*'1i'!M35, "na")</f>
        <v>2061.3761929044417</v>
      </c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-10.799605995480521</v>
      </c>
      <c r="C26" s="86">
        <f t="shared" ref="C26:M26" si="1">IFERROR((POWER(C$13/C5,1/($A$13-$A5))-1)*100,"na")</f>
        <v>9.6654859148184826</v>
      </c>
      <c r="D26" s="86" t="str">
        <f t="shared" si="1"/>
        <v>na</v>
      </c>
      <c r="E26" s="87" t="str">
        <f t="shared" si="1"/>
        <v>na</v>
      </c>
      <c r="F26" s="85">
        <f t="shared" si="1"/>
        <v>20.29670951908782</v>
      </c>
      <c r="G26" s="86">
        <f t="shared" si="1"/>
        <v>39.141603970042006</v>
      </c>
      <c r="H26" s="86" t="str">
        <f t="shared" si="1"/>
        <v>na</v>
      </c>
      <c r="I26" s="87" t="str">
        <f t="shared" si="1"/>
        <v>na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>
        <f>IFERROR((POWER(B$23/B13,1/($A$23-$A$13))-1)*100,"na")</f>
        <v>13.033799412835911</v>
      </c>
      <c r="C27" s="86">
        <f t="shared" ref="C27:M27" si="2">IFERROR((POWER(C$23/C13,1/($A$23-$A$13))-1)*100,"na")</f>
        <v>-4.5278076272906365</v>
      </c>
      <c r="D27" s="86">
        <f t="shared" si="2"/>
        <v>22.575518726298238</v>
      </c>
      <c r="E27" s="87">
        <f t="shared" si="2"/>
        <v>-0.6901096821437247</v>
      </c>
      <c r="F27" s="85">
        <f t="shared" si="2"/>
        <v>-2.1176044158669471</v>
      </c>
      <c r="G27" s="86">
        <f t="shared" si="2"/>
        <v>8.9336693800160063</v>
      </c>
      <c r="H27" s="86">
        <f t="shared" si="2"/>
        <v>-5.0701727343042684</v>
      </c>
      <c r="I27" s="87">
        <f t="shared" si="2"/>
        <v>5.8198100341017689</v>
      </c>
      <c r="J27" s="85">
        <f t="shared" si="2"/>
        <v>1.1540203056807918</v>
      </c>
      <c r="K27" s="86">
        <f t="shared" si="2"/>
        <v>4.844013008678405</v>
      </c>
      <c r="L27" s="86">
        <f t="shared" si="2"/>
        <v>-1.7194232934122367</v>
      </c>
      <c r="M27" s="87">
        <f t="shared" si="2"/>
        <v>2.029449820214313</v>
      </c>
    </row>
    <row r="28" spans="1:13">
      <c r="A28" s="29" t="s">
        <v>126</v>
      </c>
      <c r="B28" s="39">
        <f>IFERROR((POWER(B23/B5,1/($A$23-$A5))-1)*100, "na")</f>
        <v>1.7421635952940662</v>
      </c>
      <c r="C28" s="89">
        <f t="shared" ref="C28:M28" si="3">IFERROR((POWER(C23/C5,1/($A$23-$A5))-1)*100, "na")</f>
        <v>1.5381793393539844</v>
      </c>
      <c r="D28" s="89" t="str">
        <f t="shared" si="3"/>
        <v>na</v>
      </c>
      <c r="E28" s="90" t="str">
        <f t="shared" si="3"/>
        <v>na</v>
      </c>
      <c r="F28" s="88">
        <f t="shared" si="3"/>
        <v>7.2764061252654111</v>
      </c>
      <c r="G28" s="89">
        <f t="shared" si="3"/>
        <v>21.451895844376768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30" spans="1:13">
      <c r="A30" s="1" t="s">
        <v>161</v>
      </c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70" orientation="landscape" horizontalDpi="0" verticalDpi="0" r:id="rId1"/>
  <colBreaks count="1" manualBreakCount="1">
    <brk id="15" max="2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M30"/>
  <sheetViews>
    <sheetView view="pageBreakPreview" zoomScale="60" zoomScaleNormal="100" workbookViewId="0">
      <selection activeCell="A30" sqref="A30"/>
    </sheetView>
  </sheetViews>
  <sheetFormatPr defaultRowHeight="15"/>
  <cols>
    <col min="1" max="1" width="10.5703125" customWidth="1"/>
    <col min="2" max="2" width="11.7109375" customWidth="1"/>
    <col min="4" max="4" width="18.5703125" customWidth="1"/>
    <col min="6" max="6" width="12.140625" customWidth="1"/>
    <col min="8" max="8" width="18.7109375" customWidth="1"/>
    <col min="10" max="10" width="11.140625" customWidth="1"/>
    <col min="12" max="12" width="18.140625" customWidth="1"/>
  </cols>
  <sheetData>
    <row r="1" spans="1:13">
      <c r="A1" s="2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292">
        <f>IFERROR('1l'!B17*'1n'!$B5, "na")</f>
        <v>0.30570682101862506</v>
      </c>
      <c r="C5" s="293">
        <f>IFERROR('1l'!C17*'1n'!$B5, "na")</f>
        <v>0.66142037250055075</v>
      </c>
      <c r="D5" s="293" t="str">
        <f>IFERROR('1l'!D17*'1n'!$B5, "na")</f>
        <v>na</v>
      </c>
      <c r="E5" s="294" t="str">
        <f>IFERROR('1l'!E17*'1n'!$B5, "na")</f>
        <v>na</v>
      </c>
      <c r="F5" s="292">
        <f>IFERROR('1l'!F17*'1n'!$B5, "na")</f>
        <v>8.1407287384169247E-2</v>
      </c>
      <c r="G5" s="293">
        <f>IFERROR('1l'!G17*'1n'!$B5, "na")</f>
        <v>5.5189573606545701E-2</v>
      </c>
      <c r="H5" s="293" t="str">
        <f>IFERROR('1l'!H17*'1n'!$B5, "na")</f>
        <v>na</v>
      </c>
      <c r="I5" s="294" t="str">
        <f>IFERROR('1l'!I17*'1n'!$B5, "na")</f>
        <v>na</v>
      </c>
      <c r="J5" s="292" t="str">
        <f>IFERROR('1l'!J17*'1n'!$B5, "na")</f>
        <v>na</v>
      </c>
      <c r="K5" s="293" t="str">
        <f>IFERROR('1l'!K17*'1n'!$B5, "na")</f>
        <v>na</v>
      </c>
      <c r="L5" s="293" t="str">
        <f>IFERROR('1l'!L17*'1n'!$B5, "na")</f>
        <v>na</v>
      </c>
      <c r="M5" s="294" t="str">
        <f>IFERROR('1l'!M17*'1n'!$B5, "na")</f>
        <v>na</v>
      </c>
    </row>
    <row r="6" spans="1:13">
      <c r="A6" s="65">
        <v>1993</v>
      </c>
      <c r="B6" s="292">
        <f>IFERROR('1l'!B18*'1n'!$B6, "na")</f>
        <v>0.62519555675437088</v>
      </c>
      <c r="C6" s="293">
        <f>IFERROR('1l'!C18*'1n'!$B6, "na")</f>
        <v>0.4593379882788553</v>
      </c>
      <c r="D6" s="293" t="str">
        <f>IFERROR('1l'!D18*'1n'!$B6, "na")</f>
        <v>na</v>
      </c>
      <c r="E6" s="294" t="str">
        <f>IFERROR('1l'!E18*'1n'!$B6, "na")</f>
        <v>na</v>
      </c>
      <c r="F6" s="292">
        <f>IFERROR('1l'!F18*'1n'!$B6, "na")</f>
        <v>3.5148577494971273E-2</v>
      </c>
      <c r="G6" s="293">
        <f>IFERROR('1l'!G18*'1n'!$B6, "na")</f>
        <v>0.10127262926784376</v>
      </c>
      <c r="H6" s="293" t="str">
        <f>IFERROR('1l'!H18*'1n'!$B6, "na")</f>
        <v>na</v>
      </c>
      <c r="I6" s="294" t="str">
        <f>IFERROR('1l'!I18*'1n'!$B6, "na")</f>
        <v>na</v>
      </c>
      <c r="J6" s="292" t="str">
        <f>IFERROR('1l'!J18*'1n'!$B6, "na")</f>
        <v>na</v>
      </c>
      <c r="K6" s="293" t="str">
        <f>IFERROR('1l'!K18*'1n'!$B6, "na")</f>
        <v>na</v>
      </c>
      <c r="L6" s="293" t="str">
        <f>IFERROR('1l'!L18*'1n'!$B6, "na")</f>
        <v>na</v>
      </c>
      <c r="M6" s="294" t="str">
        <f>IFERROR('1l'!M18*'1n'!$B6, "na")</f>
        <v>na</v>
      </c>
    </row>
    <row r="7" spans="1:13">
      <c r="A7" s="65">
        <v>1994</v>
      </c>
      <c r="B7" s="292">
        <f>IFERROR('1l'!B19*'1n'!$B7, "na")</f>
        <v>1.0362855096681787E-2</v>
      </c>
      <c r="C7" s="293">
        <f>IFERROR('1l'!C19*'1n'!$B7, "na")</f>
        <v>0.2821819049892576</v>
      </c>
      <c r="D7" s="293">
        <f>IFERROR('1l'!D19*'1n'!$B7, "na")</f>
        <v>1.4316065886846505E-2</v>
      </c>
      <c r="E7" s="294">
        <f>IFERROR('1l'!E19*'1n'!$B7, "na")</f>
        <v>0.30686082597278591</v>
      </c>
      <c r="F7" s="292">
        <f>IFERROR('1l'!F19*'1n'!$B7, "na")</f>
        <v>7.0582368585732164E-2</v>
      </c>
      <c r="G7" s="293">
        <f>IFERROR('1l'!G19*'1n'!$B7, "na")</f>
        <v>9.6460419274092629E-2</v>
      </c>
      <c r="H7" s="293" t="str">
        <f>IFERROR('1l'!H19*'1n'!$B7, "na")</f>
        <v>na</v>
      </c>
      <c r="I7" s="294" t="str">
        <f>IFERROR('1l'!I19*'1n'!$B7, "na")</f>
        <v>na</v>
      </c>
      <c r="J7" s="292" t="str">
        <f>IFERROR('1l'!J19*'1n'!$B7, "na")</f>
        <v>na</v>
      </c>
      <c r="K7" s="293" t="str">
        <f>IFERROR('1l'!K19*'1n'!$B7, "na")</f>
        <v>na</v>
      </c>
      <c r="L7" s="293" t="str">
        <f>IFERROR('1l'!L19*'1n'!$B7, "na")</f>
        <v>na</v>
      </c>
      <c r="M7" s="294" t="str">
        <f>IFERROR('1l'!M19*'1n'!$B7, "na")</f>
        <v>na</v>
      </c>
    </row>
    <row r="8" spans="1:13">
      <c r="A8" s="65">
        <v>1995</v>
      </c>
      <c r="B8" s="292">
        <f>IFERROR('1l'!B20*'1n'!$B8, "na")</f>
        <v>7.8430917695091404E-2</v>
      </c>
      <c r="C8" s="293">
        <f>IFERROR('1l'!C20*'1n'!$B8, "na")</f>
        <v>0.33541801985710307</v>
      </c>
      <c r="D8" s="293" t="str">
        <f>IFERROR('1l'!D20*'1n'!$B8, "na")</f>
        <v>na</v>
      </c>
      <c r="E8" s="294" t="str">
        <f>IFERROR('1l'!E20*'1n'!$B8, "na")</f>
        <v>na</v>
      </c>
      <c r="F8" s="292">
        <f>IFERROR('1l'!F20*'1n'!$B8, "na")</f>
        <v>0.19510766476754396</v>
      </c>
      <c r="G8" s="293">
        <f>IFERROR('1l'!G20*'1n'!$B8, "na")</f>
        <v>0.14849441451365822</v>
      </c>
      <c r="H8" s="293" t="str">
        <f>IFERROR('1l'!H20*'1n'!$B8, "na")</f>
        <v>na</v>
      </c>
      <c r="I8" s="294" t="str">
        <f>IFERROR('1l'!I20*'1n'!$B8, "na")</f>
        <v>na</v>
      </c>
      <c r="J8" s="292" t="str">
        <f>IFERROR('1l'!J20*'1n'!$B8, "na")</f>
        <v>na</v>
      </c>
      <c r="K8" s="293" t="str">
        <f>IFERROR('1l'!K20*'1n'!$B8, "na")</f>
        <v>na</v>
      </c>
      <c r="L8" s="293" t="str">
        <f>IFERROR('1l'!L20*'1n'!$B8, "na")</f>
        <v>na</v>
      </c>
      <c r="M8" s="294" t="str">
        <f>IFERROR('1l'!M20*'1n'!$B8, "na")</f>
        <v>na</v>
      </c>
    </row>
    <row r="9" spans="1:13">
      <c r="A9" s="65">
        <v>1996</v>
      </c>
      <c r="B9" s="292">
        <f>IFERROR('1l'!B21*'1n'!$B9, "na")</f>
        <v>0.15185856430790265</v>
      </c>
      <c r="C9" s="293">
        <f>IFERROR('1l'!C21*'1n'!$B9, "na")</f>
        <v>0.37151913592535696</v>
      </c>
      <c r="D9" s="293">
        <f>IFERROR('1l'!D21*'1n'!$B9, "na")</f>
        <v>2.8893763592723502E-2</v>
      </c>
      <c r="E9" s="294">
        <f>IFERROR('1l'!E21*'1n'!$B9, "na")</f>
        <v>0.55227146382598302</v>
      </c>
      <c r="F9" s="292">
        <f>IFERROR('1l'!F21*'1n'!$B9, "na")</f>
        <v>0.35463551599915238</v>
      </c>
      <c r="G9" s="293">
        <f>IFERROR('1l'!G21*'1n'!$B9, "na")</f>
        <v>0.25051070141979231</v>
      </c>
      <c r="H9" s="293" t="str">
        <f>IFERROR('1l'!H21*'1n'!$B9, "na")</f>
        <v>na</v>
      </c>
      <c r="I9" s="294" t="str">
        <f>IFERROR('1l'!I21*'1n'!$B9, "na")</f>
        <v>na</v>
      </c>
      <c r="J9" s="292" t="str">
        <f>IFERROR('1l'!J21*'1n'!$B9, "na")</f>
        <v>na</v>
      </c>
      <c r="K9" s="293" t="str">
        <f>IFERROR('1l'!K21*'1n'!$B9, "na")</f>
        <v>na</v>
      </c>
      <c r="L9" s="293" t="str">
        <f>IFERROR('1l'!L21*'1n'!$B9, "na")</f>
        <v>na</v>
      </c>
      <c r="M9" s="294" t="str">
        <f>IFERROR('1l'!M21*'1n'!$B9, "na")</f>
        <v>na</v>
      </c>
    </row>
    <row r="10" spans="1:13">
      <c r="A10" s="65">
        <v>1997</v>
      </c>
      <c r="B10" s="292">
        <f>IFERROR('1l'!B22*'1n'!$B10, "na")</f>
        <v>0.64444487179487187</v>
      </c>
      <c r="C10" s="293">
        <f>IFERROR('1l'!C22*'1n'!$B10, "na")</f>
        <v>0.78643653846153849</v>
      </c>
      <c r="D10" s="293">
        <f>IFERROR('1l'!D22*'1n'!$B10, "na")</f>
        <v>0.17454743589743593</v>
      </c>
      <c r="E10" s="294">
        <f>IFERROR('1l'!E22*'1n'!$B10, "na")</f>
        <v>1.6054288461538462</v>
      </c>
      <c r="F10" s="292">
        <f>IFERROR('1l'!F22*'1n'!$B10, "na")</f>
        <v>0.61538988202720601</v>
      </c>
      <c r="G10" s="293">
        <f>IFERROR('1l'!G22*'1n'!$B10, "na")</f>
        <v>0.63877001324184424</v>
      </c>
      <c r="H10" s="293">
        <f>IFERROR('1l'!H22*'1n'!$B10, "na")</f>
        <v>9.8651739496809915E-3</v>
      </c>
      <c r="I10" s="294">
        <f>IFERROR('1l'!I22*'1n'!$B10, "na")</f>
        <v>1.2640250692187311</v>
      </c>
      <c r="J10" s="292">
        <f>IFERROR('1l'!J22*'1n'!$B10, "na")</f>
        <v>0.2220658056057643</v>
      </c>
      <c r="K10" s="293">
        <f>IFERROR('1l'!K22*'1n'!$B10, "na")</f>
        <v>0.2955962055904045</v>
      </c>
      <c r="L10" s="293">
        <f>IFERROR('1l'!L22*'1n'!$B10, "na")</f>
        <v>0.19224181201297902</v>
      </c>
      <c r="M10" s="294">
        <f>IFERROR('1l'!M22*'1n'!$B10, "na")</f>
        <v>0.7099038232091478</v>
      </c>
    </row>
    <row r="11" spans="1:13">
      <c r="A11" s="65">
        <v>1998</v>
      </c>
      <c r="B11" s="292">
        <f>IFERROR('1l'!B23*'1n'!$B11, "na")</f>
        <v>0.76310813332202521</v>
      </c>
      <c r="C11" s="293">
        <f>IFERROR('1l'!C23*'1n'!$B11, "na")</f>
        <v>0.83115223475532185</v>
      </c>
      <c r="D11" s="293">
        <f>IFERROR('1l'!D23*'1n'!$B11, "na")</f>
        <v>4.045492324654397E-2</v>
      </c>
      <c r="E11" s="294">
        <f>IFERROR('1l'!E23*'1n'!$B11, "na")</f>
        <v>1.6347152913238914</v>
      </c>
      <c r="F11" s="292">
        <f>IFERROR('1l'!F23*'1n'!$B11, "na")</f>
        <v>1.2946490931413994</v>
      </c>
      <c r="G11" s="293">
        <f>IFERROR('1l'!G23*'1n'!$B11, "na")</f>
        <v>0.75400771215786033</v>
      </c>
      <c r="H11" s="293">
        <f>IFERROR('1l'!H23*'1n'!$B11, "na")</f>
        <v>5.2010380902668012E-2</v>
      </c>
      <c r="I11" s="294">
        <f>IFERROR('1l'!I23*'1n'!$B11, "na")</f>
        <v>2.1006671862019277</v>
      </c>
      <c r="J11" s="292">
        <f>IFERROR('1l'!J23*'1n'!$B11, "na")</f>
        <v>0.28183445905714016</v>
      </c>
      <c r="K11" s="293">
        <f>IFERROR('1l'!K23*'1n'!$B11, "na")</f>
        <v>0.31636735365336055</v>
      </c>
      <c r="L11" s="293">
        <f>IFERROR('1l'!L23*'1n'!$B11, "na")</f>
        <v>0.17698947000393903</v>
      </c>
      <c r="M11" s="294">
        <f>IFERROR('1l'!M23*'1n'!$B11, "na")</f>
        <v>0.77519128271443982</v>
      </c>
    </row>
    <row r="12" spans="1:13">
      <c r="A12" s="65">
        <v>1999</v>
      </c>
      <c r="B12" s="292">
        <f>IFERROR('1l'!B24*'1n'!$B12, "na")</f>
        <v>0.59185721399998059</v>
      </c>
      <c r="C12" s="293">
        <f>IFERROR('1l'!C24*'1n'!$B12, "na")</f>
        <v>1.2422984158396504</v>
      </c>
      <c r="D12" s="293">
        <f>IFERROR('1l'!D24*'1n'!$B12, "na")</f>
        <v>5.0550566515530755E-2</v>
      </c>
      <c r="E12" s="294">
        <f>IFERROR('1l'!E24*'1n'!$B12, "na")</f>
        <v>1.8847061963551615</v>
      </c>
      <c r="F12" s="292">
        <f>IFERROR('1l'!F24*'1n'!$B12, "na")</f>
        <v>0.17781745648746905</v>
      </c>
      <c r="G12" s="293">
        <f>IFERROR('1l'!G24*'1n'!$B12, "na")</f>
        <v>0.38945323810443011</v>
      </c>
      <c r="H12" s="293">
        <f>IFERROR('1l'!H24*'1n'!$B12, "na")</f>
        <v>5.3791461570633472E-3</v>
      </c>
      <c r="I12" s="294">
        <f>IFERROR('1l'!I24*'1n'!$B12, "na")</f>
        <v>0.57264984074896241</v>
      </c>
      <c r="J12" s="292">
        <f>IFERROR('1l'!J24*'1n'!$B12, "na")</f>
        <v>0.29848268819603851</v>
      </c>
      <c r="K12" s="293">
        <f>IFERROR('1l'!K24*'1n'!$B12, "na")</f>
        <v>0.33095794295567127</v>
      </c>
      <c r="L12" s="293">
        <f>IFERROR('1l'!L24*'1n'!$B12, "na")</f>
        <v>0.21256914801650226</v>
      </c>
      <c r="M12" s="294">
        <f>IFERROR('1l'!M24*'1n'!$B12, "na")</f>
        <v>0.84200977916821218</v>
      </c>
    </row>
    <row r="13" spans="1:13">
      <c r="A13" s="65">
        <v>2000</v>
      </c>
      <c r="B13" s="292">
        <f>IFERROR('1l'!B25*'1n'!$B13, "na")</f>
        <v>0.13260619977037888</v>
      </c>
      <c r="C13" s="293">
        <f>IFERROR('1l'!C25*'1n'!$B13, "na")</f>
        <v>1.4974827368175843</v>
      </c>
      <c r="D13" s="293">
        <f>IFERROR('1l'!D25*'1n'!$B13, "na")</f>
        <v>1.8942827667681659E-2</v>
      </c>
      <c r="E13" s="294">
        <f>IFERROR('1l'!E25*'1n'!$B13, "na")</f>
        <v>1.6490317642556449</v>
      </c>
      <c r="F13" s="292">
        <f>IFERROR('1l'!F25*'1n'!$B13, "na")</f>
        <v>0.41387421151798148</v>
      </c>
      <c r="G13" s="293">
        <f>IFERROR('1l'!G25*'1n'!$B13, "na")</f>
        <v>0.89885197928328908</v>
      </c>
      <c r="H13" s="293">
        <f>IFERROR('1l'!H25*'1n'!$B13, "na")</f>
        <v>0.11822849822051099</v>
      </c>
      <c r="I13" s="294">
        <f>IFERROR('1l'!I25*'1n'!$B13, "na")</f>
        <v>1.4309546890217815</v>
      </c>
      <c r="J13" s="292">
        <f>IFERROR('1l'!J25*'1n'!$B13, "na")</f>
        <v>0.31755878656617309</v>
      </c>
      <c r="K13" s="293">
        <f>IFERROR('1l'!K25*'1n'!$B13, "na")</f>
        <v>0.34812775116447392</v>
      </c>
      <c r="L13" s="293">
        <f>IFERROR('1l'!L25*'1n'!$B13, "na")</f>
        <v>0.26470205856963602</v>
      </c>
      <c r="M13" s="294">
        <f>IFERROR('1l'!M25*'1n'!$B13, "na")</f>
        <v>0.93038859630028303</v>
      </c>
    </row>
    <row r="14" spans="1:13">
      <c r="A14" s="65">
        <v>2001</v>
      </c>
      <c r="B14" s="292">
        <f>IFERROR('1l'!B26*'1n'!$B14, "na")</f>
        <v>2.3412559914374798E-2</v>
      </c>
      <c r="C14" s="293">
        <f>IFERROR('1l'!C26*'1n'!$B14, "na")</f>
        <v>1.0980676159895761</v>
      </c>
      <c r="D14" s="293">
        <f>IFERROR('1l'!D26*'1n'!$B14, "na")</f>
        <v>7.6783470612871698E-5</v>
      </c>
      <c r="E14" s="294">
        <f>IFERROR('1l'!E26*'1n'!$B14, "na")</f>
        <v>1.1215569593745638</v>
      </c>
      <c r="F14" s="292">
        <f>IFERROR('1l'!F26*'1n'!$B14, "na")</f>
        <v>1.5851622354461248E-3</v>
      </c>
      <c r="G14" s="293">
        <f>IFERROR('1l'!G26*'1n'!$B14, "na")</f>
        <v>0.6463258175465415</v>
      </c>
      <c r="H14" s="293">
        <f>IFERROR('1l'!H26*'1n'!$B14, "na")</f>
        <v>6.3406489417844993E-3</v>
      </c>
      <c r="I14" s="294">
        <f>IFERROR('1l'!I26*'1n'!$B14, "na")</f>
        <v>0.65425162872377218</v>
      </c>
      <c r="J14" s="292">
        <f>IFERROR('1l'!J26*'1n'!$B14, "na")</f>
        <v>0.26862371675436253</v>
      </c>
      <c r="K14" s="293">
        <f>IFERROR('1l'!K26*'1n'!$B14, "na")</f>
        <v>0.38068380268620877</v>
      </c>
      <c r="L14" s="293">
        <f>IFERROR('1l'!L26*'1n'!$B14, "na")</f>
        <v>0.27603112549934566</v>
      </c>
      <c r="M14" s="294">
        <f>IFERROR('1l'!M26*'1n'!$B14, "na")</f>
        <v>0.9253386449399168</v>
      </c>
    </row>
    <row r="15" spans="1:13">
      <c r="A15" s="65">
        <v>2002</v>
      </c>
      <c r="B15" s="292">
        <f>IFERROR('1l'!B27*'1n'!$B15, "na")</f>
        <v>0.23402569007925664</v>
      </c>
      <c r="C15" s="293">
        <f>IFERROR('1l'!C27*'1n'!$B15, "na")</f>
        <v>0.7983192128996992</v>
      </c>
      <c r="D15" s="293">
        <f>IFERROR('1l'!D27*'1n'!$B15, "na")</f>
        <v>2.5068324678874009E-2</v>
      </c>
      <c r="E15" s="294">
        <f>IFERROR('1l'!E27*'1n'!$B15, "na")</f>
        <v>1.0574132276578301</v>
      </c>
      <c r="F15" s="292">
        <f>IFERROR('1l'!F27*'1n'!$B15, "na")</f>
        <v>2.2493020009306652E-2</v>
      </c>
      <c r="G15" s="293">
        <f>IFERROR('1l'!G27*'1n'!$B15, "na")</f>
        <v>0.51816833410888785</v>
      </c>
      <c r="H15" s="293">
        <f>IFERROR('1l'!H27*'1n'!$B15, "na")</f>
        <v>2.4272917636109819E-2</v>
      </c>
      <c r="I15" s="294">
        <f>IFERROR('1l'!I27*'1n'!$B15, "na")</f>
        <v>0.56493427175430444</v>
      </c>
      <c r="J15" s="292">
        <f>IFERROR('1l'!J27*'1n'!$B15, "na")</f>
        <v>0.2756839281418475</v>
      </c>
      <c r="K15" s="293">
        <f>IFERROR('1l'!K27*'1n'!$B15, "na")</f>
        <v>0.36746364596059977</v>
      </c>
      <c r="L15" s="293">
        <f>IFERROR('1l'!L27*'1n'!$B15, "na")</f>
        <v>0.25074870845670422</v>
      </c>
      <c r="M15" s="294">
        <f>IFERROR('1l'!M27*'1n'!$B15, "na")</f>
        <v>0.89389628255915143</v>
      </c>
    </row>
    <row r="16" spans="1:13">
      <c r="A16" s="65">
        <v>2003</v>
      </c>
      <c r="B16" s="292">
        <f>IFERROR('1l'!B28*'1n'!$B16, "na")</f>
        <v>0.48995305229193942</v>
      </c>
      <c r="C16" s="293">
        <f>IFERROR('1l'!C28*'1n'!$B16, "na")</f>
        <v>0.76233646893816642</v>
      </c>
      <c r="D16" s="293">
        <f>IFERROR('1l'!D28*'1n'!$B16, "na")</f>
        <v>8.9005116229259579E-2</v>
      </c>
      <c r="E16" s="294">
        <f>IFERROR('1l'!E28*'1n'!$B16, "na")</f>
        <v>1.3412946374593655</v>
      </c>
      <c r="F16" s="292">
        <f>IFERROR('1l'!F28*'1n'!$B16, "na")</f>
        <v>0.15206300884334642</v>
      </c>
      <c r="G16" s="293">
        <f>IFERROR('1l'!G28*'1n'!$B16, "na")</f>
        <v>0.59109436412128014</v>
      </c>
      <c r="H16" s="293">
        <f>IFERROR('1l'!H28*'1n'!$B16, "na")</f>
        <v>3.1887370157215045E-2</v>
      </c>
      <c r="I16" s="294">
        <f>IFERROR('1l'!I28*'1n'!$B16, "na")</f>
        <v>0.77504474312184168</v>
      </c>
      <c r="J16" s="292">
        <f>IFERROR('1l'!J28*'1n'!$B16, "na")</f>
        <v>0.29799877331761798</v>
      </c>
      <c r="K16" s="293">
        <f>IFERROR('1l'!K28*'1n'!$B16, "na")</f>
        <v>0.38216774491598587</v>
      </c>
      <c r="L16" s="293">
        <f>IFERROR('1l'!L28*'1n'!$B16, "na")</f>
        <v>0.2300066921565255</v>
      </c>
      <c r="M16" s="294">
        <f>IFERROR('1l'!M28*'1n'!$B16, "na")</f>
        <v>0.91017321039012933</v>
      </c>
    </row>
    <row r="17" spans="1:13">
      <c r="A17" s="65">
        <v>2004</v>
      </c>
      <c r="B17" s="292">
        <f>IFERROR('1l'!B29*'1n'!$B17, "na")</f>
        <v>0.63305535855653772</v>
      </c>
      <c r="C17" s="293">
        <f>IFERROR('1l'!C29*'1n'!$B17, "na")</f>
        <v>1.1881257009499937</v>
      </c>
      <c r="D17" s="293">
        <f>IFERROR('1l'!D29*'1n'!$B17, "na")</f>
        <v>0.11176936271275895</v>
      </c>
      <c r="E17" s="294">
        <f>IFERROR('1l'!E29*'1n'!$B17, "na")</f>
        <v>1.9329504222192901</v>
      </c>
      <c r="F17" s="292">
        <f>IFERROR('1l'!F29*'1n'!$B17, "na")</f>
        <v>0.17175797373358351</v>
      </c>
      <c r="G17" s="293">
        <f>IFERROR('1l'!G29*'1n'!$B17, "na")</f>
        <v>1.1911625234521577</v>
      </c>
      <c r="H17" s="293">
        <f>IFERROR('1l'!H29*'1n'!$B17, "na")</f>
        <v>4.250586303939962E-2</v>
      </c>
      <c r="I17" s="294">
        <f>IFERROR('1l'!I29*'1n'!$B17, "na")</f>
        <v>1.4054263602251409</v>
      </c>
      <c r="J17" s="292">
        <f>IFERROR('1l'!J29*'1n'!$B17, "na")</f>
        <v>0.34141228993502959</v>
      </c>
      <c r="K17" s="293">
        <f>IFERROR('1l'!K29*'1n'!$B17, "na")</f>
        <v>0.42671934998079042</v>
      </c>
      <c r="L17" s="293">
        <f>IFERROR('1l'!L29*'1n'!$B17, "na")</f>
        <v>0.22546462717854981</v>
      </c>
      <c r="M17" s="294">
        <f>IFERROR('1l'!M29*'1n'!$B17, "na")</f>
        <v>0.99359626709436977</v>
      </c>
    </row>
    <row r="18" spans="1:13">
      <c r="A18" s="65">
        <v>2005</v>
      </c>
      <c r="B18" s="292">
        <f>IFERROR('1l'!B30*'1n'!$B18, "na")</f>
        <v>0.79432938856015778</v>
      </c>
      <c r="C18" s="293">
        <f>IFERROR('1l'!C30*'1n'!$B18, "na")</f>
        <v>1.7353483634681064</v>
      </c>
      <c r="D18" s="293">
        <f>IFERROR('1l'!D30*'1n'!$B18, "na")</f>
        <v>0.1079603248359939</v>
      </c>
      <c r="E18" s="294">
        <f>IFERROR('1l'!E30*'1n'!$B18, "na")</f>
        <v>2.637638076864258</v>
      </c>
      <c r="F18" s="292">
        <f>IFERROR('1l'!F30*'1n'!$B18, "na")</f>
        <v>0.29207008910759413</v>
      </c>
      <c r="G18" s="293">
        <f>IFERROR('1l'!G30*'1n'!$B18, "na")</f>
        <v>1.7230906063613209</v>
      </c>
      <c r="H18" s="293">
        <f>IFERROR('1l'!H30*'1n'!$B18, "na")</f>
        <v>9.5330802991396166E-2</v>
      </c>
      <c r="I18" s="294">
        <f>IFERROR('1l'!I30*'1n'!$B18, "na")</f>
        <v>2.1104914984603114</v>
      </c>
      <c r="J18" s="292">
        <f>IFERROR('1l'!J30*'1n'!$B18, "na")</f>
        <v>0.37314748571375567</v>
      </c>
      <c r="K18" s="293">
        <f>IFERROR('1l'!K30*'1n'!$B18, "na")</f>
        <v>0.49364334355176409</v>
      </c>
      <c r="L18" s="293">
        <f>IFERROR('1l'!L30*'1n'!$B18, "na")</f>
        <v>0.22370444734481501</v>
      </c>
      <c r="M18" s="294">
        <f>IFERROR('1l'!M30*'1n'!$B18, "na")</f>
        <v>1.0904952766103346</v>
      </c>
    </row>
    <row r="19" spans="1:13">
      <c r="A19" s="65">
        <v>2006</v>
      </c>
      <c r="B19" s="292">
        <f>IFERROR('1l'!B31*'1n'!$B19, "na")</f>
        <v>0.61038379188103908</v>
      </c>
      <c r="C19" s="293">
        <f>IFERROR('1l'!C31*'1n'!$B19, "na")</f>
        <v>1.4109086773748274</v>
      </c>
      <c r="D19" s="293">
        <f>IFERROR('1l'!D31*'1n'!$B19, "na")</f>
        <v>0.13769568013552516</v>
      </c>
      <c r="E19" s="294">
        <f>IFERROR('1l'!E31*'1n'!$B19, "na")</f>
        <v>2.1589881493913916</v>
      </c>
      <c r="F19" s="292">
        <f>IFERROR('1l'!F31*'1n'!$B19, "na")</f>
        <v>0.27274144227058161</v>
      </c>
      <c r="G19" s="293">
        <f>IFERROR('1l'!G31*'1n'!$B19, "na")</f>
        <v>1.4175140278478757</v>
      </c>
      <c r="H19" s="293">
        <f>IFERROR('1l'!H31*'1n'!$B19, "na")</f>
        <v>8.0738057773951252E-2</v>
      </c>
      <c r="I19" s="294">
        <f>IFERROR('1l'!I31*'1n'!$B19, "na")</f>
        <v>1.7709935278924089</v>
      </c>
      <c r="J19" s="292">
        <f>IFERROR('1l'!J31*'1n'!$B19, "na")</f>
        <v>0.41913081249173395</v>
      </c>
      <c r="K19" s="293">
        <f>IFERROR('1l'!K31*'1n'!$B19, "na")</f>
        <v>0.50085127580597633</v>
      </c>
      <c r="L19" s="293">
        <f>IFERROR('1l'!L31*'1n'!$B19, "na")</f>
        <v>0.22713681640303748</v>
      </c>
      <c r="M19" s="294">
        <f>IFERROR('1l'!M31*'1n'!$B19, "na")</f>
        <v>1.1471189047007477</v>
      </c>
    </row>
    <row r="20" spans="1:13">
      <c r="A20" s="65">
        <v>2007</v>
      </c>
      <c r="B20" s="292">
        <f>IFERROR('1l'!B32*'1n'!$B20, "na")</f>
        <v>1.2449125753235206</v>
      </c>
      <c r="C20" s="293">
        <f>IFERROR('1l'!C32*'1n'!$B20, "na")</f>
        <v>1.4696920189363141</v>
      </c>
      <c r="D20" s="293">
        <f>IFERROR('1l'!D32*'1n'!$B20, "na")</f>
        <v>0.35531804952925178</v>
      </c>
      <c r="E20" s="294">
        <f>IFERROR('1l'!E32*'1n'!$B20, "na")</f>
        <v>3.0699226437890865</v>
      </c>
      <c r="F20" s="292">
        <f>IFERROR('1l'!F32*'1n'!$B20, "na")</f>
        <v>0.12460336538461539</v>
      </c>
      <c r="G20" s="293">
        <f>IFERROR('1l'!G32*'1n'!$B20, "na")</f>
        <v>1.8847716346153844</v>
      </c>
      <c r="H20" s="293">
        <f>IFERROR('1l'!H32*'1n'!$B20, "na")</f>
        <v>4.5733173076923081E-2</v>
      </c>
      <c r="I20" s="294">
        <f>IFERROR('1l'!I32*'1n'!$B20, "na")</f>
        <v>2.0551081730769232</v>
      </c>
      <c r="J20" s="292">
        <f>IFERROR('1l'!J32*'1n'!$B20, "na")</f>
        <v>0.3991515861464478</v>
      </c>
      <c r="K20" s="293">
        <f>IFERROR('1l'!K32*'1n'!$B20, "na")</f>
        <v>0.57133302779409767</v>
      </c>
      <c r="L20" s="293">
        <f>IFERROR('1l'!L32*'1n'!$B20, "na")</f>
        <v>0.19944448955933636</v>
      </c>
      <c r="M20" s="294">
        <f>IFERROR('1l'!M32*'1n'!$B20, "na")</f>
        <v>1.1699291034998818</v>
      </c>
    </row>
    <row r="21" spans="1:13">
      <c r="A21" s="65">
        <v>2008</v>
      </c>
      <c r="B21" s="292" t="str">
        <f>IFERROR('1l'!B33*'1n'!$B21, "na")</f>
        <v>na</v>
      </c>
      <c r="C21" s="293" t="str">
        <f>IFERROR('1l'!C33*'1n'!$B21, "na")</f>
        <v>na</v>
      </c>
      <c r="D21" s="293" t="str">
        <f>IFERROR('1l'!D33*'1n'!$B21, "na")</f>
        <v>na</v>
      </c>
      <c r="E21" s="294" t="str">
        <f>IFERROR('1l'!E33*'1n'!$B21, "na")</f>
        <v>na</v>
      </c>
      <c r="F21" s="292" t="str">
        <f>IFERROR('1l'!F33*'1n'!$B21, "na")</f>
        <v>na</v>
      </c>
      <c r="G21" s="293" t="str">
        <f>IFERROR('1l'!G33*'1n'!$B21, "na")</f>
        <v>na</v>
      </c>
      <c r="H21" s="293" t="str">
        <f>IFERROR('1l'!H33*'1n'!$B21, "na")</f>
        <v>na</v>
      </c>
      <c r="I21" s="294" t="str">
        <f>IFERROR('1l'!I33*'1n'!$B21, "na")</f>
        <v>na</v>
      </c>
      <c r="J21" s="292">
        <f>IFERROR('1l'!J33*'1n'!$B21, "na")</f>
        <v>0.39702563757015014</v>
      </c>
      <c r="K21" s="293">
        <f>IFERROR('1l'!K33*'1n'!$B21, "na")</f>
        <v>0.57011448083258076</v>
      </c>
      <c r="L21" s="293">
        <f>IFERROR('1l'!L33*'1n'!$B21, "na")</f>
        <v>0.21890309182312009</v>
      </c>
      <c r="M21" s="294">
        <f>IFERROR('1l'!M33*'1n'!$B21, "na")</f>
        <v>1.1860432102258511</v>
      </c>
    </row>
    <row r="22" spans="1:13">
      <c r="A22" s="20">
        <f>A21+1</f>
        <v>2009</v>
      </c>
      <c r="B22" s="292" t="str">
        <f>IFERROR('1l'!B34*'1n'!$B22, "na")</f>
        <v>na</v>
      </c>
      <c r="C22" s="293" t="str">
        <f>IFERROR('1l'!C34*'1n'!$B22, "na")</f>
        <v>na</v>
      </c>
      <c r="D22" s="293" t="str">
        <f>IFERROR('1l'!D34*'1n'!$B22, "na")</f>
        <v>na</v>
      </c>
      <c r="E22" s="294" t="str">
        <f>IFERROR('1l'!E34*'1n'!$B22, "na")</f>
        <v>na</v>
      </c>
      <c r="F22" s="292" t="str">
        <f>IFERROR('1l'!F34*'1n'!$B22, "na")</f>
        <v>na</v>
      </c>
      <c r="G22" s="293" t="str">
        <f>IFERROR('1l'!G34*'1n'!$B22, "na")</f>
        <v>na</v>
      </c>
      <c r="H22" s="293" t="str">
        <f>IFERROR('1l'!H34*'1n'!$B22, "na")</f>
        <v>na</v>
      </c>
      <c r="I22" s="294" t="str">
        <f>IFERROR('1l'!I34*'1n'!$B22, "na")</f>
        <v>na</v>
      </c>
      <c r="J22" s="292">
        <f>IFERROR('1l'!J34*'1n'!$B22, "na")</f>
        <v>0.33851011038557377</v>
      </c>
      <c r="K22" s="293">
        <f>IFERROR('1l'!K34*'1n'!$B22, "na")</f>
        <v>0.55387977954983403</v>
      </c>
      <c r="L22" s="293">
        <f>IFERROR('1l'!L34*'1n'!$B22, "na")</f>
        <v>0.20899702878028062</v>
      </c>
      <c r="M22" s="294">
        <f>IFERROR('1l'!M34*'1n'!$B22, "na")</f>
        <v>1.1013869187156884</v>
      </c>
    </row>
    <row r="23" spans="1:13">
      <c r="A23" s="21">
        <f t="shared" ref="A23" si="0">A22+1</f>
        <v>2010</v>
      </c>
      <c r="B23" s="295" t="str">
        <f>IFERROR('1l'!B35*'1n'!$B23, "na")</f>
        <v>na</v>
      </c>
      <c r="C23" s="296" t="str">
        <f>IFERROR('1l'!C35*'1n'!$B23, "na")</f>
        <v>na</v>
      </c>
      <c r="D23" s="296" t="str">
        <f>IFERROR('1l'!D35*'1n'!$B23, "na")</f>
        <v>na</v>
      </c>
      <c r="E23" s="297" t="str">
        <f>IFERROR('1l'!E35*'1n'!$B23, "na")</f>
        <v>na</v>
      </c>
      <c r="F23" s="295" t="str">
        <f>IFERROR('1l'!F35*'1n'!$B23, "na")</f>
        <v>na</v>
      </c>
      <c r="G23" s="296" t="str">
        <f>IFERROR('1l'!G35*'1n'!$B23, "na")</f>
        <v>na</v>
      </c>
      <c r="H23" s="296" t="str">
        <f>IFERROR('1l'!H35*'1n'!$B23, "na")</f>
        <v>na</v>
      </c>
      <c r="I23" s="297" t="str">
        <f>IFERROR('1l'!I35*'1n'!$B23, "na")</f>
        <v>na</v>
      </c>
      <c r="J23" s="295">
        <f>IFERROR('1l'!J35*'1n'!$B23, "na")</f>
        <v>0.37264635769042836</v>
      </c>
      <c r="K23" s="296">
        <f>IFERROR('1l'!K35*'1n'!$B23, "na")</f>
        <v>0.58454273307129789</v>
      </c>
      <c r="L23" s="296">
        <f>IFERROR('1l'!L35*'1n'!$B23, "na")</f>
        <v>0.2328496266319563</v>
      </c>
      <c r="M23" s="297">
        <f>IFERROR('1l'!M35*'1n'!$B23, "na")</f>
        <v>1.1900387173936824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-9.9139930014815256</v>
      </c>
      <c r="C26" s="86">
        <f t="shared" ref="C26:M26" si="1">IFERROR((POWER(C$13/C5,1/($A$13-$A5))-1)*100,"na")</f>
        <v>10.754283564237577</v>
      </c>
      <c r="D26" s="86" t="str">
        <f t="shared" si="1"/>
        <v>na</v>
      </c>
      <c r="E26" s="87" t="str">
        <f t="shared" si="1"/>
        <v>na</v>
      </c>
      <c r="F26" s="85">
        <f t="shared" si="1"/>
        <v>22.539367781985241</v>
      </c>
      <c r="G26" s="86">
        <f t="shared" si="1"/>
        <v>41.73558238477748</v>
      </c>
      <c r="H26" s="86" t="str">
        <f t="shared" si="1"/>
        <v>na</v>
      </c>
      <c r="I26" s="87" t="str">
        <f t="shared" si="1"/>
        <v>na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 t="str">
        <f>IFERROR((POWER(B$23/B13,1/($A$23-$A$13))-1)*100,"na")</f>
        <v>na</v>
      </c>
      <c r="C27" s="86" t="str">
        <f t="shared" ref="C27:M27" si="2">IFERROR((POWER(C$23/C13,1/($A$23-$A$13))-1)*100,"na")</f>
        <v>na</v>
      </c>
      <c r="D27" s="86" t="str">
        <f t="shared" si="2"/>
        <v>na</v>
      </c>
      <c r="E27" s="87" t="str">
        <f t="shared" si="2"/>
        <v>na</v>
      </c>
      <c r="F27" s="85" t="str">
        <f t="shared" si="2"/>
        <v>na</v>
      </c>
      <c r="G27" s="86" t="str">
        <f t="shared" si="2"/>
        <v>na</v>
      </c>
      <c r="H27" s="86" t="str">
        <f t="shared" si="2"/>
        <v>na</v>
      </c>
      <c r="I27" s="87" t="str">
        <f t="shared" si="2"/>
        <v>na</v>
      </c>
      <c r="J27" s="85">
        <f t="shared" si="2"/>
        <v>1.612532319127391</v>
      </c>
      <c r="K27" s="86">
        <f t="shared" si="2"/>
        <v>5.3192510600891252</v>
      </c>
      <c r="L27" s="86">
        <f t="shared" si="2"/>
        <v>-1.2739360555125145</v>
      </c>
      <c r="M27" s="87">
        <f t="shared" si="2"/>
        <v>2.4919299898263914</v>
      </c>
    </row>
    <row r="28" spans="1:13">
      <c r="A28" s="29" t="s">
        <v>126</v>
      </c>
      <c r="B28" s="39" t="str">
        <f>IFERROR((POWER(B23/B5,1/($A$23-$A5))-1)*100, "na")</f>
        <v>na</v>
      </c>
      <c r="C28" s="89" t="str">
        <f t="shared" ref="C28:M28" si="3">IFERROR((POWER(C23/C5,1/($A$23-$A5))-1)*100, "na")</f>
        <v>na</v>
      </c>
      <c r="D28" s="89" t="str">
        <f t="shared" si="3"/>
        <v>na</v>
      </c>
      <c r="E28" s="90" t="str">
        <f t="shared" si="3"/>
        <v>na</v>
      </c>
      <c r="F28" s="88" t="str">
        <f t="shared" si="3"/>
        <v>na</v>
      </c>
      <c r="G28" s="89" t="str">
        <f t="shared" si="3"/>
        <v>na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5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M45"/>
  <sheetViews>
    <sheetView zoomScaleNormal="100" workbookViewId="0">
      <selection activeCell="D5" sqref="D5:D35"/>
    </sheetView>
  </sheetViews>
  <sheetFormatPr defaultColWidth="15.85546875" defaultRowHeight="15"/>
  <cols>
    <col min="1" max="1" width="11.140625" style="18" customWidth="1"/>
    <col min="2" max="3" width="15.85546875" style="18"/>
    <col min="4" max="4" width="23.28515625" style="18" customWidth="1"/>
    <col min="5" max="7" width="15.85546875" style="18"/>
    <col min="8" max="8" width="23.5703125" style="18" customWidth="1"/>
    <col min="9" max="11" width="15.85546875" style="18"/>
    <col min="12" max="12" width="22.28515625" style="18" bestFit="1" customWidth="1"/>
    <col min="13" max="16384" width="15.85546875" style="18"/>
  </cols>
  <sheetData>
    <row r="1" spans="1:13">
      <c r="A1" s="78" t="s">
        <v>99</v>
      </c>
    </row>
    <row r="2" spans="1:13">
      <c r="A2" s="78"/>
    </row>
    <row r="3" spans="1:13"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30">
      <c r="B4" s="3" t="s">
        <v>0</v>
      </c>
      <c r="C4" s="4" t="s">
        <v>1</v>
      </c>
      <c r="D4" s="4" t="s">
        <v>2</v>
      </c>
      <c r="E4" s="5" t="s">
        <v>72</v>
      </c>
      <c r="F4" s="3" t="s">
        <v>0</v>
      </c>
      <c r="G4" s="4" t="s">
        <v>1</v>
      </c>
      <c r="H4" s="4" t="s">
        <v>2</v>
      </c>
      <c r="I4" s="5" t="s">
        <v>72</v>
      </c>
      <c r="J4" s="3" t="s">
        <v>39</v>
      </c>
      <c r="K4" s="4" t="s">
        <v>41</v>
      </c>
      <c r="L4" s="4" t="s">
        <v>40</v>
      </c>
      <c r="M4" s="5" t="s">
        <v>72</v>
      </c>
    </row>
    <row r="5" spans="1:13">
      <c r="A5" s="15">
        <v>1981</v>
      </c>
      <c r="B5" s="35">
        <v>0.79600000000000004</v>
      </c>
      <c r="C5" s="30">
        <v>13.0251</v>
      </c>
      <c r="D5" s="30">
        <v>54.801099999999998</v>
      </c>
      <c r="E5" s="36">
        <f>SUM(B5:D5)</f>
        <v>68.622199999999992</v>
      </c>
      <c r="F5" s="35">
        <v>1.3855</v>
      </c>
      <c r="G5" s="30">
        <v>6.5108999999999995</v>
      </c>
      <c r="H5" s="30">
        <v>24.8078</v>
      </c>
      <c r="I5" s="36">
        <f>SUM(F5:H5)</f>
        <v>32.7042</v>
      </c>
      <c r="J5" s="79">
        <v>74.599999999999994</v>
      </c>
      <c r="K5" s="80">
        <v>570.29999999999995</v>
      </c>
      <c r="L5" s="80">
        <v>2514</v>
      </c>
      <c r="M5" s="186">
        <f>SUM(J5:L5)</f>
        <v>3158.9</v>
      </c>
    </row>
    <row r="6" spans="1:13">
      <c r="A6" s="16">
        <v>1982</v>
      </c>
      <c r="B6" s="37">
        <v>0.31389999999999996</v>
      </c>
      <c r="C6" s="34">
        <v>8.0869</v>
      </c>
      <c r="D6" s="34">
        <v>19.322400000000002</v>
      </c>
      <c r="E6" s="38">
        <f t="shared" ref="E6:E35" si="0">SUM(B6:D6)</f>
        <v>27.723200000000002</v>
      </c>
      <c r="F6" s="37">
        <v>1.0242</v>
      </c>
      <c r="G6" s="34">
        <v>8.6081000000000003</v>
      </c>
      <c r="H6" s="34">
        <v>16.357800000000001</v>
      </c>
      <c r="I6" s="38">
        <f t="shared" ref="I6:I35" si="1">SUM(F6:H6)</f>
        <v>25.990100000000002</v>
      </c>
      <c r="J6" s="52">
        <v>69.2</v>
      </c>
      <c r="K6" s="53">
        <v>684.5</v>
      </c>
      <c r="L6" s="53">
        <v>2311.4</v>
      </c>
      <c r="M6" s="187">
        <f t="shared" ref="M6:M35" si="2">SUM(J6:L6)</f>
        <v>3065.1000000000004</v>
      </c>
    </row>
    <row r="7" spans="1:13">
      <c r="A7" s="16">
        <v>1983</v>
      </c>
      <c r="B7" s="37">
        <v>0.80850000000000011</v>
      </c>
      <c r="C7" s="34">
        <v>14.090799999999998</v>
      </c>
      <c r="D7" s="34">
        <v>32.712499999999999</v>
      </c>
      <c r="E7" s="38">
        <f t="shared" si="0"/>
        <v>47.611799999999995</v>
      </c>
      <c r="F7" s="37">
        <v>1.4331</v>
      </c>
      <c r="G7" s="34">
        <v>9.1096000000000004</v>
      </c>
      <c r="H7" s="34">
        <v>15.065299999999999</v>
      </c>
      <c r="I7" s="38">
        <f t="shared" si="1"/>
        <v>25.607999999999997</v>
      </c>
      <c r="J7" s="52">
        <v>116.7</v>
      </c>
      <c r="K7" s="53">
        <v>814.7</v>
      </c>
      <c r="L7" s="53">
        <v>1883.7</v>
      </c>
      <c r="M7" s="187">
        <f t="shared" si="2"/>
        <v>2815.1000000000004</v>
      </c>
    </row>
    <row r="8" spans="1:13">
      <c r="A8" s="16">
        <v>1984</v>
      </c>
      <c r="B8" s="37">
        <v>1.1370999999999998</v>
      </c>
      <c r="C8" s="34">
        <v>23.747</v>
      </c>
      <c r="D8" s="34">
        <v>39.189</v>
      </c>
      <c r="E8" s="38">
        <f t="shared" si="0"/>
        <v>64.073099999999997</v>
      </c>
      <c r="F8" s="37">
        <v>1.6125</v>
      </c>
      <c r="G8" s="34">
        <v>9.932500000000001</v>
      </c>
      <c r="H8" s="34">
        <v>14.437200000000001</v>
      </c>
      <c r="I8" s="38">
        <f t="shared" si="1"/>
        <v>25.982200000000002</v>
      </c>
      <c r="J8" s="52">
        <v>147.4</v>
      </c>
      <c r="K8" s="53">
        <v>1018.2</v>
      </c>
      <c r="L8" s="53">
        <v>1983.1</v>
      </c>
      <c r="M8" s="187">
        <f t="shared" si="2"/>
        <v>3148.7</v>
      </c>
    </row>
    <row r="9" spans="1:13">
      <c r="A9" s="16">
        <v>1985</v>
      </c>
      <c r="B9" s="37">
        <v>3.5305</v>
      </c>
      <c r="C9" s="34">
        <v>18.869199999999999</v>
      </c>
      <c r="D9" s="34">
        <v>258.09989999999999</v>
      </c>
      <c r="E9" s="38">
        <f t="shared" si="0"/>
        <v>280.49959999999999</v>
      </c>
      <c r="F9" s="37">
        <v>1.9354</v>
      </c>
      <c r="G9" s="34">
        <v>16.551499999999997</v>
      </c>
      <c r="H9" s="34">
        <v>47.337599999999995</v>
      </c>
      <c r="I9" s="38">
        <f t="shared" si="1"/>
        <v>65.8245</v>
      </c>
      <c r="J9" s="52">
        <v>187.4</v>
      </c>
      <c r="K9" s="53">
        <v>1193.2</v>
      </c>
      <c r="L9" s="53">
        <v>1985.7</v>
      </c>
      <c r="M9" s="187">
        <f t="shared" si="2"/>
        <v>3366.3</v>
      </c>
    </row>
    <row r="10" spans="1:13">
      <c r="A10" s="16">
        <v>1986</v>
      </c>
      <c r="B10" s="37">
        <v>2.6627999999999998</v>
      </c>
      <c r="C10" s="34">
        <v>29.842700000000001</v>
      </c>
      <c r="D10" s="34">
        <v>75.263999999999996</v>
      </c>
      <c r="E10" s="38">
        <f t="shared" si="0"/>
        <v>107.76949999999999</v>
      </c>
      <c r="F10" s="37">
        <v>1.452</v>
      </c>
      <c r="G10" s="34">
        <v>9.9133999999999993</v>
      </c>
      <c r="H10" s="34">
        <v>23.221700000000002</v>
      </c>
      <c r="I10" s="38">
        <f t="shared" si="1"/>
        <v>34.5871</v>
      </c>
      <c r="J10" s="52">
        <v>236</v>
      </c>
      <c r="K10" s="53">
        <v>1526.8</v>
      </c>
      <c r="L10" s="53">
        <v>2141</v>
      </c>
      <c r="M10" s="187">
        <f t="shared" si="2"/>
        <v>3903.8</v>
      </c>
    </row>
    <row r="11" spans="1:13">
      <c r="A11" s="16">
        <v>1987</v>
      </c>
      <c r="B11" s="37">
        <v>1.5277000000000001</v>
      </c>
      <c r="C11" s="34">
        <v>18.240400000000001</v>
      </c>
      <c r="D11" s="34">
        <v>24.766299999999998</v>
      </c>
      <c r="E11" s="38">
        <f t="shared" si="0"/>
        <v>44.534399999999998</v>
      </c>
      <c r="F11" s="37">
        <v>2.5270000000000001</v>
      </c>
      <c r="G11" s="34">
        <v>12.031499999999999</v>
      </c>
      <c r="H11" s="34">
        <v>13.745200000000001</v>
      </c>
      <c r="I11" s="38">
        <f t="shared" si="1"/>
        <v>28.303699999999999</v>
      </c>
      <c r="J11" s="52">
        <v>400.4</v>
      </c>
      <c r="K11" s="53">
        <v>1804.3</v>
      </c>
      <c r="L11" s="53">
        <v>2668.8</v>
      </c>
      <c r="M11" s="187">
        <f t="shared" si="2"/>
        <v>4873.5</v>
      </c>
    </row>
    <row r="12" spans="1:13">
      <c r="A12" s="16">
        <v>1988</v>
      </c>
      <c r="B12" s="37">
        <v>2.2554000000000003</v>
      </c>
      <c r="C12" s="34">
        <v>47.434199999999997</v>
      </c>
      <c r="D12" s="34">
        <v>12.481399999999999</v>
      </c>
      <c r="E12" s="38">
        <f t="shared" si="0"/>
        <v>62.170999999999999</v>
      </c>
      <c r="F12" s="37">
        <v>2.282</v>
      </c>
      <c r="G12" s="34">
        <v>9.8747999999999987</v>
      </c>
      <c r="H12" s="34">
        <v>4.5720000000000001</v>
      </c>
      <c r="I12" s="38">
        <f t="shared" si="1"/>
        <v>16.7288</v>
      </c>
      <c r="J12" s="52">
        <v>373.8</v>
      </c>
      <c r="K12" s="53">
        <v>2323</v>
      </c>
      <c r="L12" s="53">
        <v>3169</v>
      </c>
      <c r="M12" s="187">
        <f t="shared" si="2"/>
        <v>5865.8</v>
      </c>
    </row>
    <row r="13" spans="1:13">
      <c r="A13" s="16">
        <v>1989</v>
      </c>
      <c r="B13" s="37">
        <v>3.8428000000000004</v>
      </c>
      <c r="C13" s="34">
        <v>43.533499999999997</v>
      </c>
      <c r="D13" s="34">
        <v>51.457500000000003</v>
      </c>
      <c r="E13" s="38">
        <f t="shared" si="0"/>
        <v>98.833799999999997</v>
      </c>
      <c r="F13" s="37">
        <v>2.1350000000000002</v>
      </c>
      <c r="G13" s="34">
        <v>11.4434</v>
      </c>
      <c r="H13" s="34">
        <v>37.329900000000002</v>
      </c>
      <c r="I13" s="38">
        <f t="shared" si="1"/>
        <v>50.908300000000004</v>
      </c>
      <c r="J13" s="52">
        <v>500.6</v>
      </c>
      <c r="K13" s="53">
        <v>2764.3</v>
      </c>
      <c r="L13" s="53">
        <v>3604.8</v>
      </c>
      <c r="M13" s="187">
        <f t="shared" si="2"/>
        <v>6869.7000000000007</v>
      </c>
    </row>
    <row r="14" spans="1:13">
      <c r="A14" s="16">
        <v>1990</v>
      </c>
      <c r="B14" s="37">
        <v>0.12329999999999999</v>
      </c>
      <c r="C14" s="34">
        <v>51.1297</v>
      </c>
      <c r="D14" s="34">
        <v>25.583300000000001</v>
      </c>
      <c r="E14" s="38">
        <f t="shared" si="0"/>
        <v>76.836299999999994</v>
      </c>
      <c r="F14" s="37">
        <v>2.0459000000000001</v>
      </c>
      <c r="G14" s="34">
        <v>11.489799999999999</v>
      </c>
      <c r="H14" s="34">
        <v>4.7460000000000004</v>
      </c>
      <c r="I14" s="38">
        <f t="shared" si="1"/>
        <v>18.281700000000001</v>
      </c>
      <c r="J14" s="52">
        <v>506.3</v>
      </c>
      <c r="K14" s="53">
        <v>3263.3</v>
      </c>
      <c r="L14" s="53">
        <v>3875.9</v>
      </c>
      <c r="M14" s="187">
        <f t="shared" si="2"/>
        <v>7645.5</v>
      </c>
    </row>
    <row r="15" spans="1:13">
      <c r="A15" s="16">
        <v>1991</v>
      </c>
      <c r="B15" s="37">
        <v>3.3784000000000001</v>
      </c>
      <c r="C15" s="34">
        <v>66.880799999999994</v>
      </c>
      <c r="D15" s="34">
        <v>135.4699</v>
      </c>
      <c r="E15" s="38">
        <f t="shared" si="0"/>
        <v>205.72909999999999</v>
      </c>
      <c r="F15" s="37">
        <v>3.0614999999999997</v>
      </c>
      <c r="G15" s="34">
        <v>9.1077999999999992</v>
      </c>
      <c r="H15" s="34">
        <v>4.9127999999999998</v>
      </c>
      <c r="I15" s="38">
        <f t="shared" si="1"/>
        <v>17.082100000000001</v>
      </c>
      <c r="J15" s="52">
        <v>639.1</v>
      </c>
      <c r="K15" s="53">
        <v>3475.7</v>
      </c>
      <c r="L15" s="53">
        <v>3883</v>
      </c>
      <c r="M15" s="187">
        <f t="shared" si="2"/>
        <v>7997.8</v>
      </c>
    </row>
    <row r="16" spans="1:13">
      <c r="A16" s="16">
        <v>1992</v>
      </c>
      <c r="B16" s="37">
        <v>9.1268999999999991</v>
      </c>
      <c r="C16" s="34">
        <v>74.243700000000004</v>
      </c>
      <c r="D16" s="34" t="s">
        <v>37</v>
      </c>
      <c r="E16" s="34" t="s">
        <v>37</v>
      </c>
      <c r="F16" s="37">
        <v>3.2005000000000003</v>
      </c>
      <c r="G16" s="34">
        <v>7.8113000000000001</v>
      </c>
      <c r="H16" s="34" t="s">
        <v>37</v>
      </c>
      <c r="I16" s="34" t="s">
        <v>37</v>
      </c>
      <c r="J16" s="52">
        <v>898.4</v>
      </c>
      <c r="K16" s="53">
        <v>3845.2</v>
      </c>
      <c r="L16" s="53">
        <v>4272.3999999999996</v>
      </c>
      <c r="M16" s="187">
        <f t="shared" si="2"/>
        <v>9016</v>
      </c>
    </row>
    <row r="17" spans="1:13">
      <c r="A17" s="16">
        <v>1993</v>
      </c>
      <c r="B17" s="37">
        <v>19.4833</v>
      </c>
      <c r="C17" s="34">
        <v>51.980099999999993</v>
      </c>
      <c r="D17" s="34" t="s">
        <v>37</v>
      </c>
      <c r="E17" s="34" t="s">
        <v>37</v>
      </c>
      <c r="F17" s="37">
        <v>1.3619000000000001</v>
      </c>
      <c r="G17" s="34">
        <v>13.635</v>
      </c>
      <c r="H17" s="34" t="s">
        <v>37</v>
      </c>
      <c r="I17" s="34" t="s">
        <v>37</v>
      </c>
      <c r="J17" s="52">
        <v>894.9</v>
      </c>
      <c r="K17" s="53">
        <v>4785.1000000000004</v>
      </c>
      <c r="L17" s="53">
        <v>3935.8</v>
      </c>
      <c r="M17" s="187">
        <f t="shared" si="2"/>
        <v>9615.7999999999993</v>
      </c>
    </row>
    <row r="18" spans="1:13">
      <c r="A18" s="16">
        <v>1994</v>
      </c>
      <c r="B18" s="37">
        <v>0.40700000000000003</v>
      </c>
      <c r="C18" s="34">
        <v>37.335000000000001</v>
      </c>
      <c r="D18" s="34">
        <v>27.270099999999996</v>
      </c>
      <c r="E18" s="38">
        <f t="shared" si="0"/>
        <v>65.012100000000004</v>
      </c>
      <c r="F18" s="37">
        <v>3.3858000000000006</v>
      </c>
      <c r="G18" s="34">
        <v>14.901199999999999</v>
      </c>
      <c r="H18" s="34" t="s">
        <v>37</v>
      </c>
      <c r="I18" s="34" t="s">
        <v>37</v>
      </c>
      <c r="J18" s="52">
        <v>1219.2</v>
      </c>
      <c r="K18" s="53">
        <v>5674.5</v>
      </c>
      <c r="L18" s="53">
        <v>3773.3</v>
      </c>
      <c r="M18" s="187">
        <f t="shared" si="2"/>
        <v>10667</v>
      </c>
    </row>
    <row r="19" spans="1:13">
      <c r="A19" s="16">
        <v>1995</v>
      </c>
      <c r="B19" s="37">
        <v>3.1395</v>
      </c>
      <c r="C19" s="34">
        <v>40.079599999999999</v>
      </c>
      <c r="D19" s="34" t="s">
        <v>37</v>
      </c>
      <c r="E19" s="34" t="s">
        <v>37</v>
      </c>
      <c r="F19" s="37">
        <v>9.5707000000000004</v>
      </c>
      <c r="G19" s="34">
        <v>20.847999999999999</v>
      </c>
      <c r="H19" s="34" t="s">
        <v>37</v>
      </c>
      <c r="I19" s="34" t="s">
        <v>37</v>
      </c>
      <c r="J19" s="52">
        <v>1604.4</v>
      </c>
      <c r="K19" s="53">
        <v>5775.9</v>
      </c>
      <c r="L19" s="53">
        <v>3912.4</v>
      </c>
      <c r="M19" s="187">
        <f t="shared" si="2"/>
        <v>11292.699999999999</v>
      </c>
    </row>
    <row r="20" spans="1:13">
      <c r="A20" s="16">
        <v>1996</v>
      </c>
      <c r="B20" s="37">
        <v>8.7294</v>
      </c>
      <c r="C20" s="34">
        <v>50.106300000000005</v>
      </c>
      <c r="D20" s="34">
        <v>54.564599999999999</v>
      </c>
      <c r="E20" s="38">
        <f t="shared" si="0"/>
        <v>113.4003</v>
      </c>
      <c r="F20" s="37">
        <v>19.880700000000001</v>
      </c>
      <c r="G20" s="34">
        <v>31.767599999999998</v>
      </c>
      <c r="H20" s="34" t="s">
        <v>37</v>
      </c>
      <c r="I20" s="34" t="s">
        <v>37</v>
      </c>
      <c r="J20" s="52">
        <v>2107.1999999999998</v>
      </c>
      <c r="K20" s="53">
        <v>6636.6</v>
      </c>
      <c r="L20" s="53">
        <v>4061</v>
      </c>
      <c r="M20" s="187">
        <f t="shared" si="2"/>
        <v>12804.8</v>
      </c>
    </row>
    <row r="21" spans="1:13">
      <c r="A21" s="16">
        <v>1997</v>
      </c>
      <c r="B21" s="37">
        <v>42.863800000000005</v>
      </c>
      <c r="C21" s="34">
        <v>110.7885</v>
      </c>
      <c r="D21" s="34">
        <v>327.01529999999997</v>
      </c>
      <c r="E21" s="38">
        <f t="shared" si="0"/>
        <v>480.66759999999999</v>
      </c>
      <c r="F21" s="37">
        <v>34.076900000000002</v>
      </c>
      <c r="G21" s="34">
        <v>73.92710000000001</v>
      </c>
      <c r="H21" s="34">
        <v>1.3890999999999998</v>
      </c>
      <c r="I21" s="38">
        <f t="shared" si="1"/>
        <v>109.39310000000002</v>
      </c>
      <c r="J21" s="52">
        <v>2774.9</v>
      </c>
      <c r="K21" s="53">
        <v>7750.8</v>
      </c>
      <c r="L21" s="53">
        <v>5362.6</v>
      </c>
      <c r="M21" s="187">
        <f t="shared" si="2"/>
        <v>15888.300000000001</v>
      </c>
    </row>
    <row r="22" spans="1:13">
      <c r="A22" s="16">
        <v>1998</v>
      </c>
      <c r="B22" s="37">
        <v>67.771100000000004</v>
      </c>
      <c r="C22" s="34">
        <v>134.13849999999999</v>
      </c>
      <c r="D22" s="34">
        <v>81.781300000000002</v>
      </c>
      <c r="E22" s="38">
        <f t="shared" si="0"/>
        <v>283.6909</v>
      </c>
      <c r="F22" s="37">
        <v>108.74749999999999</v>
      </c>
      <c r="G22" s="34">
        <v>111.96310000000001</v>
      </c>
      <c r="H22" s="34">
        <v>8.6243999999999996</v>
      </c>
      <c r="I22" s="38">
        <f t="shared" si="1"/>
        <v>229.33500000000001</v>
      </c>
      <c r="J22" s="52">
        <v>4467</v>
      </c>
      <c r="K22" s="53">
        <v>9060.4</v>
      </c>
      <c r="L22" s="53">
        <v>5077.3</v>
      </c>
      <c r="M22" s="187">
        <f t="shared" si="2"/>
        <v>18604.7</v>
      </c>
    </row>
    <row r="23" spans="1:13">
      <c r="A23" s="16">
        <v>1999</v>
      </c>
      <c r="B23" s="37">
        <v>67.174899999999994</v>
      </c>
      <c r="C23" s="34">
        <v>204.7484</v>
      </c>
      <c r="D23" s="34">
        <v>104.8978</v>
      </c>
      <c r="E23" s="38">
        <f t="shared" si="0"/>
        <v>376.8211</v>
      </c>
      <c r="F23" s="37">
        <v>16.304099999999998</v>
      </c>
      <c r="G23" s="34">
        <v>51.913499999999999</v>
      </c>
      <c r="H23" s="34">
        <v>0.80289999999999995</v>
      </c>
      <c r="I23" s="38">
        <f t="shared" si="1"/>
        <v>69.020499999999998</v>
      </c>
      <c r="J23" s="52">
        <v>5935.8</v>
      </c>
      <c r="K23" s="53">
        <v>9571.2999999999993</v>
      </c>
      <c r="L23" s="53">
        <v>6167.5</v>
      </c>
      <c r="M23" s="187">
        <f t="shared" si="2"/>
        <v>21674.6</v>
      </c>
    </row>
    <row r="24" spans="1:13">
      <c r="A24" s="16">
        <v>2000</v>
      </c>
      <c r="B24" s="37">
        <v>16.891999999999999</v>
      </c>
      <c r="C24" s="34">
        <v>232.24629999999996</v>
      </c>
      <c r="D24" s="34">
        <v>38.331499999999998</v>
      </c>
      <c r="E24" s="38">
        <f t="shared" si="0"/>
        <v>287.46979999999996</v>
      </c>
      <c r="F24" s="37">
        <v>37.837599999999995</v>
      </c>
      <c r="G24" s="34">
        <v>101.81280000000001</v>
      </c>
      <c r="H24" s="34">
        <v>15.5481</v>
      </c>
      <c r="I24" s="38">
        <f t="shared" si="1"/>
        <v>155.1985</v>
      </c>
      <c r="J24" s="52">
        <v>7327.2</v>
      </c>
      <c r="K24" s="53">
        <v>9914.7999999999993</v>
      </c>
      <c r="L24" s="53">
        <v>7841.2</v>
      </c>
      <c r="M24" s="187">
        <f t="shared" si="2"/>
        <v>25083.200000000001</v>
      </c>
    </row>
    <row r="25" spans="1:13">
      <c r="A25" s="16">
        <v>2001</v>
      </c>
      <c r="B25" s="37">
        <v>3.3600000000000003</v>
      </c>
      <c r="C25" s="34">
        <v>169.2525</v>
      </c>
      <c r="D25" s="34">
        <v>0.15090000000000001</v>
      </c>
      <c r="E25" s="38">
        <f t="shared" si="0"/>
        <v>172.76340000000002</v>
      </c>
      <c r="F25" s="37">
        <v>0.16650000000000001</v>
      </c>
      <c r="G25" s="34">
        <v>72.683300000000003</v>
      </c>
      <c r="H25" s="34">
        <v>0.80899999999999994</v>
      </c>
      <c r="I25" s="38">
        <f t="shared" si="1"/>
        <v>73.658799999999999</v>
      </c>
      <c r="J25" s="52">
        <v>6932.1</v>
      </c>
      <c r="K25" s="53">
        <v>10744.9</v>
      </c>
      <c r="L25" s="53">
        <v>7956.2</v>
      </c>
      <c r="M25" s="187">
        <f t="shared" si="2"/>
        <v>25633.200000000001</v>
      </c>
    </row>
    <row r="26" spans="1:13">
      <c r="A26" s="16">
        <v>2002</v>
      </c>
      <c r="B26" s="37">
        <v>34.251999999999995</v>
      </c>
      <c r="C26" s="34">
        <v>116.84200000000001</v>
      </c>
      <c r="D26" s="34">
        <v>3.6689999999999996</v>
      </c>
      <c r="E26" s="38">
        <f t="shared" si="0"/>
        <v>154.76300000000001</v>
      </c>
      <c r="F26" s="37">
        <v>2.5780000000000003</v>
      </c>
      <c r="G26" s="34">
        <v>59.388999999999996</v>
      </c>
      <c r="H26" s="34">
        <v>2.782</v>
      </c>
      <c r="I26" s="38">
        <f t="shared" si="1"/>
        <v>64.748999999999995</v>
      </c>
      <c r="J26" s="52">
        <v>7916.1</v>
      </c>
      <c r="K26" s="53">
        <v>10551.5</v>
      </c>
      <c r="L26" s="53">
        <v>7200.1</v>
      </c>
      <c r="M26" s="187">
        <f t="shared" si="2"/>
        <v>25667.699999999997</v>
      </c>
    </row>
    <row r="27" spans="1:13">
      <c r="A27" s="16">
        <v>2003</v>
      </c>
      <c r="B27" s="37">
        <v>80.762799999999999</v>
      </c>
      <c r="C27" s="34">
        <v>119.21789999999999</v>
      </c>
      <c r="D27" s="34">
        <v>14.445400000000001</v>
      </c>
      <c r="E27" s="38">
        <f t="shared" si="0"/>
        <v>214.42609999999999</v>
      </c>
      <c r="F27" s="37">
        <v>19.334099999999999</v>
      </c>
      <c r="G27" s="34">
        <v>74.197699999999998</v>
      </c>
      <c r="H27" s="34">
        <v>3.9930999999999996</v>
      </c>
      <c r="I27" s="38">
        <f t="shared" si="1"/>
        <v>97.524900000000002</v>
      </c>
      <c r="J27" s="52">
        <v>9393.2999999999993</v>
      </c>
      <c r="K27" s="53">
        <v>11235.9</v>
      </c>
      <c r="L27" s="53">
        <v>7149.2</v>
      </c>
      <c r="M27" s="187">
        <f t="shared" si="2"/>
        <v>27778.399999999998</v>
      </c>
    </row>
    <row r="28" spans="1:13">
      <c r="A28" s="16">
        <v>2004</v>
      </c>
      <c r="B28" s="37">
        <v>97.808000000000007</v>
      </c>
      <c r="C28" s="34">
        <v>155.53829999999999</v>
      </c>
      <c r="D28" s="34">
        <v>16.1187</v>
      </c>
      <c r="E28" s="38">
        <f t="shared" si="0"/>
        <v>269.46499999999997</v>
      </c>
      <c r="F28" s="37">
        <v>23.2315</v>
      </c>
      <c r="G28" s="34">
        <v>138.8878</v>
      </c>
      <c r="H28" s="34">
        <v>5.2766000000000002</v>
      </c>
      <c r="I28" s="38">
        <f t="shared" si="1"/>
        <v>167.39590000000001</v>
      </c>
      <c r="J28" s="52">
        <v>12568</v>
      </c>
      <c r="K28" s="53">
        <v>12715</v>
      </c>
      <c r="L28" s="53">
        <v>7647.2</v>
      </c>
      <c r="M28" s="187">
        <f t="shared" si="2"/>
        <v>32930.199999999997</v>
      </c>
    </row>
    <row r="29" spans="1:13">
      <c r="A29" s="16">
        <v>2005</v>
      </c>
      <c r="B29" s="37">
        <v>146.34679999999997</v>
      </c>
      <c r="C29" s="34">
        <v>237.87240000000003</v>
      </c>
      <c r="D29" s="34">
        <v>16.919900000000002</v>
      </c>
      <c r="E29" s="38">
        <f t="shared" si="0"/>
        <v>401.13909999999998</v>
      </c>
      <c r="F29" s="37">
        <v>41.370099999999994</v>
      </c>
      <c r="G29" s="34">
        <v>183.4221</v>
      </c>
      <c r="H29" s="34">
        <v>11.218</v>
      </c>
      <c r="I29" s="38">
        <f t="shared" si="1"/>
        <v>236.01019999999997</v>
      </c>
      <c r="J29" s="52">
        <v>15648.9</v>
      </c>
      <c r="K29" s="53">
        <v>14718</v>
      </c>
      <c r="L29" s="53">
        <v>7891.1</v>
      </c>
      <c r="M29" s="187">
        <f t="shared" si="2"/>
        <v>38258</v>
      </c>
    </row>
    <row r="30" spans="1:13">
      <c r="A30" s="16">
        <v>2006</v>
      </c>
      <c r="B30" s="37">
        <v>125.59739999999999</v>
      </c>
      <c r="C30" s="34">
        <v>200.7807</v>
      </c>
      <c r="D30" s="34">
        <v>22.479499999999998</v>
      </c>
      <c r="E30" s="38">
        <f t="shared" si="0"/>
        <v>348.85759999999999</v>
      </c>
      <c r="F30" s="37">
        <v>44.598199999999999</v>
      </c>
      <c r="G30" s="34">
        <v>159.02429999999998</v>
      </c>
      <c r="H30" s="34">
        <v>10.23</v>
      </c>
      <c r="I30" s="38">
        <f t="shared" si="1"/>
        <v>213.85249999999996</v>
      </c>
      <c r="J30" s="52">
        <v>19978.5</v>
      </c>
      <c r="K30" s="53">
        <v>15473.3</v>
      </c>
      <c r="L30" s="53">
        <v>8463.2000000000007</v>
      </c>
      <c r="M30" s="187">
        <f t="shared" si="2"/>
        <v>43915</v>
      </c>
    </row>
    <row r="31" spans="1:13">
      <c r="A31" s="16">
        <v>2007</v>
      </c>
      <c r="B31" s="37">
        <v>288.2491</v>
      </c>
      <c r="C31" s="34">
        <v>220.05300000000003</v>
      </c>
      <c r="D31" s="34">
        <v>63.424099999999996</v>
      </c>
      <c r="E31" s="38">
        <f t="shared" si="0"/>
        <v>571.72619999999995</v>
      </c>
      <c r="F31" s="37">
        <v>20.752599999999997</v>
      </c>
      <c r="G31" s="34">
        <v>194.10610000000003</v>
      </c>
      <c r="H31" s="34">
        <v>5.6837</v>
      </c>
      <c r="I31" s="38">
        <f t="shared" si="1"/>
        <v>220.54240000000001</v>
      </c>
      <c r="J31" s="52">
        <v>21344.2</v>
      </c>
      <c r="K31" s="53">
        <v>18149.2</v>
      </c>
      <c r="L31" s="53">
        <v>8036.6</v>
      </c>
      <c r="M31" s="187">
        <f t="shared" si="2"/>
        <v>47530</v>
      </c>
    </row>
    <row r="32" spans="1:13">
      <c r="A32" s="16">
        <v>2008</v>
      </c>
      <c r="B32" s="37">
        <v>110.06910000000001</v>
      </c>
      <c r="C32" s="34">
        <v>216.75239999999999</v>
      </c>
      <c r="D32" s="34">
        <v>17.338699999999999</v>
      </c>
      <c r="E32" s="38">
        <f t="shared" si="0"/>
        <v>344.16020000000003</v>
      </c>
      <c r="F32" s="37">
        <v>23.767900000000001</v>
      </c>
      <c r="G32" s="34">
        <v>183.45350000000002</v>
      </c>
      <c r="H32" s="34">
        <v>8.2499000000000002</v>
      </c>
      <c r="I32" s="38">
        <f t="shared" si="1"/>
        <v>215.47130000000001</v>
      </c>
      <c r="J32" s="52">
        <v>23537</v>
      </c>
      <c r="K32" s="53">
        <v>18128.7</v>
      </c>
      <c r="L32" s="53">
        <v>9145.7999999999993</v>
      </c>
      <c r="M32" s="187">
        <f t="shared" si="2"/>
        <v>50811.5</v>
      </c>
    </row>
    <row r="33" spans="1:13">
      <c r="A33" s="16">
        <v>2009</v>
      </c>
      <c r="B33" s="37">
        <v>148.31970000000001</v>
      </c>
      <c r="C33" s="34">
        <v>213.77209999999999</v>
      </c>
      <c r="D33" s="34">
        <v>27.223099999999999</v>
      </c>
      <c r="E33" s="38">
        <f t="shared" si="0"/>
        <v>389.31490000000002</v>
      </c>
      <c r="F33" s="37">
        <v>34.707999999999998</v>
      </c>
      <c r="G33" s="34">
        <v>174.61160000000001</v>
      </c>
      <c r="H33" s="34">
        <v>4.0403000000000002</v>
      </c>
      <c r="I33" s="38">
        <f t="shared" si="1"/>
        <v>213.35990000000001</v>
      </c>
      <c r="J33" s="52">
        <v>19766.900000000001</v>
      </c>
      <c r="K33" s="53">
        <v>17220.599999999999</v>
      </c>
      <c r="L33" s="53">
        <v>8416.4</v>
      </c>
      <c r="M33" s="187">
        <f t="shared" si="2"/>
        <v>45403.9</v>
      </c>
    </row>
    <row r="34" spans="1:13">
      <c r="A34" s="16">
        <v>2010</v>
      </c>
      <c r="B34" s="37">
        <v>157.1343</v>
      </c>
      <c r="C34" s="34">
        <v>171.91059999999999</v>
      </c>
      <c r="D34" s="34">
        <v>33.965600000000002</v>
      </c>
      <c r="E34" s="38">
        <f t="shared" si="0"/>
        <v>363.01049999999998</v>
      </c>
      <c r="F34" s="37">
        <v>59.157600000000002</v>
      </c>
      <c r="G34" s="34">
        <v>182.61329999999998</v>
      </c>
      <c r="H34" s="34">
        <v>8.1583000000000006</v>
      </c>
      <c r="I34" s="38">
        <f t="shared" si="1"/>
        <v>249.92919999999998</v>
      </c>
      <c r="J34" s="52">
        <v>24263.1</v>
      </c>
      <c r="K34" s="53">
        <v>17899.7</v>
      </c>
      <c r="L34" s="53">
        <v>9916.7000000000007</v>
      </c>
      <c r="M34" s="187">
        <f t="shared" si="2"/>
        <v>52079.5</v>
      </c>
    </row>
    <row r="35" spans="1:13">
      <c r="A35" s="17">
        <v>2011</v>
      </c>
      <c r="B35" s="39">
        <v>192.779</v>
      </c>
      <c r="C35" s="40">
        <v>179.35079999999999</v>
      </c>
      <c r="D35" s="40">
        <v>37.996699999999997</v>
      </c>
      <c r="E35" s="41">
        <f t="shared" si="0"/>
        <v>410.12649999999996</v>
      </c>
      <c r="F35" s="39">
        <v>82.821300000000008</v>
      </c>
      <c r="G35" s="40">
        <v>186.25450000000001</v>
      </c>
      <c r="H35" s="40">
        <v>9.8996000000000013</v>
      </c>
      <c r="I35" s="41">
        <f t="shared" si="1"/>
        <v>278.97540000000004</v>
      </c>
      <c r="J35" s="54">
        <v>30737.200000000001</v>
      </c>
      <c r="K35" s="55">
        <v>18622.2</v>
      </c>
      <c r="L35" s="55">
        <v>11071.5</v>
      </c>
      <c r="M35" s="188">
        <f t="shared" si="2"/>
        <v>60430.9</v>
      </c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(POWER(B14/B5,1/($A14-$A5))-1)*100</f>
        <v>-18.715908408600114</v>
      </c>
      <c r="C38" s="83">
        <f t="shared" ref="C38:M38" si="3">(POWER(C14/C5,1/($A14-$A5))-1)*100</f>
        <v>16.409391695652676</v>
      </c>
      <c r="D38" s="83">
        <f t="shared" si="3"/>
        <v>-8.1158060761275514</v>
      </c>
      <c r="E38" s="84">
        <f t="shared" si="3"/>
        <v>1.2641580708985911</v>
      </c>
      <c r="F38" s="82">
        <f t="shared" si="3"/>
        <v>4.4260023177583818</v>
      </c>
      <c r="G38" s="83">
        <f t="shared" si="3"/>
        <v>6.5143050620640519</v>
      </c>
      <c r="H38" s="83">
        <f t="shared" si="3"/>
        <v>-16.786598344084769</v>
      </c>
      <c r="I38" s="84">
        <f t="shared" si="3"/>
        <v>-6.2578773801824301</v>
      </c>
      <c r="J38" s="82">
        <f t="shared" si="3"/>
        <v>23.710817777847847</v>
      </c>
      <c r="K38" s="83">
        <f t="shared" si="3"/>
        <v>21.387125004187645</v>
      </c>
      <c r="L38" s="83">
        <f t="shared" si="3"/>
        <v>4.927590218098632</v>
      </c>
      <c r="M38" s="84">
        <f t="shared" si="3"/>
        <v>10.319484515826582</v>
      </c>
    </row>
    <row r="39" spans="1:13">
      <c r="A39" s="16" t="s">
        <v>71</v>
      </c>
      <c r="B39" s="37">
        <f>(POWER(B$24/B14,1/($A$24-$A$14))-1)*100</f>
        <v>63.558003121235252</v>
      </c>
      <c r="C39" s="34">
        <f t="shared" ref="C39:M39" si="4">(POWER(C$24/C14,1/($A$24-$A$14))-1)*100</f>
        <v>16.339597229700196</v>
      </c>
      <c r="D39" s="34">
        <f t="shared" si="4"/>
        <v>4.1261773751932074</v>
      </c>
      <c r="E39" s="38">
        <f t="shared" si="4"/>
        <v>14.104449047756852</v>
      </c>
      <c r="F39" s="37">
        <f t="shared" si="4"/>
        <v>33.876366856633709</v>
      </c>
      <c r="G39" s="34">
        <f t="shared" si="4"/>
        <v>24.379552864723998</v>
      </c>
      <c r="H39" s="34">
        <f t="shared" si="4"/>
        <v>12.599110345015841</v>
      </c>
      <c r="I39" s="38">
        <f t="shared" si="4"/>
        <v>23.847457184563336</v>
      </c>
      <c r="J39" s="37">
        <f t="shared" si="4"/>
        <v>30.633033472947901</v>
      </c>
      <c r="K39" s="34">
        <f t="shared" si="4"/>
        <v>11.753901952771972</v>
      </c>
      <c r="L39" s="34">
        <f t="shared" si="4"/>
        <v>7.3003149633715569</v>
      </c>
      <c r="M39" s="38">
        <f t="shared" si="4"/>
        <v>12.615379538117555</v>
      </c>
    </row>
    <row r="40" spans="1:13">
      <c r="A40" s="16" t="s">
        <v>69</v>
      </c>
      <c r="B40" s="37">
        <f>(POWER(B$34/B24,1/($A$34-$A$24))-1)*100</f>
        <v>24.985315906172968</v>
      </c>
      <c r="C40" s="34">
        <f t="shared" ref="C40:M40" si="5">(POWER(C$34/C24,1/($A$34-$A$24))-1)*100</f>
        <v>-2.9634415468956621</v>
      </c>
      <c r="D40" s="34">
        <f t="shared" si="5"/>
        <v>-1.201955750264927</v>
      </c>
      <c r="E40" s="38">
        <f t="shared" si="5"/>
        <v>2.3605700975492416</v>
      </c>
      <c r="F40" s="37">
        <f t="shared" si="5"/>
        <v>4.5703824719497854</v>
      </c>
      <c r="G40" s="34">
        <f t="shared" si="5"/>
        <v>6.016387680709756</v>
      </c>
      <c r="H40" s="34">
        <f t="shared" si="5"/>
        <v>-6.2454756972466168</v>
      </c>
      <c r="I40" s="38">
        <f t="shared" si="5"/>
        <v>4.8800650290399261</v>
      </c>
      <c r="J40" s="37">
        <f t="shared" si="5"/>
        <v>12.719959540067837</v>
      </c>
      <c r="K40" s="34">
        <f t="shared" si="5"/>
        <v>6.0855370762862737</v>
      </c>
      <c r="L40" s="34">
        <f t="shared" si="5"/>
        <v>2.3760724752337037</v>
      </c>
      <c r="M40" s="38">
        <f t="shared" si="5"/>
        <v>7.5792188573299502</v>
      </c>
    </row>
    <row r="41" spans="1:13">
      <c r="A41" s="17" t="s">
        <v>70</v>
      </c>
      <c r="B41" s="39">
        <f>(POWER(B34/B5,1/($A$34-$A$5))-1)*100</f>
        <v>19.991442235435098</v>
      </c>
      <c r="C41" s="40">
        <f t="shared" ref="C41:M41" si="6">(POWER(C34/C5,1/($A$34-$A$5))-1)*100</f>
        <v>9.3046594544967665</v>
      </c>
      <c r="D41" s="40">
        <f t="shared" si="6"/>
        <v>-1.635994049546341</v>
      </c>
      <c r="E41" s="41">
        <f t="shared" si="6"/>
        <v>5.9123754300564935</v>
      </c>
      <c r="F41" s="39">
        <f t="shared" si="6"/>
        <v>13.82058886431663</v>
      </c>
      <c r="G41" s="40">
        <f t="shared" si="6"/>
        <v>12.183061790352934</v>
      </c>
      <c r="H41" s="40">
        <f t="shared" si="6"/>
        <v>-3.7623030639517108</v>
      </c>
      <c r="I41" s="41">
        <f t="shared" si="6"/>
        <v>7.2644071757248074</v>
      </c>
      <c r="J41" s="39">
        <f t="shared" si="6"/>
        <v>22.07531215313363</v>
      </c>
      <c r="K41" s="40">
        <f t="shared" si="6"/>
        <v>12.61903618055802</v>
      </c>
      <c r="L41" s="40">
        <f t="shared" si="6"/>
        <v>4.8459815201957746</v>
      </c>
      <c r="M41" s="41">
        <f t="shared" si="6"/>
        <v>10.146330170645035</v>
      </c>
    </row>
    <row r="43" spans="1:13">
      <c r="A43" s="18" t="s">
        <v>36</v>
      </c>
    </row>
    <row r="45" spans="1:13">
      <c r="A45" s="1" t="s">
        <v>98</v>
      </c>
    </row>
  </sheetData>
  <mergeCells count="4">
    <mergeCell ref="B3:E3"/>
    <mergeCell ref="F3:I3"/>
    <mergeCell ref="J3:M3"/>
    <mergeCell ref="A37:M37"/>
  </mergeCells>
  <pageMargins left="0.7" right="0.7" top="0.75" bottom="0.75" header="0.3" footer="0.3"/>
  <pageSetup scale="5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H46"/>
  <sheetViews>
    <sheetView zoomScaleNormal="100" workbookViewId="0">
      <selection activeCell="B15" sqref="B15"/>
    </sheetView>
  </sheetViews>
  <sheetFormatPr defaultRowHeight="15"/>
  <cols>
    <col min="1" max="1" width="11" style="1" customWidth="1"/>
    <col min="2" max="2" width="19" style="1" customWidth="1"/>
    <col min="3" max="3" width="17.7109375" style="1" customWidth="1"/>
    <col min="4" max="4" width="9.5703125" style="1" customWidth="1"/>
    <col min="5" max="5" width="19.28515625" style="1" customWidth="1"/>
    <col min="6" max="6" width="17.7109375" style="1" customWidth="1"/>
    <col min="7" max="16384" width="9.140625" style="1"/>
  </cols>
  <sheetData>
    <row r="1" spans="1:8">
      <c r="A1" s="387" t="s">
        <v>111</v>
      </c>
      <c r="B1" s="387"/>
      <c r="C1" s="387"/>
      <c r="D1" s="387"/>
      <c r="E1" s="387"/>
      <c r="F1" s="387"/>
      <c r="G1" s="387"/>
      <c r="H1" s="387"/>
    </row>
    <row r="2" spans="1:8">
      <c r="A2" s="272"/>
      <c r="B2" s="272"/>
      <c r="C2" s="272"/>
      <c r="D2" s="272"/>
      <c r="E2" s="272"/>
      <c r="F2" s="272"/>
      <c r="G2" s="272"/>
      <c r="H2" s="272"/>
    </row>
    <row r="3" spans="1:8">
      <c r="E3" s="389" t="s">
        <v>76</v>
      </c>
      <c r="F3" s="391"/>
      <c r="G3" s="390"/>
    </row>
    <row r="4" spans="1:8" ht="30">
      <c r="A4" s="62"/>
      <c r="B4" s="273" t="s">
        <v>44</v>
      </c>
      <c r="C4" s="274" t="s">
        <v>45</v>
      </c>
      <c r="D4" s="275" t="s">
        <v>38</v>
      </c>
      <c r="E4" s="273" t="s">
        <v>44</v>
      </c>
      <c r="F4" s="274" t="s">
        <v>45</v>
      </c>
      <c r="G4" s="275" t="s">
        <v>38</v>
      </c>
    </row>
    <row r="5" spans="1:8">
      <c r="A5" s="64">
        <v>1981</v>
      </c>
      <c r="B5" s="190">
        <v>1851.5</v>
      </c>
      <c r="C5" s="191">
        <v>1671.1</v>
      </c>
      <c r="D5" s="153">
        <v>78783.199999999997</v>
      </c>
      <c r="E5" s="236">
        <f>B5/$D5*100</f>
        <v>2.350120330222687</v>
      </c>
      <c r="F5" s="214">
        <f t="shared" ref="F5:G35" si="0">C5/$D5*100</f>
        <v>2.1211375013962366</v>
      </c>
      <c r="G5" s="84">
        <f t="shared" si="0"/>
        <v>100</v>
      </c>
    </row>
    <row r="6" spans="1:8">
      <c r="A6" s="65">
        <v>1982</v>
      </c>
      <c r="B6" s="112">
        <v>722.4</v>
      </c>
      <c r="C6" s="113">
        <v>1611.3</v>
      </c>
      <c r="D6" s="97">
        <v>69232.600000000006</v>
      </c>
      <c r="E6" s="216">
        <f t="shared" ref="E6:E35" si="1">B6/$D6*100</f>
        <v>1.0434390735000563</v>
      </c>
      <c r="F6" s="143">
        <f t="shared" si="0"/>
        <v>2.3273717872794029</v>
      </c>
      <c r="G6" s="87">
        <f t="shared" si="0"/>
        <v>100</v>
      </c>
    </row>
    <row r="7" spans="1:8">
      <c r="A7" s="65">
        <v>1983</v>
      </c>
      <c r="B7" s="112">
        <v>1166.2</v>
      </c>
      <c r="C7" s="113">
        <v>1708.1</v>
      </c>
      <c r="D7" s="97">
        <v>64500.6</v>
      </c>
      <c r="E7" s="216">
        <f t="shared" si="1"/>
        <v>1.8080451964787925</v>
      </c>
      <c r="F7" s="143">
        <f t="shared" si="0"/>
        <v>2.6481924199154734</v>
      </c>
      <c r="G7" s="87">
        <f t="shared" si="0"/>
        <v>100</v>
      </c>
    </row>
    <row r="8" spans="1:8">
      <c r="A8" s="65">
        <v>1984</v>
      </c>
      <c r="B8" s="112">
        <v>1352</v>
      </c>
      <c r="C8" s="113">
        <v>1689.8</v>
      </c>
      <c r="D8" s="97">
        <v>65867.199999999997</v>
      </c>
      <c r="E8" s="216">
        <f t="shared" si="1"/>
        <v>2.0526149585833311</v>
      </c>
      <c r="F8" s="143">
        <f t="shared" si="0"/>
        <v>2.5654650569631019</v>
      </c>
      <c r="G8" s="87">
        <f t="shared" si="0"/>
        <v>100</v>
      </c>
    </row>
    <row r="9" spans="1:8">
      <c r="A9" s="65">
        <v>1985</v>
      </c>
      <c r="B9" s="112">
        <v>765.1</v>
      </c>
      <c r="C9" s="113">
        <v>1847.3</v>
      </c>
      <c r="D9" s="97">
        <v>71136.3</v>
      </c>
      <c r="E9" s="216">
        <f t="shared" si="1"/>
        <v>1.0755408982474488</v>
      </c>
      <c r="F9" s="143">
        <f t="shared" si="0"/>
        <v>2.5968457735361552</v>
      </c>
      <c r="G9" s="87">
        <f t="shared" si="0"/>
        <v>100</v>
      </c>
    </row>
    <row r="10" spans="1:8">
      <c r="A10" s="65">
        <v>1986</v>
      </c>
      <c r="B10" s="112">
        <v>1189.8</v>
      </c>
      <c r="C10" s="113">
        <v>1221</v>
      </c>
      <c r="D10" s="97">
        <v>72279</v>
      </c>
      <c r="E10" s="216">
        <f t="shared" si="1"/>
        <v>1.6461212800398455</v>
      </c>
      <c r="F10" s="143">
        <f t="shared" si="0"/>
        <v>1.6892873448719543</v>
      </c>
      <c r="G10" s="87">
        <f t="shared" si="0"/>
        <v>100</v>
      </c>
    </row>
    <row r="11" spans="1:8">
      <c r="A11" s="65">
        <v>1987</v>
      </c>
      <c r="B11" s="112">
        <v>564.1</v>
      </c>
      <c r="C11" s="113">
        <v>1004.5</v>
      </c>
      <c r="D11" s="97">
        <v>79086.3</v>
      </c>
      <c r="E11" s="216">
        <f t="shared" si="1"/>
        <v>0.71327145156620042</v>
      </c>
      <c r="F11" s="143">
        <f t="shared" si="0"/>
        <v>1.270131489271846</v>
      </c>
      <c r="G11" s="87">
        <f t="shared" si="0"/>
        <v>100</v>
      </c>
    </row>
    <row r="12" spans="1:8">
      <c r="A12" s="65">
        <v>1988</v>
      </c>
      <c r="B12" s="112">
        <v>3074.4</v>
      </c>
      <c r="C12" s="113">
        <v>1009.3</v>
      </c>
      <c r="D12" s="97">
        <v>91020.800000000003</v>
      </c>
      <c r="E12" s="216">
        <f t="shared" si="1"/>
        <v>3.3776894951483616</v>
      </c>
      <c r="F12" s="143">
        <f t="shared" si="0"/>
        <v>1.1088674237097453</v>
      </c>
      <c r="G12" s="87">
        <f t="shared" si="0"/>
        <v>100</v>
      </c>
    </row>
    <row r="13" spans="1:8">
      <c r="A13" s="65">
        <v>1989</v>
      </c>
      <c r="B13" s="112">
        <v>2471.6</v>
      </c>
      <c r="C13" s="113">
        <v>765.7</v>
      </c>
      <c r="D13" s="97">
        <v>96176.9</v>
      </c>
      <c r="E13" s="216">
        <f t="shared" si="1"/>
        <v>2.5698478532786977</v>
      </c>
      <c r="F13" s="143">
        <f t="shared" si="0"/>
        <v>0.79613711816454902</v>
      </c>
      <c r="G13" s="87">
        <f t="shared" si="0"/>
        <v>100</v>
      </c>
    </row>
    <row r="14" spans="1:8">
      <c r="A14" s="65">
        <v>1990</v>
      </c>
      <c r="B14" s="112">
        <v>2276.8000000000002</v>
      </c>
      <c r="C14" s="113">
        <v>700.2</v>
      </c>
      <c r="D14" s="97">
        <v>93990.2</v>
      </c>
      <c r="E14" s="216">
        <f t="shared" si="1"/>
        <v>2.4223802055959029</v>
      </c>
      <c r="F14" s="143">
        <f t="shared" si="0"/>
        <v>0.74497128424027192</v>
      </c>
      <c r="G14" s="87">
        <f t="shared" si="0"/>
        <v>100</v>
      </c>
    </row>
    <row r="15" spans="1:8">
      <c r="A15" s="65">
        <v>1991</v>
      </c>
      <c r="B15" s="112">
        <v>3402.2</v>
      </c>
      <c r="C15" s="113">
        <v>506.1</v>
      </c>
      <c r="D15" s="97">
        <v>91452</v>
      </c>
      <c r="E15" s="216">
        <f t="shared" si="1"/>
        <v>3.7202029479945762</v>
      </c>
      <c r="F15" s="143">
        <f t="shared" si="0"/>
        <v>0.55340506495210606</v>
      </c>
      <c r="G15" s="87">
        <f t="shared" si="0"/>
        <v>100</v>
      </c>
    </row>
    <row r="16" spans="1:8">
      <c r="A16" s="65">
        <v>1992</v>
      </c>
      <c r="B16" s="112">
        <v>3340</v>
      </c>
      <c r="C16" s="113">
        <v>581.79999999999995</v>
      </c>
      <c r="D16" s="97">
        <v>83578.399999999994</v>
      </c>
      <c r="E16" s="216">
        <f t="shared" si="1"/>
        <v>3.9962478343686887</v>
      </c>
      <c r="F16" s="143">
        <f t="shared" si="0"/>
        <v>0.69611287126817456</v>
      </c>
      <c r="G16" s="87">
        <f t="shared" si="0"/>
        <v>100</v>
      </c>
    </row>
    <row r="17" spans="1:7">
      <c r="A17" s="65">
        <v>1993</v>
      </c>
      <c r="B17" s="112">
        <v>878.7</v>
      </c>
      <c r="C17" s="113">
        <v>713.8</v>
      </c>
      <c r="D17" s="97">
        <v>82429.7</v>
      </c>
      <c r="E17" s="216">
        <f t="shared" si="1"/>
        <v>1.0659992696807099</v>
      </c>
      <c r="F17" s="143">
        <f t="shared" si="0"/>
        <v>0.86595001558904117</v>
      </c>
      <c r="G17" s="87">
        <f t="shared" si="0"/>
        <v>100</v>
      </c>
    </row>
    <row r="18" spans="1:7">
      <c r="A18" s="65">
        <v>1994</v>
      </c>
      <c r="B18" s="112">
        <v>1198.2</v>
      </c>
      <c r="C18" s="113">
        <v>724.2</v>
      </c>
      <c r="D18" s="97">
        <v>90752.2</v>
      </c>
      <c r="E18" s="216">
        <f t="shared" si="1"/>
        <v>1.3202985712743052</v>
      </c>
      <c r="F18" s="143">
        <f t="shared" si="0"/>
        <v>0.79799718353935223</v>
      </c>
      <c r="G18" s="87">
        <f t="shared" si="0"/>
        <v>100</v>
      </c>
    </row>
    <row r="19" spans="1:7">
      <c r="A19" s="65">
        <v>1995</v>
      </c>
      <c r="B19" s="112">
        <v>1037.3</v>
      </c>
      <c r="C19" s="113">
        <v>723.2</v>
      </c>
      <c r="D19" s="97">
        <v>93412.5</v>
      </c>
      <c r="E19" s="216">
        <f t="shared" si="1"/>
        <v>1.110450956777733</v>
      </c>
      <c r="F19" s="143">
        <f t="shared" si="0"/>
        <v>0.7742004549712298</v>
      </c>
      <c r="G19" s="87">
        <f t="shared" si="0"/>
        <v>100</v>
      </c>
    </row>
    <row r="20" spans="1:7">
      <c r="A20" s="65">
        <v>1996</v>
      </c>
      <c r="B20" s="112">
        <v>1480.7</v>
      </c>
      <c r="C20" s="113">
        <v>877.3</v>
      </c>
      <c r="D20" s="97">
        <v>96595</v>
      </c>
      <c r="E20" s="216">
        <f t="shared" si="1"/>
        <v>1.5328950773849579</v>
      </c>
      <c r="F20" s="143">
        <f t="shared" si="0"/>
        <v>0.90822506340907905</v>
      </c>
      <c r="G20" s="87">
        <f t="shared" si="0"/>
        <v>100</v>
      </c>
    </row>
    <row r="21" spans="1:7">
      <c r="A21" s="65">
        <v>1997</v>
      </c>
      <c r="B21" s="112">
        <v>2580</v>
      </c>
      <c r="C21" s="113">
        <v>1300.7</v>
      </c>
      <c r="D21" s="97">
        <v>116017.2</v>
      </c>
      <c r="E21" s="216">
        <f t="shared" si="1"/>
        <v>2.2238081939574479</v>
      </c>
      <c r="F21" s="143">
        <f t="shared" si="0"/>
        <v>1.1211268673955241</v>
      </c>
      <c r="G21" s="87">
        <f t="shared" si="0"/>
        <v>100</v>
      </c>
    </row>
    <row r="22" spans="1:7">
      <c r="A22" s="65">
        <v>1998</v>
      </c>
      <c r="B22" s="112">
        <v>2491</v>
      </c>
      <c r="C22" s="113">
        <v>1655.4</v>
      </c>
      <c r="D22" s="97">
        <v>122361.3</v>
      </c>
      <c r="E22" s="216">
        <f t="shared" si="1"/>
        <v>2.0357743829135519</v>
      </c>
      <c r="F22" s="143">
        <f t="shared" si="0"/>
        <v>1.3528787288137671</v>
      </c>
      <c r="G22" s="87">
        <f t="shared" si="0"/>
        <v>100</v>
      </c>
    </row>
    <row r="23" spans="1:7">
      <c r="A23" s="65">
        <v>1999</v>
      </c>
      <c r="B23" s="112">
        <v>3834.9</v>
      </c>
      <c r="C23" s="113">
        <v>1418.4</v>
      </c>
      <c r="D23" s="97">
        <v>129842.8</v>
      </c>
      <c r="E23" s="216">
        <f t="shared" si="1"/>
        <v>2.9534945333896063</v>
      </c>
      <c r="F23" s="143">
        <f t="shared" si="0"/>
        <v>1.0923978842107533</v>
      </c>
      <c r="G23" s="87">
        <f t="shared" si="0"/>
        <v>100</v>
      </c>
    </row>
    <row r="24" spans="1:7">
      <c r="A24" s="65">
        <v>2000</v>
      </c>
      <c r="B24" s="112">
        <v>2933.5</v>
      </c>
      <c r="C24" s="113">
        <v>1457.3</v>
      </c>
      <c r="D24" s="97">
        <v>135938.20000000001</v>
      </c>
      <c r="E24" s="216">
        <f t="shared" si="1"/>
        <v>2.1579658992100819</v>
      </c>
      <c r="F24" s="143">
        <f t="shared" si="0"/>
        <v>1.0720312612643097</v>
      </c>
      <c r="G24" s="87">
        <f t="shared" si="0"/>
        <v>100</v>
      </c>
    </row>
    <row r="25" spans="1:7">
      <c r="A25" s="65">
        <v>2001</v>
      </c>
      <c r="B25" s="112">
        <v>4159.3</v>
      </c>
      <c r="C25" s="113">
        <v>1482.5</v>
      </c>
      <c r="D25" s="97">
        <v>135062.39999999999</v>
      </c>
      <c r="E25" s="216">
        <f t="shared" si="1"/>
        <v>3.0795395313573581</v>
      </c>
      <c r="F25" s="143">
        <f t="shared" si="0"/>
        <v>1.09764079418106</v>
      </c>
      <c r="G25" s="87">
        <f t="shared" si="0"/>
        <v>100</v>
      </c>
    </row>
    <row r="26" spans="1:7">
      <c r="A26" s="65">
        <v>2002</v>
      </c>
      <c r="B26" s="112">
        <v>3050.8</v>
      </c>
      <c r="C26" s="113">
        <v>1124.2</v>
      </c>
      <c r="D26" s="97">
        <v>130360.6</v>
      </c>
      <c r="E26" s="216">
        <f t="shared" si="1"/>
        <v>2.3402776605814948</v>
      </c>
      <c r="F26" s="143">
        <f t="shared" si="0"/>
        <v>0.86237712928599586</v>
      </c>
      <c r="G26" s="87">
        <f t="shared" si="0"/>
        <v>100</v>
      </c>
    </row>
    <row r="27" spans="1:7">
      <c r="A27" s="65">
        <v>2003</v>
      </c>
      <c r="B27" s="112">
        <v>2092.5</v>
      </c>
      <c r="C27" s="113">
        <v>1304.2</v>
      </c>
      <c r="D27" s="97">
        <v>139733.79999999999</v>
      </c>
      <c r="E27" s="216">
        <f t="shared" si="1"/>
        <v>1.4974902278475217</v>
      </c>
      <c r="F27" s="143">
        <f t="shared" si="0"/>
        <v>0.93334611955017344</v>
      </c>
      <c r="G27" s="87">
        <f t="shared" si="0"/>
        <v>100</v>
      </c>
    </row>
    <row r="28" spans="1:7">
      <c r="A28" s="65">
        <v>2004</v>
      </c>
      <c r="B28" s="112">
        <v>1994.1</v>
      </c>
      <c r="C28" s="113">
        <v>1248.2</v>
      </c>
      <c r="D28" s="97">
        <v>153349.6</v>
      </c>
      <c r="E28" s="216">
        <f t="shared" si="1"/>
        <v>1.3003620485478931</v>
      </c>
      <c r="F28" s="143">
        <f t="shared" si="0"/>
        <v>0.81395712802641795</v>
      </c>
      <c r="G28" s="87">
        <f t="shared" si="0"/>
        <v>100</v>
      </c>
    </row>
    <row r="29" spans="1:7">
      <c r="A29" s="65">
        <v>2005</v>
      </c>
      <c r="B29" s="112">
        <v>3989.1</v>
      </c>
      <c r="C29" s="113">
        <v>1399.1</v>
      </c>
      <c r="D29" s="97">
        <v>172809</v>
      </c>
      <c r="E29" s="216">
        <f t="shared" si="1"/>
        <v>2.3083867159696543</v>
      </c>
      <c r="F29" s="143">
        <f t="shared" si="0"/>
        <v>0.80962218402976693</v>
      </c>
      <c r="G29" s="87">
        <f t="shared" si="0"/>
        <v>100</v>
      </c>
    </row>
    <row r="30" spans="1:7">
      <c r="A30" s="65">
        <v>2006</v>
      </c>
      <c r="B30" s="112">
        <v>2815.5</v>
      </c>
      <c r="C30" s="113">
        <v>1400.8</v>
      </c>
      <c r="D30" s="97">
        <v>190058.6</v>
      </c>
      <c r="E30" s="216">
        <f t="shared" si="1"/>
        <v>1.4813852148758329</v>
      </c>
      <c r="F30" s="143">
        <f t="shared" si="0"/>
        <v>0.73703584052497495</v>
      </c>
      <c r="G30" s="87">
        <f t="shared" si="0"/>
        <v>100</v>
      </c>
    </row>
    <row r="31" spans="1:7">
      <c r="A31" s="65">
        <v>2007</v>
      </c>
      <c r="B31" s="112">
        <v>5037.3999999999996</v>
      </c>
      <c r="C31" s="113">
        <v>1307.3</v>
      </c>
      <c r="D31" s="97">
        <v>194978</v>
      </c>
      <c r="E31" s="216">
        <f t="shared" si="1"/>
        <v>2.5835735313727701</v>
      </c>
      <c r="F31" s="143">
        <f t="shared" si="0"/>
        <v>0.67048590097344318</v>
      </c>
      <c r="G31" s="87">
        <f t="shared" si="0"/>
        <v>100</v>
      </c>
    </row>
    <row r="32" spans="1:7">
      <c r="A32" s="65">
        <v>2008</v>
      </c>
      <c r="B32" s="112">
        <v>4339.5</v>
      </c>
      <c r="C32" s="113">
        <v>1179.3</v>
      </c>
      <c r="D32" s="97">
        <v>201859.5</v>
      </c>
      <c r="E32" s="216">
        <f t="shared" si="1"/>
        <v>2.1497625823902267</v>
      </c>
      <c r="F32" s="143">
        <f t="shared" si="0"/>
        <v>0.58421823099730263</v>
      </c>
      <c r="G32" s="87">
        <f t="shared" si="0"/>
        <v>100</v>
      </c>
    </row>
    <row r="33" spans="1:7">
      <c r="A33" s="65">
        <v>2009</v>
      </c>
      <c r="B33" s="112">
        <v>2291.1</v>
      </c>
      <c r="C33" s="113">
        <v>1255.4000000000001</v>
      </c>
      <c r="D33" s="97">
        <v>161242.4</v>
      </c>
      <c r="E33" s="216">
        <f t="shared" si="1"/>
        <v>1.4209041790496793</v>
      </c>
      <c r="F33" s="143">
        <f t="shared" si="0"/>
        <v>0.77857933149097269</v>
      </c>
      <c r="G33" s="87">
        <f t="shared" si="0"/>
        <v>100</v>
      </c>
    </row>
    <row r="34" spans="1:7">
      <c r="A34" s="65">
        <v>2010</v>
      </c>
      <c r="B34" s="112">
        <v>1853.7</v>
      </c>
      <c r="C34" s="113">
        <v>1701</v>
      </c>
      <c r="D34" s="97">
        <v>172490.1</v>
      </c>
      <c r="E34" s="216">
        <f t="shared" si="1"/>
        <v>1.0746703723865891</v>
      </c>
      <c r="F34" s="143">
        <f t="shared" si="0"/>
        <v>0.98614355258649622</v>
      </c>
      <c r="G34" s="87">
        <f t="shared" si="0"/>
        <v>100</v>
      </c>
    </row>
    <row r="35" spans="1:7">
      <c r="A35" s="66">
        <v>2011</v>
      </c>
      <c r="B35" s="114">
        <v>1950.5</v>
      </c>
      <c r="C35" s="115">
        <v>1730</v>
      </c>
      <c r="D35" s="98">
        <v>184536.8</v>
      </c>
      <c r="E35" s="234">
        <f t="shared" si="1"/>
        <v>1.0569707505494841</v>
      </c>
      <c r="F35" s="215">
        <f t="shared" si="0"/>
        <v>0.93748238833663533</v>
      </c>
      <c r="G35" s="90">
        <f t="shared" si="0"/>
        <v>100</v>
      </c>
    </row>
    <row r="37" spans="1:7">
      <c r="A37" s="384" t="s">
        <v>52</v>
      </c>
      <c r="B37" s="385"/>
      <c r="C37" s="385"/>
      <c r="D37" s="386"/>
      <c r="E37" s="389" t="s">
        <v>77</v>
      </c>
      <c r="F37" s="390"/>
    </row>
    <row r="38" spans="1:7">
      <c r="A38" s="15" t="s">
        <v>53</v>
      </c>
      <c r="B38" s="82">
        <f>(POWER(B14/B5,1/($A14-$A5))-1)*100</f>
        <v>2.3240938532476552</v>
      </c>
      <c r="C38" s="83">
        <f t="shared" ref="C38:D38" si="2">(POWER(C14/C5,1/($A14-$A5))-1)*100</f>
        <v>-9.2128448625891082</v>
      </c>
      <c r="D38" s="84">
        <f t="shared" si="2"/>
        <v>1.9803623537277382</v>
      </c>
      <c r="E38" s="82">
        <f>E14-E5</f>
        <v>7.2259875373215987E-2</v>
      </c>
      <c r="F38" s="84">
        <f>F14-F5</f>
        <v>-1.3761662171559648</v>
      </c>
    </row>
    <row r="39" spans="1:7">
      <c r="A39" s="16" t="s">
        <v>71</v>
      </c>
      <c r="B39" s="37">
        <f>(POWER(B$24/B14,1/($A$24-$A$14))-1)*100</f>
        <v>2.5666381973678876</v>
      </c>
      <c r="C39" s="34">
        <f t="shared" ref="C39:D39" si="3">(POWER(C$24/C14,1/($A$24-$A$14))-1)*100</f>
        <v>7.6050579819424202</v>
      </c>
      <c r="D39" s="38">
        <f t="shared" si="3"/>
        <v>3.7590278665114996</v>
      </c>
      <c r="E39" s="85">
        <f>E24-E14</f>
        <v>-0.26441430638582109</v>
      </c>
      <c r="F39" s="87">
        <f>F24-F14</f>
        <v>0.32705997702403777</v>
      </c>
    </row>
    <row r="40" spans="1:7">
      <c r="A40" s="16" t="s">
        <v>69</v>
      </c>
      <c r="B40" s="37">
        <f>(POWER(B$34/B24,1/($A$34-$A$24))-1)*100</f>
        <v>-4.4863733039004927</v>
      </c>
      <c r="C40" s="34">
        <f t="shared" ref="C40:D40" si="4">(POWER(C$34/C24,1/($A$34-$A$24))-1)*100</f>
        <v>1.5583262681494459</v>
      </c>
      <c r="D40" s="38">
        <f t="shared" si="4"/>
        <v>2.4099763620597958</v>
      </c>
      <c r="E40" s="85">
        <f>E34-E24</f>
        <v>-1.0832955268234927</v>
      </c>
      <c r="F40" s="87">
        <f>F34-F24</f>
        <v>-8.5887708677813479E-2</v>
      </c>
    </row>
    <row r="41" spans="1:7">
      <c r="A41" s="17" t="s">
        <v>70</v>
      </c>
      <c r="B41" s="39">
        <f>(POWER(B34/B5,1/($A$34-$A$5))-1)*100</f>
        <v>4.0949817089019902E-3</v>
      </c>
      <c r="C41" s="40">
        <f t="shared" ref="C41:D41" si="5">(POWER(C34/C5,1/($A$34-$A$5))-1)*100</f>
        <v>6.1171188795361431E-2</v>
      </c>
      <c r="D41" s="41">
        <f t="shared" si="5"/>
        <v>2.7390478344517799</v>
      </c>
      <c r="E41" s="88">
        <f>E34-E5</f>
        <v>-1.2754499578360978</v>
      </c>
      <c r="F41" s="90">
        <f>F34-F5</f>
        <v>-1.1349939488097402</v>
      </c>
    </row>
    <row r="43" spans="1:7">
      <c r="A43" s="1" t="s">
        <v>46</v>
      </c>
    </row>
    <row r="45" spans="1:7">
      <c r="A45" s="396" t="s">
        <v>98</v>
      </c>
      <c r="B45" s="396"/>
      <c r="C45" s="396"/>
      <c r="D45" s="396"/>
      <c r="E45" s="396"/>
      <c r="F45" s="396"/>
    </row>
    <row r="46" spans="1:7">
      <c r="A46" s="396"/>
      <c r="B46" s="396"/>
      <c r="C46" s="396"/>
      <c r="D46" s="396"/>
      <c r="E46" s="396"/>
      <c r="F46" s="396"/>
    </row>
  </sheetData>
  <mergeCells count="5">
    <mergeCell ref="A1:H1"/>
    <mergeCell ref="A37:D37"/>
    <mergeCell ref="E37:F37"/>
    <mergeCell ref="A45:F46"/>
    <mergeCell ref="E3:G3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111"/>
  <sheetViews>
    <sheetView zoomScaleNormal="100" workbookViewId="0"/>
  </sheetViews>
  <sheetFormatPr defaultRowHeight="15"/>
  <cols>
    <col min="1" max="1" width="15" style="1" customWidth="1"/>
    <col min="2" max="2" width="22.85546875" style="1" bestFit="1" customWidth="1"/>
    <col min="3" max="3" width="11.42578125" style="1" bestFit="1" customWidth="1"/>
    <col min="4" max="4" width="19.28515625" style="1" customWidth="1"/>
    <col min="5" max="5" width="11.42578125" style="1" bestFit="1" customWidth="1"/>
    <col min="6" max="6" width="10.7109375" style="1" customWidth="1"/>
    <col min="7" max="7" width="11.42578125" style="1" bestFit="1" customWidth="1"/>
    <col min="8" max="8" width="18.42578125" style="1" customWidth="1"/>
    <col min="9" max="9" width="11.42578125" style="1" bestFit="1" customWidth="1"/>
    <col min="10" max="11" width="14.5703125" style="1" bestFit="1" customWidth="1"/>
    <col min="12" max="12" width="20.42578125" style="1" customWidth="1"/>
    <col min="13" max="13" width="12.5703125" style="1" bestFit="1" customWidth="1"/>
    <col min="14" max="14" width="9.140625" style="1"/>
    <col min="15" max="16" width="9.28515625" style="1" bestFit="1" customWidth="1"/>
    <col min="17" max="18" width="10.5703125" style="1" bestFit="1" customWidth="1"/>
    <col min="19" max="16384" width="9.140625" style="1"/>
  </cols>
  <sheetData>
    <row r="1" spans="1:22">
      <c r="A1" s="2" t="s">
        <v>130</v>
      </c>
    </row>
    <row r="2" spans="1:22">
      <c r="A2" s="2"/>
    </row>
    <row r="4" spans="1:22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  <c r="O4" s="377" t="s">
        <v>3</v>
      </c>
      <c r="P4" s="375"/>
      <c r="Q4" s="375"/>
      <c r="R4" s="376"/>
      <c r="S4" s="375" t="s">
        <v>4</v>
      </c>
      <c r="T4" s="375"/>
      <c r="U4" s="375"/>
      <c r="V4" s="376"/>
    </row>
    <row r="5" spans="1:22" ht="75">
      <c r="B5" s="59" t="s">
        <v>0</v>
      </c>
      <c r="C5" s="60" t="s">
        <v>1</v>
      </c>
      <c r="D5" s="60" t="s">
        <v>2</v>
      </c>
      <c r="E5" s="51" t="s">
        <v>72</v>
      </c>
      <c r="F5" s="4" t="s">
        <v>0</v>
      </c>
      <c r="G5" s="4" t="s">
        <v>1</v>
      </c>
      <c r="H5" s="4" t="s">
        <v>2</v>
      </c>
      <c r="I5" s="51" t="s">
        <v>72</v>
      </c>
      <c r="J5" s="3" t="s">
        <v>39</v>
      </c>
      <c r="K5" s="4" t="s">
        <v>41</v>
      </c>
      <c r="L5" s="4" t="s">
        <v>40</v>
      </c>
      <c r="M5" s="5" t="s">
        <v>72</v>
      </c>
      <c r="O5" s="59" t="s">
        <v>0</v>
      </c>
      <c r="P5" s="60" t="s">
        <v>1</v>
      </c>
      <c r="Q5" s="60" t="s">
        <v>2</v>
      </c>
      <c r="R5" s="51" t="s">
        <v>72</v>
      </c>
      <c r="S5" s="274" t="s">
        <v>0</v>
      </c>
      <c r="T5" s="274" t="s">
        <v>1</v>
      </c>
      <c r="U5" s="274" t="s">
        <v>2</v>
      </c>
      <c r="V5" s="51" t="s">
        <v>72</v>
      </c>
    </row>
    <row r="6" spans="1:22">
      <c r="A6" s="15">
        <v>1981</v>
      </c>
      <c r="B6" s="35">
        <v>23.283000000000001</v>
      </c>
      <c r="C6" s="30">
        <v>15.789</v>
      </c>
      <c r="D6" s="30">
        <v>3.3780000000000001</v>
      </c>
      <c r="E6" s="36">
        <f>SUM(B6:D6)</f>
        <v>42.45</v>
      </c>
      <c r="F6" s="30">
        <v>40.555</v>
      </c>
      <c r="G6" s="30">
        <v>8.4290000000000003</v>
      </c>
      <c r="H6" s="30">
        <v>4.0460000000000003</v>
      </c>
      <c r="I6" s="30">
        <f t="shared" ref="I6:I36" si="0">SUM(F6:H6)</f>
        <v>53.03</v>
      </c>
      <c r="J6" s="149">
        <v>2186</v>
      </c>
      <c r="K6" s="150">
        <v>796.8</v>
      </c>
      <c r="L6" s="150">
        <v>1952.2</v>
      </c>
      <c r="M6" s="11">
        <f t="shared" ref="M6:M36" si="1">SUM(J6:L6)</f>
        <v>4935</v>
      </c>
      <c r="N6" s="18"/>
      <c r="O6" s="1">
        <f>B6/J6*100</f>
        <v>1.0650960658737421</v>
      </c>
      <c r="P6" s="1">
        <f t="shared" ref="P6:R21" si="2">C6/K6*100</f>
        <v>1.9815512048192774</v>
      </c>
      <c r="Q6" s="1">
        <f t="shared" si="2"/>
        <v>0.17303554963630777</v>
      </c>
      <c r="R6" s="1">
        <f t="shared" si="2"/>
        <v>0.86018237082066873</v>
      </c>
      <c r="S6" s="1">
        <f>F6/J6*100</f>
        <v>1.8552150045745655</v>
      </c>
      <c r="T6" s="1">
        <f t="shared" ref="T6:T36" si="3">G6/K6*100</f>
        <v>1.0578564257028114</v>
      </c>
      <c r="U6" s="1">
        <f t="shared" ref="U6:U36" si="4">H6/L6*100</f>
        <v>0.20725335518901752</v>
      </c>
      <c r="V6" s="1">
        <f t="shared" ref="V6:V36" si="5">I6/M6*100</f>
        <v>1.0745694022289767</v>
      </c>
    </row>
    <row r="7" spans="1:22">
      <c r="A7" s="16">
        <v>1982</v>
      </c>
      <c r="B7" s="37">
        <v>8.8759999999999994</v>
      </c>
      <c r="C7" s="34">
        <v>10.346</v>
      </c>
      <c r="D7" s="34">
        <v>1.3160000000000001</v>
      </c>
      <c r="E7" s="38">
        <f t="shared" ref="E7:E36" si="6">SUM(B7:D7)</f>
        <v>20.538</v>
      </c>
      <c r="F7" s="34">
        <v>28.989000000000001</v>
      </c>
      <c r="G7" s="34">
        <v>11.747999999999999</v>
      </c>
      <c r="H7" s="34">
        <v>2.948</v>
      </c>
      <c r="I7" s="34">
        <f t="shared" si="0"/>
        <v>43.685000000000002</v>
      </c>
      <c r="J7" s="149">
        <v>1964.8</v>
      </c>
      <c r="K7" s="150">
        <v>1001</v>
      </c>
      <c r="L7" s="150">
        <v>1983.3</v>
      </c>
      <c r="M7" s="11">
        <f t="shared" si="1"/>
        <v>4949.1000000000004</v>
      </c>
      <c r="N7" s="18"/>
      <c r="O7" s="1">
        <f t="shared" ref="O7:O36" si="7">B7/J7*100</f>
        <v>0.45175081433224751</v>
      </c>
      <c r="P7" s="1">
        <f t="shared" si="2"/>
        <v>1.0335664335664336</v>
      </c>
      <c r="Q7" s="1">
        <f t="shared" si="2"/>
        <v>6.6354056370695302E-2</v>
      </c>
      <c r="R7" s="1">
        <f t="shared" si="2"/>
        <v>0.41498454264411705</v>
      </c>
      <c r="S7" s="1">
        <f t="shared" ref="S7:S36" si="8">F7/J7*100</f>
        <v>1.4754173452768731</v>
      </c>
      <c r="T7" s="1">
        <f t="shared" si="3"/>
        <v>1.1736263736263737</v>
      </c>
      <c r="U7" s="1">
        <f t="shared" si="4"/>
        <v>0.14864115363283417</v>
      </c>
      <c r="V7" s="1">
        <f t="shared" si="5"/>
        <v>0.88268574084176921</v>
      </c>
    </row>
    <row r="8" spans="1:22">
      <c r="A8" s="16">
        <v>1983</v>
      </c>
      <c r="B8" s="37">
        <v>15.975</v>
      </c>
      <c r="C8" s="34">
        <v>18.122</v>
      </c>
      <c r="D8" s="34">
        <v>2.3719999999999999</v>
      </c>
      <c r="E8" s="38">
        <f t="shared" si="6"/>
        <v>36.469000000000001</v>
      </c>
      <c r="F8" s="34">
        <v>28.331</v>
      </c>
      <c r="G8" s="34">
        <v>12.493</v>
      </c>
      <c r="H8" s="34">
        <v>2.891</v>
      </c>
      <c r="I8" s="34">
        <f t="shared" si="0"/>
        <v>43.714999999999996</v>
      </c>
      <c r="J8" s="149">
        <v>2307.1999999999998</v>
      </c>
      <c r="K8" s="150">
        <v>1185.5999999999999</v>
      </c>
      <c r="L8" s="150">
        <v>1721.1</v>
      </c>
      <c r="M8" s="11">
        <f t="shared" si="1"/>
        <v>5213.8999999999996</v>
      </c>
      <c r="N8" s="18"/>
      <c r="O8" s="1">
        <f t="shared" si="7"/>
        <v>0.69239771151178919</v>
      </c>
      <c r="P8" s="1">
        <f t="shared" si="2"/>
        <v>1.5285087719298247</v>
      </c>
      <c r="Q8" s="1">
        <f t="shared" si="2"/>
        <v>0.13781883679042473</v>
      </c>
      <c r="R8" s="1">
        <f t="shared" si="2"/>
        <v>0.69945722012313238</v>
      </c>
      <c r="S8" s="1">
        <f t="shared" si="8"/>
        <v>1.2279386269070736</v>
      </c>
      <c r="T8" s="1">
        <f t="shared" si="3"/>
        <v>1.0537280701754388</v>
      </c>
      <c r="U8" s="1">
        <f t="shared" si="4"/>
        <v>0.16797397013537857</v>
      </c>
      <c r="V8" s="1">
        <f t="shared" si="5"/>
        <v>0.83843188400237834</v>
      </c>
    </row>
    <row r="9" spans="1:22">
      <c r="A9" s="16">
        <v>1984</v>
      </c>
      <c r="B9" s="37">
        <v>19.213999999999999</v>
      </c>
      <c r="C9" s="34">
        <v>30.727</v>
      </c>
      <c r="D9" s="34">
        <v>2.9540000000000002</v>
      </c>
      <c r="E9" s="38">
        <f t="shared" si="6"/>
        <v>52.895000000000003</v>
      </c>
      <c r="F9" s="34">
        <v>27.271000000000001</v>
      </c>
      <c r="G9" s="34">
        <v>13.682</v>
      </c>
      <c r="H9" s="34">
        <v>2.88</v>
      </c>
      <c r="I9" s="34">
        <f t="shared" si="0"/>
        <v>43.833000000000006</v>
      </c>
      <c r="J9" s="149">
        <v>2495.1999999999998</v>
      </c>
      <c r="K9" s="150">
        <v>1472.5</v>
      </c>
      <c r="L9" s="150">
        <v>1883.6</v>
      </c>
      <c r="M9" s="11">
        <f t="shared" si="1"/>
        <v>5851.2999999999993</v>
      </c>
      <c r="N9" s="18"/>
      <c r="O9" s="1">
        <f t="shared" si="7"/>
        <v>0.77003847386983004</v>
      </c>
      <c r="P9" s="1">
        <f t="shared" si="2"/>
        <v>2.0867232597623091</v>
      </c>
      <c r="Q9" s="1">
        <f t="shared" si="2"/>
        <v>0.15682735187937991</v>
      </c>
      <c r="R9" s="1">
        <f t="shared" si="2"/>
        <v>0.90398714815511094</v>
      </c>
      <c r="S9" s="1">
        <f t="shared" si="8"/>
        <v>1.0929384418082719</v>
      </c>
      <c r="T9" s="1">
        <f t="shared" si="3"/>
        <v>0.92916808149405772</v>
      </c>
      <c r="U9" s="1">
        <f t="shared" si="4"/>
        <v>0.15289870460819707</v>
      </c>
      <c r="V9" s="1">
        <f t="shared" si="5"/>
        <v>0.74911558115290633</v>
      </c>
    </row>
    <row r="10" spans="1:22">
      <c r="A10" s="16">
        <v>1985</v>
      </c>
      <c r="B10" s="37">
        <v>48.959000000000003</v>
      </c>
      <c r="C10" s="34">
        <v>24.805</v>
      </c>
      <c r="D10" s="34">
        <v>19.957999999999998</v>
      </c>
      <c r="E10" s="38">
        <f t="shared" si="6"/>
        <v>93.722000000000008</v>
      </c>
      <c r="F10" s="34">
        <v>26.896999999999998</v>
      </c>
      <c r="G10" s="34">
        <v>23.149000000000001</v>
      </c>
      <c r="H10" s="34">
        <v>9.6859999999999999</v>
      </c>
      <c r="I10" s="34">
        <f t="shared" si="0"/>
        <v>59.731999999999999</v>
      </c>
      <c r="J10" s="149">
        <v>2599.9</v>
      </c>
      <c r="K10" s="150">
        <v>1735.6</v>
      </c>
      <c r="L10" s="150">
        <v>1934.8</v>
      </c>
      <c r="M10" s="11">
        <f t="shared" si="1"/>
        <v>6270.3</v>
      </c>
      <c r="N10" s="18"/>
      <c r="O10" s="1">
        <f t="shared" si="7"/>
        <v>1.8831108888803416</v>
      </c>
      <c r="P10" s="1">
        <f t="shared" si="2"/>
        <v>1.4291887531689329</v>
      </c>
      <c r="Q10" s="1">
        <f t="shared" si="2"/>
        <v>1.0315278064916269</v>
      </c>
      <c r="R10" s="1">
        <f t="shared" si="2"/>
        <v>1.4946972234183373</v>
      </c>
      <c r="S10" s="1">
        <f t="shared" si="8"/>
        <v>1.0345397899919226</v>
      </c>
      <c r="T10" s="1">
        <f t="shared" si="3"/>
        <v>1.3337750633786589</v>
      </c>
      <c r="U10" s="1">
        <f t="shared" si="4"/>
        <v>0.5006202191440976</v>
      </c>
      <c r="V10" s="1">
        <f t="shared" si="5"/>
        <v>0.95261789707031563</v>
      </c>
    </row>
    <row r="11" spans="1:22">
      <c r="A11" s="16">
        <v>1986</v>
      </c>
      <c r="B11" s="37">
        <v>30.567</v>
      </c>
      <c r="C11" s="34">
        <v>37.996000000000002</v>
      </c>
      <c r="D11" s="34">
        <v>5.9939999999999998</v>
      </c>
      <c r="E11" s="38">
        <f t="shared" si="6"/>
        <v>74.557000000000002</v>
      </c>
      <c r="F11" s="34">
        <v>16.744</v>
      </c>
      <c r="G11" s="34">
        <v>13.422000000000001</v>
      </c>
      <c r="H11" s="34">
        <v>4.8949999999999996</v>
      </c>
      <c r="I11" s="34">
        <f t="shared" si="0"/>
        <v>35.061</v>
      </c>
      <c r="J11" s="149">
        <v>2715</v>
      </c>
      <c r="K11" s="150">
        <v>2128.1</v>
      </c>
      <c r="L11" s="150">
        <v>2149</v>
      </c>
      <c r="M11" s="11">
        <f t="shared" si="1"/>
        <v>6992.1</v>
      </c>
      <c r="N11" s="18"/>
      <c r="O11" s="1">
        <f t="shared" si="7"/>
        <v>1.1258563535911603</v>
      </c>
      <c r="P11" s="1">
        <f t="shared" si="2"/>
        <v>1.7854424134204221</v>
      </c>
      <c r="Q11" s="1">
        <f t="shared" si="2"/>
        <v>0.27892042810609585</v>
      </c>
      <c r="R11" s="1">
        <f t="shared" si="2"/>
        <v>1.0663033995509217</v>
      </c>
      <c r="S11" s="1">
        <f t="shared" si="8"/>
        <v>0.61672191528545117</v>
      </c>
      <c r="T11" s="1">
        <f t="shared" si="3"/>
        <v>0.63070344438701187</v>
      </c>
      <c r="U11" s="1">
        <f t="shared" si="4"/>
        <v>0.22778036295951604</v>
      </c>
      <c r="V11" s="1">
        <f t="shared" si="5"/>
        <v>0.50143733642253396</v>
      </c>
    </row>
    <row r="12" spans="1:22">
      <c r="A12" s="16">
        <v>1987</v>
      </c>
      <c r="B12" s="37">
        <v>14.472</v>
      </c>
      <c r="C12" s="34">
        <v>23.158999999999999</v>
      </c>
      <c r="D12" s="34">
        <v>1.9970000000000001</v>
      </c>
      <c r="E12" s="38">
        <f t="shared" si="6"/>
        <v>39.628</v>
      </c>
      <c r="F12" s="34">
        <v>23.881</v>
      </c>
      <c r="G12" s="34">
        <v>16.204999999999998</v>
      </c>
      <c r="H12" s="34">
        <v>2.9289999999999998</v>
      </c>
      <c r="I12" s="34">
        <f t="shared" si="0"/>
        <v>43.015000000000001</v>
      </c>
      <c r="J12" s="149">
        <v>3780.1</v>
      </c>
      <c r="K12" s="150">
        <v>2486.4</v>
      </c>
      <c r="L12" s="150">
        <v>2707.6</v>
      </c>
      <c r="M12" s="11">
        <f t="shared" si="1"/>
        <v>8974.1</v>
      </c>
      <c r="N12" s="18"/>
      <c r="O12" s="1">
        <f t="shared" si="7"/>
        <v>0.38284701462924259</v>
      </c>
      <c r="P12" s="1">
        <f t="shared" si="2"/>
        <v>0.93142696267696257</v>
      </c>
      <c r="Q12" s="1">
        <f t="shared" si="2"/>
        <v>7.3755355296203293E-2</v>
      </c>
      <c r="R12" s="1">
        <f t="shared" si="2"/>
        <v>0.44158188564870016</v>
      </c>
      <c r="S12" s="1">
        <f t="shared" si="8"/>
        <v>0.63175577365678159</v>
      </c>
      <c r="T12" s="1">
        <f t="shared" si="3"/>
        <v>0.65174549549549543</v>
      </c>
      <c r="U12" s="1">
        <f t="shared" si="4"/>
        <v>0.10817698330624907</v>
      </c>
      <c r="V12" s="1">
        <f t="shared" si="5"/>
        <v>0.47932383191629246</v>
      </c>
    </row>
    <row r="13" spans="1:22">
      <c r="A13" s="16">
        <v>1988</v>
      </c>
      <c r="B13" s="37">
        <v>19.149000000000001</v>
      </c>
      <c r="C13" s="34">
        <v>59.11</v>
      </c>
      <c r="D13" s="34">
        <v>0.999</v>
      </c>
      <c r="E13" s="38">
        <f t="shared" si="6"/>
        <v>79.257999999999996</v>
      </c>
      <c r="F13" s="34">
        <v>19.393000000000001</v>
      </c>
      <c r="G13" s="34">
        <v>13.031000000000001</v>
      </c>
      <c r="H13" s="34">
        <v>0.96599999999999997</v>
      </c>
      <c r="I13" s="34">
        <f t="shared" si="0"/>
        <v>33.39</v>
      </c>
      <c r="J13" s="149">
        <v>3171.7</v>
      </c>
      <c r="K13" s="150">
        <v>3101.5</v>
      </c>
      <c r="L13" s="150">
        <v>3190.6</v>
      </c>
      <c r="M13" s="11">
        <f t="shared" si="1"/>
        <v>9463.7999999999993</v>
      </c>
      <c r="N13" s="18"/>
      <c r="O13" s="1">
        <f t="shared" si="7"/>
        <v>0.6037456253744049</v>
      </c>
      <c r="P13" s="1">
        <f t="shared" si="2"/>
        <v>1.9058520070933418</v>
      </c>
      <c r="Q13" s="1">
        <f t="shared" si="2"/>
        <v>3.1310725255437849E-2</v>
      </c>
      <c r="R13" s="1">
        <f t="shared" si="2"/>
        <v>0.8374859992814726</v>
      </c>
      <c r="S13" s="1">
        <f t="shared" si="8"/>
        <v>0.61143866065516916</v>
      </c>
      <c r="T13" s="1">
        <f t="shared" si="3"/>
        <v>0.42015153957762374</v>
      </c>
      <c r="U13" s="1">
        <f t="shared" si="4"/>
        <v>3.0276437033786747E-2</v>
      </c>
      <c r="V13" s="1">
        <f t="shared" si="5"/>
        <v>0.35281810689152349</v>
      </c>
    </row>
    <row r="14" spans="1:22">
      <c r="A14" s="16">
        <v>1989</v>
      </c>
      <c r="B14" s="37">
        <v>26.805</v>
      </c>
      <c r="C14" s="34">
        <v>52.375</v>
      </c>
      <c r="D14" s="34">
        <v>3.9990000000000001</v>
      </c>
      <c r="E14" s="38">
        <f t="shared" si="6"/>
        <v>83.179000000000002</v>
      </c>
      <c r="F14" s="34">
        <v>14.901</v>
      </c>
      <c r="G14" s="34">
        <v>14.545</v>
      </c>
      <c r="H14" s="34">
        <v>7.6559999999999997</v>
      </c>
      <c r="I14" s="34">
        <f t="shared" si="0"/>
        <v>37.101999999999997</v>
      </c>
      <c r="J14" s="149">
        <v>3492.6</v>
      </c>
      <c r="K14" s="150">
        <v>3495</v>
      </c>
      <c r="L14" s="150">
        <v>3524.6</v>
      </c>
      <c r="M14" s="11">
        <f t="shared" si="1"/>
        <v>10512.2</v>
      </c>
      <c r="N14" s="18"/>
      <c r="O14" s="1">
        <f t="shared" si="7"/>
        <v>0.76747981446486868</v>
      </c>
      <c r="P14" s="1">
        <f t="shared" si="2"/>
        <v>1.4985693848354793</v>
      </c>
      <c r="Q14" s="1">
        <f t="shared" si="2"/>
        <v>0.11345968336832549</v>
      </c>
      <c r="R14" s="1">
        <f t="shared" si="2"/>
        <v>0.79126158178116845</v>
      </c>
      <c r="S14" s="1">
        <f t="shared" si="8"/>
        <v>0.42664490637347541</v>
      </c>
      <c r="T14" s="1">
        <f t="shared" si="3"/>
        <v>0.41616595135908441</v>
      </c>
      <c r="U14" s="1">
        <f t="shared" si="4"/>
        <v>0.21721613800147532</v>
      </c>
      <c r="V14" s="1">
        <f t="shared" si="5"/>
        <v>0.35294229561842422</v>
      </c>
    </row>
    <row r="15" spans="1:22">
      <c r="A15" s="16">
        <v>1990</v>
      </c>
      <c r="B15" s="37">
        <v>0.76600000000000001</v>
      </c>
      <c r="C15" s="34">
        <v>59.853999999999999</v>
      </c>
      <c r="D15" s="34">
        <v>1.996</v>
      </c>
      <c r="E15" s="38">
        <f t="shared" si="6"/>
        <v>62.616</v>
      </c>
      <c r="F15" s="34">
        <v>12.718999999999999</v>
      </c>
      <c r="G15" s="34">
        <v>14.151999999999999</v>
      </c>
      <c r="H15" s="34">
        <v>0.97699999999999998</v>
      </c>
      <c r="I15" s="34">
        <f t="shared" si="0"/>
        <v>27.847999999999999</v>
      </c>
      <c r="J15" s="149">
        <v>3146.2</v>
      </c>
      <c r="K15" s="150">
        <v>3964.1</v>
      </c>
      <c r="L15" s="150">
        <v>3806.2</v>
      </c>
      <c r="M15" s="11">
        <f t="shared" si="1"/>
        <v>10916.5</v>
      </c>
      <c r="N15" s="18"/>
      <c r="O15" s="1">
        <f t="shared" si="7"/>
        <v>2.4346831097832308E-2</v>
      </c>
      <c r="P15" s="1">
        <f t="shared" si="2"/>
        <v>1.509901364748619</v>
      </c>
      <c r="Q15" s="1">
        <f t="shared" si="2"/>
        <v>5.2440754558352169E-2</v>
      </c>
      <c r="R15" s="1">
        <f t="shared" si="2"/>
        <v>0.57359043649521357</v>
      </c>
      <c r="S15" s="1">
        <f t="shared" si="8"/>
        <v>0.40426546309834083</v>
      </c>
      <c r="T15" s="1">
        <f t="shared" si="3"/>
        <v>0.35700411190434145</v>
      </c>
      <c r="U15" s="1">
        <f t="shared" si="4"/>
        <v>2.5668645893542112E-2</v>
      </c>
      <c r="V15" s="1">
        <f t="shared" si="5"/>
        <v>0.25510007786378414</v>
      </c>
    </row>
    <row r="16" spans="1:22">
      <c r="A16" s="16">
        <v>1991</v>
      </c>
      <c r="B16" s="37">
        <v>15.596</v>
      </c>
      <c r="C16" s="34">
        <v>76.766000000000005</v>
      </c>
      <c r="D16" s="34">
        <v>9.9909999999999997</v>
      </c>
      <c r="E16" s="38">
        <f t="shared" si="6"/>
        <v>102.35300000000001</v>
      </c>
      <c r="F16" s="34">
        <v>14.15</v>
      </c>
      <c r="G16" s="34">
        <v>10.978999999999999</v>
      </c>
      <c r="H16" s="34">
        <v>0.95599999999999996</v>
      </c>
      <c r="I16" s="34">
        <f t="shared" si="0"/>
        <v>26.084999999999997</v>
      </c>
      <c r="J16" s="149">
        <v>2950.2</v>
      </c>
      <c r="K16" s="150">
        <v>4124.7</v>
      </c>
      <c r="L16" s="150">
        <v>3604.8</v>
      </c>
      <c r="M16" s="11">
        <f t="shared" si="1"/>
        <v>10679.7</v>
      </c>
      <c r="N16" s="18"/>
      <c r="O16" s="1">
        <f t="shared" si="7"/>
        <v>0.52864212595756221</v>
      </c>
      <c r="P16" s="1">
        <f t="shared" si="2"/>
        <v>1.8611292942517035</v>
      </c>
      <c r="Q16" s="1">
        <f t="shared" si="2"/>
        <v>0.2771582334664891</v>
      </c>
      <c r="R16" s="1">
        <f t="shared" si="2"/>
        <v>0.95838834424187935</v>
      </c>
      <c r="S16" s="1">
        <f t="shared" si="8"/>
        <v>0.47962849976272798</v>
      </c>
      <c r="T16" s="1">
        <f t="shared" si="3"/>
        <v>0.26617693408005433</v>
      </c>
      <c r="U16" s="1">
        <f t="shared" si="4"/>
        <v>2.6520195295162002E-2</v>
      </c>
      <c r="V16" s="1">
        <f t="shared" si="5"/>
        <v>0.24424843394477369</v>
      </c>
    </row>
    <row r="17" spans="1:22">
      <c r="A17" s="16">
        <v>1992</v>
      </c>
      <c r="B17" s="37">
        <v>37.01</v>
      </c>
      <c r="C17" s="34">
        <v>80.073999999999998</v>
      </c>
      <c r="D17" s="34" t="s">
        <v>37</v>
      </c>
      <c r="E17" s="38" t="s">
        <v>37</v>
      </c>
      <c r="F17" s="34">
        <v>12.976000000000001</v>
      </c>
      <c r="G17" s="34">
        <v>8.7970000000000006</v>
      </c>
      <c r="H17" s="34" t="s">
        <v>37</v>
      </c>
      <c r="I17" s="34" t="s">
        <v>37</v>
      </c>
      <c r="J17" s="149">
        <v>3643.3</v>
      </c>
      <c r="K17" s="150">
        <v>4220</v>
      </c>
      <c r="L17" s="150">
        <v>3997.9</v>
      </c>
      <c r="M17" s="11">
        <f t="shared" si="1"/>
        <v>11861.2</v>
      </c>
      <c r="N17" s="18"/>
      <c r="O17" s="1">
        <f t="shared" si="7"/>
        <v>1.0158372903686217</v>
      </c>
      <c r="P17" s="1">
        <f t="shared" si="2"/>
        <v>1.8974881516587678</v>
      </c>
      <c r="Q17" s="1" t="e">
        <f t="shared" si="2"/>
        <v>#VALUE!</v>
      </c>
      <c r="R17" s="1" t="e">
        <f t="shared" si="2"/>
        <v>#VALUE!</v>
      </c>
      <c r="S17" s="1">
        <f t="shared" si="8"/>
        <v>0.35616062361046302</v>
      </c>
      <c r="T17" s="1">
        <f t="shared" si="3"/>
        <v>0.20845971563981042</v>
      </c>
      <c r="U17" s="1" t="e">
        <f t="shared" si="4"/>
        <v>#VALUE!</v>
      </c>
      <c r="V17" s="1" t="e">
        <f t="shared" si="5"/>
        <v>#VALUE!</v>
      </c>
    </row>
    <row r="18" spans="1:22">
      <c r="A18" s="16">
        <v>1993</v>
      </c>
      <c r="B18" s="37">
        <v>75.543999999999997</v>
      </c>
      <c r="C18" s="34">
        <v>55.503</v>
      </c>
      <c r="D18" s="34" t="s">
        <v>37</v>
      </c>
      <c r="E18" s="38" t="s">
        <v>37</v>
      </c>
      <c r="F18" s="34">
        <v>5.2809999999999997</v>
      </c>
      <c r="G18" s="34">
        <v>15.215999999999999</v>
      </c>
      <c r="H18" s="34" t="s">
        <v>37</v>
      </c>
      <c r="I18" s="34" t="s">
        <v>37</v>
      </c>
      <c r="J18" s="149">
        <v>3469.6</v>
      </c>
      <c r="K18" s="150">
        <v>5190</v>
      </c>
      <c r="L18" s="150">
        <v>3704.7</v>
      </c>
      <c r="M18" s="11">
        <f t="shared" si="1"/>
        <v>12364.3</v>
      </c>
      <c r="N18" s="18"/>
      <c r="O18" s="1">
        <f t="shared" si="7"/>
        <v>2.1773115056490662</v>
      </c>
      <c r="P18" s="1">
        <f t="shared" si="2"/>
        <v>1.0694219653179191</v>
      </c>
      <c r="Q18" s="1" t="e">
        <f t="shared" si="2"/>
        <v>#VALUE!</v>
      </c>
      <c r="R18" s="1" t="e">
        <f t="shared" si="2"/>
        <v>#VALUE!</v>
      </c>
      <c r="S18" s="1">
        <f t="shared" si="8"/>
        <v>0.15220774729075398</v>
      </c>
      <c r="T18" s="1">
        <f t="shared" si="3"/>
        <v>0.29317919075144505</v>
      </c>
      <c r="U18" s="1" t="e">
        <f t="shared" si="4"/>
        <v>#VALUE!</v>
      </c>
      <c r="V18" s="1" t="e">
        <f t="shared" si="5"/>
        <v>#VALUE!</v>
      </c>
    </row>
    <row r="19" spans="1:22">
      <c r="A19" s="16">
        <v>1994</v>
      </c>
      <c r="B19" s="37">
        <v>1.4470000000000001</v>
      </c>
      <c r="C19" s="34">
        <v>39.402000000000001</v>
      </c>
      <c r="D19" s="34">
        <v>1.9990000000000001</v>
      </c>
      <c r="E19" s="38">
        <f t="shared" si="6"/>
        <v>42.848000000000006</v>
      </c>
      <c r="F19" s="34">
        <v>12.031000000000001</v>
      </c>
      <c r="G19" s="34">
        <v>16.442</v>
      </c>
      <c r="H19" s="34" t="s">
        <v>37</v>
      </c>
      <c r="I19" s="34" t="s">
        <v>37</v>
      </c>
      <c r="J19" s="149">
        <v>4333.3999999999996</v>
      </c>
      <c r="K19" s="150">
        <v>6048.9</v>
      </c>
      <c r="L19" s="150">
        <v>3481</v>
      </c>
      <c r="M19" s="11">
        <f t="shared" si="1"/>
        <v>13863.3</v>
      </c>
      <c r="N19" s="18"/>
      <c r="O19" s="1">
        <f t="shared" si="7"/>
        <v>3.3391793972400427E-2</v>
      </c>
      <c r="P19" s="1">
        <f t="shared" si="2"/>
        <v>0.6513911620294599</v>
      </c>
      <c r="Q19" s="1">
        <f t="shared" si="2"/>
        <v>5.7426027003734559E-2</v>
      </c>
      <c r="R19" s="1">
        <f t="shared" si="2"/>
        <v>0.30907503985342599</v>
      </c>
      <c r="S19" s="1">
        <f t="shared" si="8"/>
        <v>0.27763419024322705</v>
      </c>
      <c r="T19" s="1">
        <f t="shared" si="3"/>
        <v>0.27181801649886755</v>
      </c>
      <c r="U19" s="1" t="e">
        <f t="shared" si="4"/>
        <v>#VALUE!</v>
      </c>
      <c r="V19" s="1" t="e">
        <f t="shared" si="5"/>
        <v>#VALUE!</v>
      </c>
    </row>
    <row r="20" spans="1:22">
      <c r="A20" s="16">
        <v>1995</v>
      </c>
      <c r="B20" s="37">
        <v>9.66</v>
      </c>
      <c r="C20" s="34">
        <v>41.311999999999998</v>
      </c>
      <c r="D20" s="34" t="s">
        <v>37</v>
      </c>
      <c r="E20" s="38" t="s">
        <v>37</v>
      </c>
      <c r="F20" s="34">
        <v>29.442</v>
      </c>
      <c r="G20" s="34">
        <v>22.408000000000001</v>
      </c>
      <c r="H20" s="34" t="s">
        <v>37</v>
      </c>
      <c r="I20" s="34" t="s">
        <v>37</v>
      </c>
      <c r="J20" s="149">
        <v>4937.5</v>
      </c>
      <c r="K20" s="150">
        <v>6041.8</v>
      </c>
      <c r="L20" s="150">
        <v>3465.2</v>
      </c>
      <c r="M20" s="11">
        <f t="shared" si="1"/>
        <v>14444.5</v>
      </c>
      <c r="N20" s="18"/>
      <c r="O20" s="1">
        <f t="shared" si="7"/>
        <v>0.19564556962025315</v>
      </c>
      <c r="P20" s="1">
        <f t="shared" si="2"/>
        <v>0.68376973749544834</v>
      </c>
      <c r="Q20" s="1" t="e">
        <f t="shared" si="2"/>
        <v>#VALUE!</v>
      </c>
      <c r="R20" s="1" t="e">
        <f t="shared" si="2"/>
        <v>#VALUE!</v>
      </c>
      <c r="S20" s="1">
        <f t="shared" si="8"/>
        <v>0.59629367088607599</v>
      </c>
      <c r="T20" s="1">
        <f t="shared" si="3"/>
        <v>0.3708828494819425</v>
      </c>
      <c r="U20" s="1" t="e">
        <f t="shared" si="4"/>
        <v>#VALUE!</v>
      </c>
      <c r="V20" s="1" t="e">
        <f t="shared" si="5"/>
        <v>#VALUE!</v>
      </c>
    </row>
    <row r="21" spans="1:22">
      <c r="A21" s="16">
        <v>1996</v>
      </c>
      <c r="B21" s="37">
        <v>21.001999999999999</v>
      </c>
      <c r="C21" s="34">
        <v>51.381</v>
      </c>
      <c r="D21" s="34">
        <v>3.996</v>
      </c>
      <c r="E21" s="38">
        <f t="shared" si="6"/>
        <v>76.378999999999991</v>
      </c>
      <c r="F21" s="34">
        <v>47.814999999999998</v>
      </c>
      <c r="G21" s="34">
        <v>33.776000000000003</v>
      </c>
      <c r="H21" s="34" t="s">
        <v>37</v>
      </c>
      <c r="I21" s="34" t="s">
        <v>37</v>
      </c>
      <c r="J21" s="149">
        <v>5069.6000000000004</v>
      </c>
      <c r="K21" s="150">
        <v>6852.1</v>
      </c>
      <c r="L21" s="150">
        <v>3747.9</v>
      </c>
      <c r="M21" s="11">
        <f t="shared" si="1"/>
        <v>15669.6</v>
      </c>
      <c r="N21" s="18"/>
      <c r="O21" s="1">
        <f t="shared" si="7"/>
        <v>0.41427331544895052</v>
      </c>
      <c r="P21" s="1">
        <f t="shared" si="2"/>
        <v>0.74985770785598571</v>
      </c>
      <c r="Q21" s="1">
        <f t="shared" si="2"/>
        <v>0.10661970703594013</v>
      </c>
      <c r="R21" s="1">
        <f t="shared" si="2"/>
        <v>0.48743426762648689</v>
      </c>
      <c r="S21" s="1">
        <f t="shared" si="8"/>
        <v>0.94317105886065955</v>
      </c>
      <c r="T21" s="1">
        <f t="shared" si="3"/>
        <v>0.4929291749974461</v>
      </c>
      <c r="U21" s="1" t="e">
        <f t="shared" si="4"/>
        <v>#VALUE!</v>
      </c>
      <c r="V21" s="1" t="e">
        <f t="shared" si="5"/>
        <v>#VALUE!</v>
      </c>
    </row>
    <row r="22" spans="1:22">
      <c r="A22" s="16">
        <v>1997</v>
      </c>
      <c r="B22" s="37">
        <v>91.394000000000005</v>
      </c>
      <c r="C22" s="34">
        <v>111.53100000000001</v>
      </c>
      <c r="D22" s="34">
        <v>24.754000000000001</v>
      </c>
      <c r="E22" s="38">
        <f t="shared" si="6"/>
        <v>227.679</v>
      </c>
      <c r="F22" s="34">
        <v>74.356999999999999</v>
      </c>
      <c r="G22" s="34">
        <v>77.182000000000002</v>
      </c>
      <c r="H22" s="34">
        <v>1.1919999999999999</v>
      </c>
      <c r="I22" s="34">
        <f t="shared" si="0"/>
        <v>152.73099999999999</v>
      </c>
      <c r="J22" s="149">
        <v>5888.2</v>
      </c>
      <c r="K22" s="150">
        <v>7837.9</v>
      </c>
      <c r="L22" s="150">
        <v>5097.3999999999996</v>
      </c>
      <c r="M22" s="11">
        <f t="shared" si="1"/>
        <v>18823.5</v>
      </c>
      <c r="N22" s="18"/>
      <c r="O22" s="1">
        <f t="shared" si="7"/>
        <v>1.5521551577731736</v>
      </c>
      <c r="P22" s="1">
        <f t="shared" ref="P22:P36" si="9">C22/K22*100</f>
        <v>1.4229704385103155</v>
      </c>
      <c r="Q22" s="1">
        <f t="shared" ref="Q22:Q36" si="10">D22/L22*100</f>
        <v>0.48562012006120775</v>
      </c>
      <c r="R22" s="1">
        <f t="shared" ref="R22:R36" si="11">E22/M22*100</f>
        <v>1.209546577416527</v>
      </c>
      <c r="S22" s="1">
        <f t="shared" si="8"/>
        <v>1.2628137631194591</v>
      </c>
      <c r="T22" s="1">
        <f t="shared" si="3"/>
        <v>0.98472805215682779</v>
      </c>
      <c r="U22" s="1">
        <f t="shared" si="4"/>
        <v>2.338447051437988E-2</v>
      </c>
      <c r="V22" s="1">
        <f t="shared" si="5"/>
        <v>0.81138470528860207</v>
      </c>
    </row>
    <row r="23" spans="1:22">
      <c r="A23" s="16">
        <v>1998</v>
      </c>
      <c r="B23" s="37">
        <v>121.592</v>
      </c>
      <c r="C23" s="34">
        <v>132.434</v>
      </c>
      <c r="D23" s="34">
        <v>6.4459999999999997</v>
      </c>
      <c r="E23" s="38">
        <f t="shared" si="6"/>
        <v>260.47200000000004</v>
      </c>
      <c r="F23" s="34">
        <v>190.375</v>
      </c>
      <c r="G23" s="34">
        <v>110.875</v>
      </c>
      <c r="H23" s="34">
        <v>7.6479999999999997</v>
      </c>
      <c r="I23" s="34">
        <f t="shared" si="0"/>
        <v>308.89800000000002</v>
      </c>
      <c r="J23" s="149">
        <v>7982.6</v>
      </c>
      <c r="K23" s="150">
        <v>8960.7000000000007</v>
      </c>
      <c r="L23" s="150">
        <v>5013</v>
      </c>
      <c r="M23" s="11">
        <f t="shared" si="1"/>
        <v>21956.300000000003</v>
      </c>
      <c r="N23" s="18"/>
      <c r="O23" s="1">
        <f t="shared" si="7"/>
        <v>1.5232129882494425</v>
      </c>
      <c r="P23" s="1">
        <f t="shared" si="9"/>
        <v>1.4779425714508909</v>
      </c>
      <c r="Q23" s="1">
        <f t="shared" si="10"/>
        <v>0.12858567723917813</v>
      </c>
      <c r="R23" s="1">
        <f t="shared" si="11"/>
        <v>1.1863200994703114</v>
      </c>
      <c r="S23" s="1">
        <f t="shared" si="8"/>
        <v>2.3848746022599152</v>
      </c>
      <c r="T23" s="1">
        <f t="shared" si="3"/>
        <v>1.2373475286528954</v>
      </c>
      <c r="U23" s="1">
        <f t="shared" si="4"/>
        <v>0.15256333532814681</v>
      </c>
      <c r="V23" s="1">
        <f t="shared" si="5"/>
        <v>1.4068763862763762</v>
      </c>
    </row>
    <row r="24" spans="1:22">
      <c r="A24" s="16">
        <v>1999</v>
      </c>
      <c r="B24" s="37">
        <v>95.703000000000003</v>
      </c>
      <c r="C24" s="34">
        <v>200.87899999999999</v>
      </c>
      <c r="D24" s="34">
        <v>8.1739999999999995</v>
      </c>
      <c r="E24" s="38">
        <f t="shared" si="6"/>
        <v>304.75599999999997</v>
      </c>
      <c r="F24" s="34">
        <v>23.271999999999998</v>
      </c>
      <c r="G24" s="34">
        <v>50.97</v>
      </c>
      <c r="H24" s="34">
        <v>0.70399999999999996</v>
      </c>
      <c r="I24" s="34">
        <f t="shared" si="0"/>
        <v>74.945999999999984</v>
      </c>
      <c r="J24" s="149">
        <v>8470.5</v>
      </c>
      <c r="K24" s="150">
        <v>9392.1</v>
      </c>
      <c r="L24" s="150">
        <v>6032.4</v>
      </c>
      <c r="M24" s="11">
        <f t="shared" si="1"/>
        <v>23895</v>
      </c>
      <c r="N24" s="18"/>
      <c r="O24" s="1">
        <f t="shared" si="7"/>
        <v>1.1298388524880469</v>
      </c>
      <c r="P24" s="1">
        <f t="shared" si="9"/>
        <v>2.1388081472727074</v>
      </c>
      <c r="Q24" s="1">
        <f t="shared" si="10"/>
        <v>0.13550162456070552</v>
      </c>
      <c r="R24" s="1">
        <f t="shared" si="11"/>
        <v>1.2753965264699727</v>
      </c>
      <c r="S24" s="1">
        <f t="shared" si="8"/>
        <v>0.2747417507821262</v>
      </c>
      <c r="T24" s="1">
        <f t="shared" si="3"/>
        <v>0.54269013319704851</v>
      </c>
      <c r="U24" s="1">
        <f t="shared" si="4"/>
        <v>1.1670313639679067E-2</v>
      </c>
      <c r="V24" s="1">
        <f t="shared" si="5"/>
        <v>0.31364720652856243</v>
      </c>
    </row>
    <row r="25" spans="1:22">
      <c r="A25" s="16">
        <v>2000</v>
      </c>
      <c r="B25" s="37">
        <v>20.7</v>
      </c>
      <c r="C25" s="34">
        <v>233.75899999999999</v>
      </c>
      <c r="D25" s="34">
        <v>2.9569999999999999</v>
      </c>
      <c r="E25" s="38">
        <f t="shared" si="6"/>
        <v>257.416</v>
      </c>
      <c r="F25" s="34">
        <v>47.241</v>
      </c>
      <c r="G25" s="34">
        <v>102.598</v>
      </c>
      <c r="H25" s="34">
        <v>13.494999999999999</v>
      </c>
      <c r="I25" s="34">
        <f t="shared" si="0"/>
        <v>163.334</v>
      </c>
      <c r="J25" s="149">
        <v>9107.4</v>
      </c>
      <c r="K25" s="150">
        <v>9984.1</v>
      </c>
      <c r="L25" s="150">
        <v>7591.5</v>
      </c>
      <c r="M25" s="11">
        <f t="shared" si="1"/>
        <v>26683</v>
      </c>
      <c r="N25" s="18"/>
      <c r="O25" s="1">
        <f t="shared" si="7"/>
        <v>0.22728770011199684</v>
      </c>
      <c r="P25" s="1">
        <f t="shared" si="9"/>
        <v>2.341312687172604</v>
      </c>
      <c r="Q25" s="1">
        <f t="shared" si="10"/>
        <v>3.8951458868471317E-2</v>
      </c>
      <c r="R25" s="1">
        <f t="shared" si="11"/>
        <v>0.96471910954540352</v>
      </c>
      <c r="S25" s="1">
        <f t="shared" si="8"/>
        <v>0.51871005995124853</v>
      </c>
      <c r="T25" s="1">
        <f t="shared" si="3"/>
        <v>1.0276139061107159</v>
      </c>
      <c r="U25" s="1">
        <f t="shared" si="4"/>
        <v>0.17776460515049725</v>
      </c>
      <c r="V25" s="1">
        <f t="shared" si="5"/>
        <v>0.61212757186223432</v>
      </c>
    </row>
    <row r="26" spans="1:22">
      <c r="A26" s="16">
        <v>2001</v>
      </c>
      <c r="B26" s="37">
        <v>3.6589999999999998</v>
      </c>
      <c r="C26" s="34">
        <v>171.61</v>
      </c>
      <c r="D26" s="34">
        <v>1.2E-2</v>
      </c>
      <c r="E26" s="38">
        <f t="shared" si="6"/>
        <v>175.28100000000001</v>
      </c>
      <c r="F26" s="34">
        <v>0.18099999999999999</v>
      </c>
      <c r="G26" s="34">
        <v>73.8</v>
      </c>
      <c r="H26" s="34">
        <v>0.72399999999999998</v>
      </c>
      <c r="I26" s="34">
        <f t="shared" si="0"/>
        <v>74.704999999999998</v>
      </c>
      <c r="J26" s="149">
        <v>7727.9</v>
      </c>
      <c r="K26" s="150">
        <v>10951.7</v>
      </c>
      <c r="L26" s="150">
        <v>7941</v>
      </c>
      <c r="M26" s="11">
        <f t="shared" si="1"/>
        <v>26620.6</v>
      </c>
      <c r="N26" s="18"/>
      <c r="O26" s="1">
        <f t="shared" si="7"/>
        <v>4.7347921168752187E-2</v>
      </c>
      <c r="P26" s="1">
        <f t="shared" si="9"/>
        <v>1.5669713377831753</v>
      </c>
      <c r="Q26" s="1">
        <f t="shared" si="10"/>
        <v>1.511144692104269E-4</v>
      </c>
      <c r="R26" s="1">
        <f t="shared" si="11"/>
        <v>0.65844120718541288</v>
      </c>
      <c r="S26" s="1">
        <f t="shared" si="8"/>
        <v>2.3421628126657954E-3</v>
      </c>
      <c r="T26" s="1">
        <f t="shared" si="3"/>
        <v>0.67386798396595948</v>
      </c>
      <c r="U26" s="1">
        <f t="shared" si="4"/>
        <v>9.1172396423624229E-3</v>
      </c>
      <c r="V26" s="1">
        <f t="shared" si="5"/>
        <v>0.28062853579558689</v>
      </c>
    </row>
    <row r="27" spans="1:22">
      <c r="A27" s="16">
        <v>2002</v>
      </c>
      <c r="B27" s="37">
        <v>34.252000000000002</v>
      </c>
      <c r="C27" s="34">
        <v>116.842</v>
      </c>
      <c r="D27" s="34">
        <v>3.669</v>
      </c>
      <c r="E27" s="38">
        <f t="shared" si="6"/>
        <v>154.76300000000001</v>
      </c>
      <c r="F27" s="34">
        <v>2.5779999999999998</v>
      </c>
      <c r="G27" s="34">
        <v>59.389000000000003</v>
      </c>
      <c r="H27" s="34">
        <v>2.782</v>
      </c>
      <c r="I27" s="34">
        <f t="shared" si="0"/>
        <v>64.749000000000009</v>
      </c>
      <c r="J27" s="149">
        <v>7916.1</v>
      </c>
      <c r="K27" s="150">
        <v>10551.5</v>
      </c>
      <c r="L27" s="150">
        <v>7200.1</v>
      </c>
      <c r="M27" s="11">
        <f t="shared" si="1"/>
        <v>25667.699999999997</v>
      </c>
      <c r="N27" s="18"/>
      <c r="O27" s="1">
        <f t="shared" si="7"/>
        <v>0.43268781344348861</v>
      </c>
      <c r="P27" s="1">
        <f t="shared" si="9"/>
        <v>1.1073496659242761</v>
      </c>
      <c r="Q27" s="1">
        <f t="shared" si="10"/>
        <v>5.0957625588533492E-2</v>
      </c>
      <c r="R27" s="1">
        <f t="shared" si="11"/>
        <v>0.6029484527246306</v>
      </c>
      <c r="S27" s="1">
        <f t="shared" si="8"/>
        <v>3.2566541605083307E-2</v>
      </c>
      <c r="T27" s="1">
        <f t="shared" si="3"/>
        <v>0.56284888404492261</v>
      </c>
      <c r="U27" s="1">
        <f t="shared" si="4"/>
        <v>3.8638352245107706E-2</v>
      </c>
      <c r="V27" s="1">
        <f t="shared" si="5"/>
        <v>0.25225867530008539</v>
      </c>
    </row>
    <row r="28" spans="1:22">
      <c r="A28" s="16">
        <v>2003</v>
      </c>
      <c r="B28" s="37">
        <v>69.183999999999997</v>
      </c>
      <c r="C28" s="34">
        <v>107.646</v>
      </c>
      <c r="D28" s="34">
        <v>12.568</v>
      </c>
      <c r="E28" s="38">
        <f t="shared" si="6"/>
        <v>189.398</v>
      </c>
      <c r="F28" s="34">
        <v>16.91</v>
      </c>
      <c r="G28" s="34">
        <v>65.731999999999999</v>
      </c>
      <c r="H28" s="34">
        <v>3.5459999999999998</v>
      </c>
      <c r="I28" s="34">
        <f t="shared" si="0"/>
        <v>86.188000000000002</v>
      </c>
      <c r="J28" s="149">
        <v>8247.2000000000007</v>
      </c>
      <c r="K28" s="150">
        <v>10576.6</v>
      </c>
      <c r="L28" s="150">
        <v>6365.5</v>
      </c>
      <c r="M28" s="11">
        <f t="shared" si="1"/>
        <v>25189.300000000003</v>
      </c>
      <c r="N28" s="18"/>
      <c r="O28" s="1">
        <f t="shared" si="7"/>
        <v>0.83887864972354231</v>
      </c>
      <c r="P28" s="1">
        <f t="shared" si="9"/>
        <v>1.0177750884027001</v>
      </c>
      <c r="Q28" s="1">
        <f t="shared" si="10"/>
        <v>0.19743932134160708</v>
      </c>
      <c r="R28" s="1">
        <f t="shared" si="11"/>
        <v>0.7518986236219346</v>
      </c>
      <c r="S28" s="1">
        <f t="shared" si="8"/>
        <v>0.20503928606072364</v>
      </c>
      <c r="T28" s="1">
        <f t="shared" si="3"/>
        <v>0.62148516536505105</v>
      </c>
      <c r="U28" s="1">
        <f t="shared" si="4"/>
        <v>5.5706543083811164E-2</v>
      </c>
      <c r="V28" s="1">
        <f t="shared" si="5"/>
        <v>0.34216115572882133</v>
      </c>
    </row>
    <row r="29" spans="1:22">
      <c r="A29" s="16">
        <v>2004</v>
      </c>
      <c r="B29" s="37">
        <v>71.411000000000001</v>
      </c>
      <c r="C29" s="34">
        <v>134.02500000000001</v>
      </c>
      <c r="D29" s="34">
        <v>12.608000000000001</v>
      </c>
      <c r="E29" s="38">
        <f t="shared" si="6"/>
        <v>218.04400000000001</v>
      </c>
      <c r="F29" s="34">
        <v>17.032</v>
      </c>
      <c r="G29" s="34">
        <v>118.119</v>
      </c>
      <c r="H29" s="34">
        <v>4.2149999999999999</v>
      </c>
      <c r="I29" s="34">
        <f t="shared" si="0"/>
        <v>139.36600000000001</v>
      </c>
      <c r="J29" s="149">
        <v>9275</v>
      </c>
      <c r="K29" s="150">
        <v>11592.5</v>
      </c>
      <c r="L29" s="150">
        <v>6125.1</v>
      </c>
      <c r="M29" s="11">
        <f t="shared" si="1"/>
        <v>26992.6</v>
      </c>
      <c r="N29" s="18"/>
      <c r="O29" s="1">
        <f t="shared" si="7"/>
        <v>0.76992991913746633</v>
      </c>
      <c r="P29" s="1">
        <f t="shared" si="9"/>
        <v>1.1561354323916326</v>
      </c>
      <c r="Q29" s="1">
        <f t="shared" si="10"/>
        <v>0.20584153728102397</v>
      </c>
      <c r="R29" s="1">
        <f t="shared" si="11"/>
        <v>0.80779176515044882</v>
      </c>
      <c r="S29" s="1">
        <f t="shared" si="8"/>
        <v>0.183633423180593</v>
      </c>
      <c r="T29" s="1">
        <f t="shared" si="3"/>
        <v>1.0189260297606211</v>
      </c>
      <c r="U29" s="1">
        <f t="shared" si="4"/>
        <v>6.8815203017093582E-2</v>
      </c>
      <c r="V29" s="1">
        <f t="shared" si="5"/>
        <v>0.516311878070286</v>
      </c>
    </row>
    <row r="30" spans="1:22">
      <c r="A30" s="16">
        <v>2005</v>
      </c>
      <c r="B30" s="37">
        <v>91.043000000000006</v>
      </c>
      <c r="C30" s="34">
        <v>198.899</v>
      </c>
      <c r="D30" s="34">
        <v>12.374000000000001</v>
      </c>
      <c r="E30" s="38">
        <f t="shared" si="6"/>
        <v>302.31600000000003</v>
      </c>
      <c r="F30" s="34">
        <v>25.661999999999999</v>
      </c>
      <c r="G30" s="34">
        <v>151.39500000000001</v>
      </c>
      <c r="H30" s="34">
        <v>8.3759999999999994</v>
      </c>
      <c r="I30" s="34">
        <f t="shared" si="0"/>
        <v>185.43300000000002</v>
      </c>
      <c r="J30" s="149">
        <v>9853.6</v>
      </c>
      <c r="K30" s="150">
        <v>13035.5</v>
      </c>
      <c r="L30" s="150">
        <v>5907.3</v>
      </c>
      <c r="M30" s="11">
        <f t="shared" si="1"/>
        <v>28796.399999999998</v>
      </c>
      <c r="N30" s="18"/>
      <c r="O30" s="1">
        <f t="shared" si="7"/>
        <v>0.9239567264756029</v>
      </c>
      <c r="P30" s="1">
        <f t="shared" si="9"/>
        <v>1.5258256300103563</v>
      </c>
      <c r="Q30" s="1">
        <f t="shared" si="10"/>
        <v>0.20946963925989875</v>
      </c>
      <c r="R30" s="1">
        <f t="shared" si="11"/>
        <v>1.0498395632787434</v>
      </c>
      <c r="S30" s="1">
        <f t="shared" si="8"/>
        <v>0.2604327352439717</v>
      </c>
      <c r="T30" s="1">
        <f t="shared" si="3"/>
        <v>1.161405392965364</v>
      </c>
      <c r="U30" s="1">
        <f t="shared" si="4"/>
        <v>0.14179066578639984</v>
      </c>
      <c r="V30" s="1">
        <f t="shared" si="5"/>
        <v>0.6439450764678919</v>
      </c>
    </row>
    <row r="31" spans="1:22">
      <c r="A31" s="16">
        <v>2006</v>
      </c>
      <c r="B31" s="37">
        <v>69.179000000000002</v>
      </c>
      <c r="C31" s="34">
        <v>159.90799999999999</v>
      </c>
      <c r="D31" s="34">
        <v>15.606</v>
      </c>
      <c r="E31" s="38">
        <f t="shared" si="6"/>
        <v>244.69299999999998</v>
      </c>
      <c r="F31" s="34">
        <v>24.498000000000001</v>
      </c>
      <c r="G31" s="34">
        <v>127.32299999999999</v>
      </c>
      <c r="H31" s="34">
        <v>7.2519999999999998</v>
      </c>
      <c r="I31" s="34">
        <f t="shared" si="0"/>
        <v>159.07300000000001</v>
      </c>
      <c r="J31" s="149">
        <v>11098.8</v>
      </c>
      <c r="K31" s="150">
        <v>13262.8</v>
      </c>
      <c r="L31" s="150">
        <v>6014.7</v>
      </c>
      <c r="M31" s="11">
        <f t="shared" si="1"/>
        <v>30376.3</v>
      </c>
      <c r="N31" s="18"/>
      <c r="O31" s="1">
        <f t="shared" si="7"/>
        <v>0.62330161819295782</v>
      </c>
      <c r="P31" s="1">
        <f t="shared" si="9"/>
        <v>1.2056880899960793</v>
      </c>
      <c r="Q31" s="1">
        <f t="shared" si="10"/>
        <v>0.25946431243453538</v>
      </c>
      <c r="R31" s="1">
        <f t="shared" si="11"/>
        <v>0.80553918680023562</v>
      </c>
      <c r="S31" s="1">
        <f t="shared" si="8"/>
        <v>0.22072656503405777</v>
      </c>
      <c r="T31" s="1">
        <f t="shared" si="3"/>
        <v>0.96000090478631961</v>
      </c>
      <c r="U31" s="1">
        <f t="shared" si="4"/>
        <v>0.12057126706236387</v>
      </c>
      <c r="V31" s="1">
        <f t="shared" si="5"/>
        <v>0.52367470692612339</v>
      </c>
    </row>
    <row r="32" spans="1:22">
      <c r="A32" s="16">
        <v>2007</v>
      </c>
      <c r="B32" s="37">
        <v>145.626</v>
      </c>
      <c r="C32" s="34">
        <v>171.92</v>
      </c>
      <c r="D32" s="34">
        <v>41.564</v>
      </c>
      <c r="E32" s="38">
        <f t="shared" si="6"/>
        <v>359.11</v>
      </c>
      <c r="F32" s="34">
        <v>10.367000000000001</v>
      </c>
      <c r="G32" s="34">
        <v>156.81299999999999</v>
      </c>
      <c r="H32" s="34">
        <v>3.8050000000000002</v>
      </c>
      <c r="I32" s="34">
        <f t="shared" si="0"/>
        <v>170.98499999999999</v>
      </c>
      <c r="J32" s="149">
        <v>10791.7</v>
      </c>
      <c r="K32" s="150">
        <v>15446.9</v>
      </c>
      <c r="L32" s="150">
        <v>5392.3</v>
      </c>
      <c r="M32" s="11">
        <f t="shared" si="1"/>
        <v>31630.899999999998</v>
      </c>
      <c r="N32" s="18"/>
      <c r="O32" s="1">
        <f t="shared" si="7"/>
        <v>1.3494259477190804</v>
      </c>
      <c r="P32" s="1">
        <f t="shared" si="9"/>
        <v>1.1129741242579416</v>
      </c>
      <c r="Q32" s="1">
        <f t="shared" si="10"/>
        <v>0.77080281141627871</v>
      </c>
      <c r="R32" s="1">
        <f t="shared" si="11"/>
        <v>1.1353138861050429</v>
      </c>
      <c r="S32" s="1">
        <f t="shared" si="8"/>
        <v>9.606456814033007E-2</v>
      </c>
      <c r="T32" s="1">
        <f t="shared" si="3"/>
        <v>1.015174565770478</v>
      </c>
      <c r="U32" s="1">
        <f t="shared" si="4"/>
        <v>7.056358140311185E-2</v>
      </c>
      <c r="V32" s="1">
        <f t="shared" si="5"/>
        <v>0.54056318346932908</v>
      </c>
    </row>
    <row r="33" spans="1:22">
      <c r="A33" s="16">
        <v>2008</v>
      </c>
      <c r="B33" s="37">
        <v>51.389000000000003</v>
      </c>
      <c r="C33" s="34">
        <v>172.88399999999999</v>
      </c>
      <c r="D33" s="34">
        <v>11.266999999999999</v>
      </c>
      <c r="E33" s="38">
        <f t="shared" si="6"/>
        <v>235.54</v>
      </c>
      <c r="F33" s="34">
        <v>11.021000000000001</v>
      </c>
      <c r="G33" s="34">
        <v>153.04400000000001</v>
      </c>
      <c r="H33" s="34">
        <v>5.4740000000000002</v>
      </c>
      <c r="I33" s="34">
        <f t="shared" si="0"/>
        <v>169.53899999999999</v>
      </c>
      <c r="J33" s="149">
        <v>11034.4</v>
      </c>
      <c r="K33" s="150">
        <v>15845</v>
      </c>
      <c r="L33" s="150">
        <v>6083.9</v>
      </c>
      <c r="M33" s="11">
        <f t="shared" si="1"/>
        <v>32963.300000000003</v>
      </c>
      <c r="N33" s="18"/>
      <c r="O33" s="1">
        <f t="shared" si="7"/>
        <v>0.46571630537229036</v>
      </c>
      <c r="P33" s="1">
        <f t="shared" si="9"/>
        <v>1.0910949826443672</v>
      </c>
      <c r="Q33" s="1">
        <f t="shared" si="10"/>
        <v>0.18519370798336593</v>
      </c>
      <c r="R33" s="1">
        <f t="shared" si="11"/>
        <v>0.71455224446581489</v>
      </c>
      <c r="S33" s="1">
        <f t="shared" si="8"/>
        <v>9.9878561589211934E-2</v>
      </c>
      <c r="T33" s="1">
        <f t="shared" si="3"/>
        <v>0.96588198169769646</v>
      </c>
      <c r="U33" s="1">
        <f t="shared" si="4"/>
        <v>8.9975180394155072E-2</v>
      </c>
      <c r="V33" s="1">
        <f t="shared" si="5"/>
        <v>0.51432653890842228</v>
      </c>
    </row>
    <row r="34" spans="1:22">
      <c r="A34" s="16">
        <v>2009</v>
      </c>
      <c r="B34" s="37">
        <v>71.721000000000004</v>
      </c>
      <c r="C34" s="34">
        <v>177.006</v>
      </c>
      <c r="D34" s="34">
        <v>18.591999999999999</v>
      </c>
      <c r="E34" s="38">
        <f t="shared" si="6"/>
        <v>267.31900000000002</v>
      </c>
      <c r="F34" s="34">
        <v>16.669</v>
      </c>
      <c r="G34" s="34">
        <v>150.744</v>
      </c>
      <c r="H34" s="34">
        <v>2.8180000000000001</v>
      </c>
      <c r="I34" s="34">
        <f t="shared" si="0"/>
        <v>170.23100000000002</v>
      </c>
      <c r="J34" s="149">
        <v>9529.6</v>
      </c>
      <c r="K34" s="150">
        <v>15592.6</v>
      </c>
      <c r="L34" s="150">
        <v>5883.6</v>
      </c>
      <c r="M34" s="11">
        <f t="shared" si="1"/>
        <v>31005.800000000003</v>
      </c>
      <c r="N34" s="18"/>
      <c r="O34" s="1">
        <f t="shared" si="7"/>
        <v>0.75261291134989927</v>
      </c>
      <c r="P34" s="1">
        <f t="shared" si="9"/>
        <v>1.135192334825494</v>
      </c>
      <c r="Q34" s="1">
        <f t="shared" si="10"/>
        <v>0.31599700863416952</v>
      </c>
      <c r="R34" s="1">
        <f t="shared" si="11"/>
        <v>0.86215804784911199</v>
      </c>
      <c r="S34" s="1">
        <f t="shared" si="8"/>
        <v>0.17491814976494291</v>
      </c>
      <c r="T34" s="1">
        <f t="shared" si="3"/>
        <v>0.96676628657183539</v>
      </c>
      <c r="U34" s="1">
        <f t="shared" si="4"/>
        <v>4.7895846080630904E-2</v>
      </c>
      <c r="V34" s="1">
        <f t="shared" si="5"/>
        <v>0.54902953640931695</v>
      </c>
    </row>
    <row r="35" spans="1:22">
      <c r="A35" s="16">
        <v>2010</v>
      </c>
      <c r="B35" s="37">
        <v>66.394999999999996</v>
      </c>
      <c r="C35" s="34">
        <v>138.554</v>
      </c>
      <c r="D35" s="34">
        <v>21.329000000000001</v>
      </c>
      <c r="E35" s="38">
        <f t="shared" si="6"/>
        <v>226.27800000000002</v>
      </c>
      <c r="F35" s="34">
        <v>24.879000000000001</v>
      </c>
      <c r="G35" s="34">
        <v>157.48099999999999</v>
      </c>
      <c r="H35" s="34">
        <v>5.2320000000000002</v>
      </c>
      <c r="I35" s="34">
        <f t="shared" si="0"/>
        <v>187.59199999999998</v>
      </c>
      <c r="J35" s="149">
        <v>10199.5</v>
      </c>
      <c r="K35" s="150">
        <v>15999.2</v>
      </c>
      <c r="L35" s="150">
        <v>6373.2</v>
      </c>
      <c r="M35" s="11">
        <f t="shared" si="1"/>
        <v>32571.9</v>
      </c>
      <c r="N35" s="18"/>
      <c r="O35" s="1">
        <f t="shared" si="7"/>
        <v>0.65096328251384872</v>
      </c>
      <c r="P35" s="1">
        <f t="shared" si="9"/>
        <v>0.8660058002900145</v>
      </c>
      <c r="Q35" s="1">
        <f t="shared" si="10"/>
        <v>0.33466704324358254</v>
      </c>
      <c r="R35" s="1">
        <f t="shared" si="11"/>
        <v>0.69470310298140425</v>
      </c>
      <c r="S35" s="1">
        <f t="shared" si="8"/>
        <v>0.24392372175106625</v>
      </c>
      <c r="T35" s="1">
        <f t="shared" si="3"/>
        <v>0.98430546527326357</v>
      </c>
      <c r="U35" s="1">
        <f t="shared" si="4"/>
        <v>8.2093767652042945E-2</v>
      </c>
      <c r="V35" s="1">
        <f t="shared" si="5"/>
        <v>0.57593201501908076</v>
      </c>
    </row>
    <row r="36" spans="1:22">
      <c r="A36" s="17">
        <v>2011</v>
      </c>
      <c r="B36" s="39">
        <v>68.16</v>
      </c>
      <c r="C36" s="40">
        <v>141.98699999999999</v>
      </c>
      <c r="D36" s="40">
        <v>22.751999999999999</v>
      </c>
      <c r="E36" s="41">
        <f t="shared" si="6"/>
        <v>232.899</v>
      </c>
      <c r="F36" s="40">
        <v>29.202000000000002</v>
      </c>
      <c r="G36" s="40">
        <v>161.72499999999999</v>
      </c>
      <c r="H36" s="40">
        <v>6.0529999999999999</v>
      </c>
      <c r="I36" s="40">
        <f t="shared" si="0"/>
        <v>196.98</v>
      </c>
      <c r="J36" s="151">
        <v>10819.7</v>
      </c>
      <c r="K36" s="152">
        <v>16570.3</v>
      </c>
      <c r="L36" s="152">
        <v>6784.7</v>
      </c>
      <c r="M36" s="14">
        <f t="shared" si="1"/>
        <v>34174.699999999997</v>
      </c>
      <c r="N36" s="18"/>
      <c r="O36" s="1">
        <f t="shared" si="7"/>
        <v>0.62996201373420702</v>
      </c>
      <c r="P36" s="1">
        <f t="shared" si="9"/>
        <v>0.85687645968992709</v>
      </c>
      <c r="Q36" s="1">
        <f t="shared" si="10"/>
        <v>0.33534275649623418</v>
      </c>
      <c r="R36" s="1">
        <f t="shared" si="11"/>
        <v>0.68149537523372561</v>
      </c>
      <c r="S36" s="1">
        <f t="shared" si="8"/>
        <v>0.26989657753911844</v>
      </c>
      <c r="T36" s="1">
        <f t="shared" si="3"/>
        <v>0.97599319263984363</v>
      </c>
      <c r="U36" s="1">
        <f t="shared" si="4"/>
        <v>8.9215440623756387E-2</v>
      </c>
      <c r="V36" s="1">
        <f t="shared" si="5"/>
        <v>0.57639130701952024</v>
      </c>
    </row>
    <row r="37" spans="1:22">
      <c r="A37" s="26"/>
      <c r="B37" s="10"/>
      <c r="C37" s="10"/>
      <c r="D37" s="10"/>
      <c r="E37" s="10"/>
      <c r="F37" s="10"/>
      <c r="G37" s="10"/>
      <c r="H37" s="10"/>
      <c r="I37" s="10"/>
    </row>
    <row r="38" spans="1:22">
      <c r="A38" s="381" t="s">
        <v>52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3"/>
    </row>
    <row r="39" spans="1:22">
      <c r="A39" s="15" t="s">
        <v>53</v>
      </c>
      <c r="B39" s="82">
        <f>(POWER(B15/B6,1/($A15-$A6))-1)*100</f>
        <v>-31.570508209235271</v>
      </c>
      <c r="C39" s="83">
        <f>(POWER(C15/C6,1/($A15-$A6))-1)*100</f>
        <v>15.958952575334617</v>
      </c>
      <c r="D39" s="83">
        <f t="shared" ref="D39:M39" si="12">(POWER(D15/D6,1/($A15-$A6))-1)*100</f>
        <v>-5.6783889237757901</v>
      </c>
      <c r="E39" s="84">
        <f t="shared" si="12"/>
        <v>4.413439680761555</v>
      </c>
      <c r="F39" s="83">
        <f t="shared" si="12"/>
        <v>-12.088559630985063</v>
      </c>
      <c r="G39" s="83">
        <f t="shared" si="12"/>
        <v>5.9265043942695605</v>
      </c>
      <c r="H39" s="83">
        <f t="shared" si="12"/>
        <v>-14.60550906115785</v>
      </c>
      <c r="I39" s="83">
        <f t="shared" si="12"/>
        <v>-6.9065439272161573</v>
      </c>
      <c r="J39" s="82">
        <f t="shared" si="12"/>
        <v>4.1287573045898363</v>
      </c>
      <c r="K39" s="83">
        <f t="shared" si="12"/>
        <v>19.514802285657584</v>
      </c>
      <c r="L39" s="83">
        <f t="shared" si="12"/>
        <v>7.7007154986364679</v>
      </c>
      <c r="M39" s="84">
        <f t="shared" si="12"/>
        <v>9.2221436044576564</v>
      </c>
    </row>
    <row r="40" spans="1:22">
      <c r="A40" s="16" t="s">
        <v>71</v>
      </c>
      <c r="B40" s="37">
        <f>(POWER(B$25/B15,1/($A$25-$A$15))-1)*100</f>
        <v>39.051013158061252</v>
      </c>
      <c r="C40" s="34">
        <f t="shared" ref="C40:M40" si="13">(POWER(C$25/C15,1/($A$25-$A$15))-1)*100</f>
        <v>14.595487411924735</v>
      </c>
      <c r="D40" s="34">
        <f t="shared" si="13"/>
        <v>4.0085588392239302</v>
      </c>
      <c r="E40" s="38">
        <f t="shared" si="13"/>
        <v>15.184759979642347</v>
      </c>
      <c r="F40" s="34">
        <f t="shared" si="13"/>
        <v>14.021463626936793</v>
      </c>
      <c r="G40" s="34">
        <f t="shared" si="13"/>
        <v>21.907972246655039</v>
      </c>
      <c r="H40" s="34">
        <f t="shared" si="13"/>
        <v>30.025290433251485</v>
      </c>
      <c r="I40" s="34">
        <f t="shared" si="13"/>
        <v>19.351603664022111</v>
      </c>
      <c r="J40" s="37">
        <f t="shared" si="13"/>
        <v>11.214345015604611</v>
      </c>
      <c r="K40" s="34">
        <f t="shared" si="13"/>
        <v>9.6772195567567785</v>
      </c>
      <c r="L40" s="34">
        <f t="shared" si="13"/>
        <v>7.1478840754567896</v>
      </c>
      <c r="M40" s="38">
        <f t="shared" si="13"/>
        <v>9.3490775386230176</v>
      </c>
    </row>
    <row r="41" spans="1:22">
      <c r="A41" s="16" t="s">
        <v>69</v>
      </c>
      <c r="B41" s="37">
        <f t="shared" ref="B41:M41" si="14">(POWER(B$35/B25,1/($A$35-$A$25))-1)*100</f>
        <v>12.361234727357328</v>
      </c>
      <c r="C41" s="34">
        <f t="shared" si="14"/>
        <v>-5.0958786411701373</v>
      </c>
      <c r="D41" s="34">
        <f t="shared" si="14"/>
        <v>21.846179664639088</v>
      </c>
      <c r="E41" s="38">
        <f t="shared" si="14"/>
        <v>-1.2810154598270396</v>
      </c>
      <c r="F41" s="34">
        <f t="shared" si="14"/>
        <v>-6.2111126316432124</v>
      </c>
      <c r="G41" s="34">
        <f t="shared" si="14"/>
        <v>4.3779893936341185</v>
      </c>
      <c r="H41" s="34">
        <f t="shared" si="14"/>
        <v>-9.0402025391054348</v>
      </c>
      <c r="I41" s="34">
        <f t="shared" si="14"/>
        <v>1.3943537589317101</v>
      </c>
      <c r="J41" s="37">
        <f t="shared" si="14"/>
        <v>1.138951517039577</v>
      </c>
      <c r="K41" s="34">
        <f t="shared" si="14"/>
        <v>4.8283945264119721</v>
      </c>
      <c r="L41" s="34">
        <f t="shared" si="14"/>
        <v>-1.7340640287329956</v>
      </c>
      <c r="M41" s="38">
        <f t="shared" si="14"/>
        <v>2.0142506199267496</v>
      </c>
    </row>
    <row r="42" spans="1:22">
      <c r="A42" s="17" t="s">
        <v>70</v>
      </c>
      <c r="B42" s="39">
        <f t="shared" ref="B42:M42" si="15">(POWER(B35/B6,1/($A$35-$A$6))-1)*100</f>
        <v>3.6795206421405435</v>
      </c>
      <c r="C42" s="40">
        <f t="shared" si="15"/>
        <v>7.7770668529105524</v>
      </c>
      <c r="D42" s="40">
        <f t="shared" si="15"/>
        <v>6.5606659188817584</v>
      </c>
      <c r="E42" s="41">
        <f t="shared" si="15"/>
        <v>5.9402148953109579</v>
      </c>
      <c r="F42" s="40">
        <f t="shared" si="15"/>
        <v>-1.670832426724278</v>
      </c>
      <c r="G42" s="40">
        <f t="shared" si="15"/>
        <v>10.622425413108516</v>
      </c>
      <c r="H42" s="40">
        <f t="shared" si="15"/>
        <v>0.89037103540101636</v>
      </c>
      <c r="I42" s="40">
        <f t="shared" si="15"/>
        <v>4.4528844524035938</v>
      </c>
      <c r="J42" s="39">
        <f t="shared" si="15"/>
        <v>5.4548377299396877</v>
      </c>
      <c r="K42" s="40">
        <f t="shared" si="15"/>
        <v>10.897658700178003</v>
      </c>
      <c r="L42" s="40">
        <f t="shared" si="15"/>
        <v>4.1641771683555984</v>
      </c>
      <c r="M42" s="41">
        <f t="shared" si="15"/>
        <v>6.7236204137450128</v>
      </c>
    </row>
    <row r="44" spans="1:22">
      <c r="A44" s="1" t="s">
        <v>67</v>
      </c>
    </row>
    <row r="46" spans="1:22">
      <c r="A46" s="1" t="s">
        <v>98</v>
      </c>
    </row>
    <row r="56" spans="2:7" ht="30">
      <c r="B56" s="59" t="s">
        <v>2</v>
      </c>
      <c r="C56" s="60" t="s">
        <v>0</v>
      </c>
      <c r="D56" s="60" t="s">
        <v>1</v>
      </c>
      <c r="G56" s="1" t="s">
        <v>127</v>
      </c>
    </row>
    <row r="57" spans="2:7">
      <c r="B57" s="39">
        <v>22.751999999999999</v>
      </c>
      <c r="C57" s="40">
        <v>68.16</v>
      </c>
      <c r="D57" s="40">
        <v>141.98699999999999</v>
      </c>
    </row>
    <row r="72" spans="2:7" ht="30">
      <c r="B72" s="274" t="s">
        <v>2</v>
      </c>
      <c r="C72" s="274" t="s">
        <v>0</v>
      </c>
      <c r="D72" s="274" t="s">
        <v>1</v>
      </c>
    </row>
    <row r="73" spans="2:7">
      <c r="B73" s="40">
        <v>6.0529999999999999</v>
      </c>
      <c r="C73" s="40">
        <v>29.202000000000002</v>
      </c>
      <c r="D73" s="40">
        <v>161.72499999999999</v>
      </c>
      <c r="G73" s="1" t="s">
        <v>128</v>
      </c>
    </row>
    <row r="90" spans="6:12">
      <c r="F90" s="1" t="s">
        <v>79</v>
      </c>
      <c r="L90" s="1" t="s">
        <v>129</v>
      </c>
    </row>
    <row r="108" spans="3:11">
      <c r="D108" s="306" t="s">
        <v>3</v>
      </c>
      <c r="E108" s="307"/>
      <c r="F108" s="307"/>
      <c r="G108" s="308"/>
      <c r="H108" s="306" t="s">
        <v>4</v>
      </c>
      <c r="I108" s="307"/>
      <c r="J108" s="307"/>
      <c r="K108" s="308"/>
    </row>
    <row r="109" spans="3:11" ht="30">
      <c r="D109" s="59" t="s">
        <v>2</v>
      </c>
      <c r="E109" s="60" t="s">
        <v>0</v>
      </c>
      <c r="F109" s="60" t="s">
        <v>72</v>
      </c>
      <c r="G109" s="51" t="s">
        <v>1</v>
      </c>
      <c r="H109" s="274" t="s">
        <v>2</v>
      </c>
      <c r="I109" s="274" t="s">
        <v>0</v>
      </c>
      <c r="J109" s="274" t="s">
        <v>72</v>
      </c>
      <c r="K109" s="51" t="s">
        <v>1</v>
      </c>
    </row>
    <row r="110" spans="3:11">
      <c r="C110" s="306" t="s">
        <v>3</v>
      </c>
      <c r="D110" s="1">
        <v>0.33534275649623418</v>
      </c>
      <c r="E110" s="1">
        <v>0.62996201373420702</v>
      </c>
      <c r="F110" s="1">
        <v>0.68149537523372561</v>
      </c>
      <c r="G110" s="1">
        <v>0.85687645968992709</v>
      </c>
      <c r="H110" s="1">
        <v>8.9215440623756387E-2</v>
      </c>
      <c r="I110" s="1">
        <v>0.26989657753911844</v>
      </c>
      <c r="J110" s="1">
        <v>0.57639130701952024</v>
      </c>
      <c r="K110" s="1">
        <v>0.97599319263984363</v>
      </c>
    </row>
    <row r="111" spans="3:11">
      <c r="C111" s="306" t="s">
        <v>4</v>
      </c>
      <c r="D111" s="1">
        <v>8.9215440623756387E-2</v>
      </c>
      <c r="E111" s="1">
        <v>0.26989657753911844</v>
      </c>
      <c r="F111" s="1">
        <v>0.57639130701952024</v>
      </c>
      <c r="G111" s="1">
        <v>0.97599319263984363</v>
      </c>
    </row>
  </sheetData>
  <sortState columnSort="1" ref="H109:K110">
    <sortCondition ref="H110:K110"/>
  </sortState>
  <mergeCells count="6">
    <mergeCell ref="S4:V4"/>
    <mergeCell ref="B4:E4"/>
    <mergeCell ref="F4:I4"/>
    <mergeCell ref="J4:M4"/>
    <mergeCell ref="A38:M38"/>
    <mergeCell ref="O4:R4"/>
  </mergeCells>
  <pageMargins left="0.7" right="0.7" top="0.75" bottom="0.75" header="0.3" footer="0.3"/>
  <pageSetup scale="63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M43"/>
  <sheetViews>
    <sheetView zoomScaleNormal="100" workbookViewId="0">
      <selection activeCell="B15" sqref="B15"/>
    </sheetView>
  </sheetViews>
  <sheetFormatPr defaultRowHeight="15"/>
  <cols>
    <col min="1" max="1" width="10.5703125" customWidth="1"/>
    <col min="2" max="2" width="14.85546875" customWidth="1"/>
    <col min="3" max="3" width="13.42578125" customWidth="1"/>
    <col min="4" max="4" width="25.140625" customWidth="1"/>
    <col min="5" max="5" width="13.42578125" customWidth="1"/>
    <col min="6" max="6" width="12.7109375" bestFit="1" customWidth="1"/>
    <col min="7" max="7" width="10.42578125" bestFit="1" customWidth="1"/>
    <col min="8" max="8" width="21.85546875" bestFit="1" customWidth="1"/>
    <col min="9" max="9" width="12.5703125" customWidth="1"/>
    <col min="10" max="10" width="13.28515625" bestFit="1" customWidth="1"/>
    <col min="11" max="11" width="10.85546875" bestFit="1" customWidth="1"/>
    <col min="12" max="12" width="22.28515625" bestFit="1" customWidth="1"/>
    <col min="13" max="13" width="13.7109375" customWidth="1"/>
  </cols>
  <sheetData>
    <row r="1" spans="1:13">
      <c r="A1" s="387" t="s">
        <v>134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3" spans="1:13">
      <c r="A3" s="222"/>
      <c r="B3" s="222"/>
      <c r="C3" s="222"/>
      <c r="D3" s="222"/>
      <c r="E3" s="222"/>
      <c r="F3" s="222"/>
      <c r="G3" s="222"/>
      <c r="H3" s="222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7" t="s">
        <v>42</v>
      </c>
      <c r="K4" s="375"/>
      <c r="L4" s="375"/>
      <c r="M4" s="376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72</v>
      </c>
      <c r="F5" s="59" t="s">
        <v>0</v>
      </c>
      <c r="G5" s="60" t="s">
        <v>1</v>
      </c>
      <c r="H5" s="60" t="s">
        <v>2</v>
      </c>
      <c r="I5" s="51" t="s">
        <v>72</v>
      </c>
      <c r="J5" s="59" t="s">
        <v>39</v>
      </c>
      <c r="K5" s="60" t="s">
        <v>41</v>
      </c>
      <c r="L5" s="60" t="s">
        <v>40</v>
      </c>
      <c r="M5" s="51" t="s">
        <v>72</v>
      </c>
    </row>
    <row r="6" spans="1:13">
      <c r="A6" s="27">
        <v>1981</v>
      </c>
      <c r="B6" s="6" t="str">
        <f>IFERROR('2a'!B5/'1h'!$B6*1000,"na")</f>
        <v>na</v>
      </c>
      <c r="C6" s="7" t="str">
        <f>IFERROR('2a'!C5/'1h'!$B6*1000,"na")</f>
        <v>na</v>
      </c>
      <c r="D6" s="7" t="str">
        <f>IFERROR('2a'!D5/'1h'!$B6*1000,"na")</f>
        <v>na</v>
      </c>
      <c r="E6" s="8" t="str">
        <f>IFERROR('2a'!E5/'1h'!$B6*1000,"na")</f>
        <v>na</v>
      </c>
      <c r="F6" s="6" t="str">
        <f>IFERROR('2a'!F5/'1h'!$C6*1000,"na")</f>
        <v>na</v>
      </c>
      <c r="G6" s="7" t="str">
        <f>IFERROR('2a'!G5/'1h'!$C6*1000,"na")</f>
        <v>na</v>
      </c>
      <c r="H6" s="7" t="str">
        <f>IFERROR('2a'!H5/'1h'!$C6*1000,"na")</f>
        <v>na</v>
      </c>
      <c r="I6" s="8" t="str">
        <f>IFERROR('2a'!I5/'1h'!$C6*1000,"na")</f>
        <v>na</v>
      </c>
      <c r="J6" s="6" t="str">
        <f>IFERROR('2a'!J5/'1h'!$D6*1000,"na")</f>
        <v>na</v>
      </c>
      <c r="K6" s="322" t="str">
        <f>IFERROR('2a'!K5/'1h'!$D6*1000,"na")</f>
        <v>na</v>
      </c>
      <c r="L6" s="322" t="str">
        <f>IFERROR('2a'!L5/'1h'!$D6*1000,"na")</f>
        <v>na</v>
      </c>
      <c r="M6" s="153" t="str">
        <f>IFERROR('2a'!M5/'1h'!$D6*1000,"na")</f>
        <v>na</v>
      </c>
    </row>
    <row r="7" spans="1:13">
      <c r="A7" s="28">
        <v>1982</v>
      </c>
      <c r="B7" s="9" t="str">
        <f>IFERROR('2a'!B6/'1h'!$B7*1000,"na")</f>
        <v>na</v>
      </c>
      <c r="C7" s="10" t="str">
        <f>IFERROR('2a'!C6/'1h'!$B7*1000,"na")</f>
        <v>na</v>
      </c>
      <c r="D7" s="10" t="str">
        <f>IFERROR('2a'!D6/'1h'!$B7*1000,"na")</f>
        <v>na</v>
      </c>
      <c r="E7" s="11" t="str">
        <f>IFERROR('2a'!E6/'1h'!$B7*1000,"na")</f>
        <v>na</v>
      </c>
      <c r="F7" s="10" t="str">
        <f>IFERROR('2a'!F6/'1h'!$C7*1000,"na")</f>
        <v>na</v>
      </c>
      <c r="G7" s="10" t="str">
        <f>IFERROR('2a'!G6/'1h'!$C7*1000,"na")</f>
        <v>na</v>
      </c>
      <c r="H7" s="10" t="str">
        <f>IFERROR('2a'!H6/'1h'!$C7*1000,"na")</f>
        <v>na</v>
      </c>
      <c r="I7" s="11" t="str">
        <f>IFERROR('2a'!I6/'1h'!$C7*1000,"na")</f>
        <v>na</v>
      </c>
      <c r="J7" s="149" t="str">
        <f>IFERROR('2a'!J6/'1h'!$D7*1000,"na")</f>
        <v>na</v>
      </c>
      <c r="K7" s="150" t="str">
        <f>IFERROR('2a'!K6/'1h'!$D7*1000,"na")</f>
        <v>na</v>
      </c>
      <c r="L7" s="150" t="str">
        <f>IFERROR('2a'!L6/'1h'!$D7*1000,"na")</f>
        <v>na</v>
      </c>
      <c r="M7" s="97" t="str">
        <f>IFERROR('2a'!M6/'1h'!$D7*1000,"na")</f>
        <v>na</v>
      </c>
    </row>
    <row r="8" spans="1:13">
      <c r="A8" s="28">
        <v>1983</v>
      </c>
      <c r="B8" s="9" t="str">
        <f>IFERROR('2a'!B7/'1h'!$B8*1000,"na")</f>
        <v>na</v>
      </c>
      <c r="C8" s="10" t="str">
        <f>IFERROR('2a'!C7/'1h'!$B8*1000,"na")</f>
        <v>na</v>
      </c>
      <c r="D8" s="10" t="str">
        <f>IFERROR('2a'!D7/'1h'!$B8*1000,"na")</f>
        <v>na</v>
      </c>
      <c r="E8" s="11" t="str">
        <f>IFERROR('2a'!E7/'1h'!$B8*1000,"na")</f>
        <v>na</v>
      </c>
      <c r="F8" s="10" t="str">
        <f>IFERROR('2a'!F7/'1h'!$C8*1000,"na")</f>
        <v>na</v>
      </c>
      <c r="G8" s="10" t="str">
        <f>IFERROR('2a'!G7/'1h'!$C8*1000,"na")</f>
        <v>na</v>
      </c>
      <c r="H8" s="10" t="str">
        <f>IFERROR('2a'!H7/'1h'!$C8*1000,"na")</f>
        <v>na</v>
      </c>
      <c r="I8" s="11" t="str">
        <f>IFERROR('2a'!I7/'1h'!$C8*1000,"na")</f>
        <v>na</v>
      </c>
      <c r="J8" s="149" t="str">
        <f>IFERROR('2a'!J7/'1h'!$D8*1000,"na")</f>
        <v>na</v>
      </c>
      <c r="K8" s="150" t="str">
        <f>IFERROR('2a'!K7/'1h'!$D8*1000,"na")</f>
        <v>na</v>
      </c>
      <c r="L8" s="150" t="str">
        <f>IFERROR('2a'!L7/'1h'!$D8*1000,"na")</f>
        <v>na</v>
      </c>
      <c r="M8" s="97" t="str">
        <f>IFERROR('2a'!M7/'1h'!$D8*1000,"na")</f>
        <v>na</v>
      </c>
    </row>
    <row r="9" spans="1:13">
      <c r="A9" s="28">
        <v>1984</v>
      </c>
      <c r="B9" s="9" t="str">
        <f>IFERROR('2a'!B8/'1h'!$B9*1000,"na")</f>
        <v>na</v>
      </c>
      <c r="C9" s="10" t="str">
        <f>IFERROR('2a'!C8/'1h'!$B9*1000,"na")</f>
        <v>na</v>
      </c>
      <c r="D9" s="10" t="str">
        <f>IFERROR('2a'!D8/'1h'!$B9*1000,"na")</f>
        <v>na</v>
      </c>
      <c r="E9" s="11" t="str">
        <f>IFERROR('2a'!E8/'1h'!$B9*1000,"na")</f>
        <v>na</v>
      </c>
      <c r="F9" s="10" t="str">
        <f>IFERROR('2a'!F8/'1h'!$C9*1000,"na")</f>
        <v>na</v>
      </c>
      <c r="G9" s="10" t="str">
        <f>IFERROR('2a'!G8/'1h'!$C9*1000,"na")</f>
        <v>na</v>
      </c>
      <c r="H9" s="10" t="str">
        <f>IFERROR('2a'!H8/'1h'!$C9*1000,"na")</f>
        <v>na</v>
      </c>
      <c r="I9" s="11" t="str">
        <f>IFERROR('2a'!I8/'1h'!$C9*1000,"na")</f>
        <v>na</v>
      </c>
      <c r="J9" s="149" t="str">
        <f>IFERROR('2a'!J8/'1h'!$D9*1000,"na")</f>
        <v>na</v>
      </c>
      <c r="K9" s="150" t="str">
        <f>IFERROR('2a'!K8/'1h'!$D9*1000,"na")</f>
        <v>na</v>
      </c>
      <c r="L9" s="150" t="str">
        <f>IFERROR('2a'!L8/'1h'!$D9*1000,"na")</f>
        <v>na</v>
      </c>
      <c r="M9" s="97" t="str">
        <f>IFERROR('2a'!M8/'1h'!$D9*1000,"na")</f>
        <v>na</v>
      </c>
    </row>
    <row r="10" spans="1:13">
      <c r="A10" s="28">
        <v>1985</v>
      </c>
      <c r="B10" s="9" t="str">
        <f>IFERROR('2a'!B9/'1h'!$B10*1000,"na")</f>
        <v>na</v>
      </c>
      <c r="C10" s="10" t="str">
        <f>IFERROR('2a'!C9/'1h'!$B10*1000,"na")</f>
        <v>na</v>
      </c>
      <c r="D10" s="10" t="str">
        <f>IFERROR('2a'!D9/'1h'!$B10*1000,"na")</f>
        <v>na</v>
      </c>
      <c r="E10" s="11" t="str">
        <f>IFERROR('2a'!E9/'1h'!$B10*1000,"na")</f>
        <v>na</v>
      </c>
      <c r="F10" s="10" t="str">
        <f>IFERROR('2a'!F9/'1h'!$C10*1000,"na")</f>
        <v>na</v>
      </c>
      <c r="G10" s="10" t="str">
        <f>IFERROR('2a'!G9/'1h'!$C10*1000,"na")</f>
        <v>na</v>
      </c>
      <c r="H10" s="10" t="str">
        <f>IFERROR('2a'!H9/'1h'!$C10*1000,"na")</f>
        <v>na</v>
      </c>
      <c r="I10" s="11" t="str">
        <f>IFERROR('2a'!I9/'1h'!$C10*1000,"na")</f>
        <v>na</v>
      </c>
      <c r="J10" s="149" t="str">
        <f>IFERROR('2a'!J9/'1h'!$D10*1000,"na")</f>
        <v>na</v>
      </c>
      <c r="K10" s="150" t="str">
        <f>IFERROR('2a'!K9/'1h'!$D10*1000,"na")</f>
        <v>na</v>
      </c>
      <c r="L10" s="150" t="str">
        <f>IFERROR('2a'!L9/'1h'!$D10*1000,"na")</f>
        <v>na</v>
      </c>
      <c r="M10" s="97" t="str">
        <f>IFERROR('2a'!M9/'1h'!$D10*1000,"na")</f>
        <v>na</v>
      </c>
    </row>
    <row r="11" spans="1:13">
      <c r="A11" s="28">
        <v>1986</v>
      </c>
      <c r="B11" s="9" t="str">
        <f>IFERROR('2a'!B10/'1h'!$B11*1000,"na")</f>
        <v>na</v>
      </c>
      <c r="C11" s="10" t="str">
        <f>IFERROR('2a'!C10/'1h'!$B11*1000,"na")</f>
        <v>na</v>
      </c>
      <c r="D11" s="10" t="str">
        <f>IFERROR('2a'!D10/'1h'!$B11*1000,"na")</f>
        <v>na</v>
      </c>
      <c r="E11" s="11" t="str">
        <f>IFERROR('2a'!E10/'1h'!$B11*1000,"na")</f>
        <v>na</v>
      </c>
      <c r="F11" s="10" t="str">
        <f>IFERROR('2a'!F10/'1h'!$C11*1000,"na")</f>
        <v>na</v>
      </c>
      <c r="G11" s="10" t="str">
        <f>IFERROR('2a'!G10/'1h'!$C11*1000,"na")</f>
        <v>na</v>
      </c>
      <c r="H11" s="10" t="str">
        <f>IFERROR('2a'!H10/'1h'!$C11*1000,"na")</f>
        <v>na</v>
      </c>
      <c r="I11" s="11" t="str">
        <f>IFERROR('2a'!I10/'1h'!$C11*1000,"na")</f>
        <v>na</v>
      </c>
      <c r="J11" s="149" t="str">
        <f>IFERROR('2a'!J10/'1h'!$D11*1000,"na")</f>
        <v>na</v>
      </c>
      <c r="K11" s="150" t="str">
        <f>IFERROR('2a'!K10/'1h'!$D11*1000,"na")</f>
        <v>na</v>
      </c>
      <c r="L11" s="150" t="str">
        <f>IFERROR('2a'!L10/'1h'!$D11*1000,"na")</f>
        <v>na</v>
      </c>
      <c r="M11" s="97" t="str">
        <f>IFERROR('2a'!M10/'1h'!$D11*1000,"na")</f>
        <v>na</v>
      </c>
    </row>
    <row r="12" spans="1:13">
      <c r="A12" s="28">
        <v>1987</v>
      </c>
      <c r="B12" s="9" t="str">
        <f>IFERROR('2a'!B11/'1h'!$B12*1000,"na")</f>
        <v>na</v>
      </c>
      <c r="C12" s="10" t="str">
        <f>IFERROR('2a'!C11/'1h'!$B12*1000,"na")</f>
        <v>na</v>
      </c>
      <c r="D12" s="10" t="str">
        <f>IFERROR('2a'!D11/'1h'!$B12*1000,"na")</f>
        <v>na</v>
      </c>
      <c r="E12" s="11" t="str">
        <f>IFERROR('2a'!E11/'1h'!$B12*1000,"na")</f>
        <v>na</v>
      </c>
      <c r="F12" s="10" t="str">
        <f>IFERROR('2a'!F11/'1h'!$C12*1000,"na")</f>
        <v>na</v>
      </c>
      <c r="G12" s="10" t="str">
        <f>IFERROR('2a'!G11/'1h'!$C12*1000,"na")</f>
        <v>na</v>
      </c>
      <c r="H12" s="10" t="str">
        <f>IFERROR('2a'!H11/'1h'!$C12*1000,"na")</f>
        <v>na</v>
      </c>
      <c r="I12" s="11" t="str">
        <f>IFERROR('2a'!I11/'1h'!$C12*1000,"na")</f>
        <v>na</v>
      </c>
      <c r="J12" s="149" t="str">
        <f>IFERROR('2a'!J11/'1h'!$D12*1000,"na")</f>
        <v>na</v>
      </c>
      <c r="K12" s="150" t="str">
        <f>IFERROR('2a'!K11/'1h'!$D12*1000,"na")</f>
        <v>na</v>
      </c>
      <c r="L12" s="150" t="str">
        <f>IFERROR('2a'!L11/'1h'!$D12*1000,"na")</f>
        <v>na</v>
      </c>
      <c r="M12" s="97" t="str">
        <f>IFERROR('2a'!M11/'1h'!$D12*1000,"na")</f>
        <v>na</v>
      </c>
    </row>
    <row r="13" spans="1:13">
      <c r="A13" s="28">
        <v>1988</v>
      </c>
      <c r="B13" s="9" t="str">
        <f>IFERROR('2a'!B12/'1h'!$B13*1000,"na")</f>
        <v>na</v>
      </c>
      <c r="C13" s="10" t="str">
        <f>IFERROR('2a'!C12/'1h'!$B13*1000,"na")</f>
        <v>na</v>
      </c>
      <c r="D13" s="10" t="str">
        <f>IFERROR('2a'!D12/'1h'!$B13*1000,"na")</f>
        <v>na</v>
      </c>
      <c r="E13" s="11" t="str">
        <f>IFERROR('2a'!E12/'1h'!$B13*1000,"na")</f>
        <v>na</v>
      </c>
      <c r="F13" s="10" t="str">
        <f>IFERROR('2a'!F12/'1h'!$C13*1000,"na")</f>
        <v>na</v>
      </c>
      <c r="G13" s="10" t="str">
        <f>IFERROR('2a'!G12/'1h'!$C13*1000,"na")</f>
        <v>na</v>
      </c>
      <c r="H13" s="10" t="str">
        <f>IFERROR('2a'!H12/'1h'!$C13*1000,"na")</f>
        <v>na</v>
      </c>
      <c r="I13" s="11" t="str">
        <f>IFERROR('2a'!I12/'1h'!$C13*1000,"na")</f>
        <v>na</v>
      </c>
      <c r="J13" s="149" t="str">
        <f>IFERROR('2a'!J12/'1h'!$D13*1000,"na")</f>
        <v>na</v>
      </c>
      <c r="K13" s="150" t="str">
        <f>IFERROR('2a'!K12/'1h'!$D13*1000,"na")</f>
        <v>na</v>
      </c>
      <c r="L13" s="150" t="str">
        <f>IFERROR('2a'!L12/'1h'!$D13*1000,"na")</f>
        <v>na</v>
      </c>
      <c r="M13" s="97" t="str">
        <f>IFERROR('2a'!M12/'1h'!$D13*1000,"na")</f>
        <v>na</v>
      </c>
    </row>
    <row r="14" spans="1:13">
      <c r="A14" s="28">
        <v>1989</v>
      </c>
      <c r="B14" s="9" t="str">
        <f>IFERROR('2a'!B13/'1h'!$B14*1000,"na")</f>
        <v>na</v>
      </c>
      <c r="C14" s="10" t="str">
        <f>IFERROR('2a'!C13/'1h'!$B14*1000,"na")</f>
        <v>na</v>
      </c>
      <c r="D14" s="10" t="str">
        <f>IFERROR('2a'!D13/'1h'!$B14*1000,"na")</f>
        <v>na</v>
      </c>
      <c r="E14" s="11" t="str">
        <f>IFERROR('2a'!E13/'1h'!$B14*1000,"na")</f>
        <v>na</v>
      </c>
      <c r="F14" s="10" t="str">
        <f>IFERROR('2a'!F13/'1h'!$C14*1000,"na")</f>
        <v>na</v>
      </c>
      <c r="G14" s="10" t="str">
        <f>IFERROR('2a'!G13/'1h'!$C14*1000,"na")</f>
        <v>na</v>
      </c>
      <c r="H14" s="10" t="str">
        <f>IFERROR('2a'!H13/'1h'!$C14*1000,"na")</f>
        <v>na</v>
      </c>
      <c r="I14" s="11" t="str">
        <f>IFERROR('2a'!I13/'1h'!$C14*1000,"na")</f>
        <v>na</v>
      </c>
      <c r="J14" s="149" t="str">
        <f>IFERROR('2a'!J13/'1h'!$D14*1000,"na")</f>
        <v>na</v>
      </c>
      <c r="K14" s="150" t="str">
        <f>IFERROR('2a'!K13/'1h'!$D14*1000,"na")</f>
        <v>na</v>
      </c>
      <c r="L14" s="150" t="str">
        <f>IFERROR('2a'!L13/'1h'!$D14*1000,"na")</f>
        <v>na</v>
      </c>
      <c r="M14" s="97" t="str">
        <f>IFERROR('2a'!M13/'1h'!$D14*1000,"na")</f>
        <v>na</v>
      </c>
    </row>
    <row r="15" spans="1:13">
      <c r="A15" s="28">
        <v>1990</v>
      </c>
      <c r="B15" s="9" t="str">
        <f>IFERROR('2a'!B14/'1h'!$B15*1000,"na")</f>
        <v>na</v>
      </c>
      <c r="C15" s="10" t="str">
        <f>IFERROR('2a'!C14/'1h'!$B15*1000,"na")</f>
        <v>na</v>
      </c>
      <c r="D15" s="10" t="str">
        <f>IFERROR('2a'!D14/'1h'!$B15*1000,"na")</f>
        <v>na</v>
      </c>
      <c r="E15" s="11" t="str">
        <f>IFERROR('2a'!E14/'1h'!$B15*1000,"na")</f>
        <v>na</v>
      </c>
      <c r="F15" s="10" t="str">
        <f>IFERROR('2a'!F14/'1h'!$C15*1000,"na")</f>
        <v>na</v>
      </c>
      <c r="G15" s="10" t="str">
        <f>IFERROR('2a'!G14/'1h'!$C15*1000,"na")</f>
        <v>na</v>
      </c>
      <c r="H15" s="10" t="str">
        <f>IFERROR('2a'!H14/'1h'!$C15*1000,"na")</f>
        <v>na</v>
      </c>
      <c r="I15" s="11" t="str">
        <f>IFERROR('2a'!I14/'1h'!$C15*1000,"na")</f>
        <v>na</v>
      </c>
      <c r="J15" s="149" t="str">
        <f>IFERROR('2a'!J14/'1h'!$D15*1000,"na")</f>
        <v>na</v>
      </c>
      <c r="K15" s="150" t="str">
        <f>IFERROR('2a'!K14/'1h'!$D15*1000,"na")</f>
        <v>na</v>
      </c>
      <c r="L15" s="150" t="str">
        <f>IFERROR('2a'!L14/'1h'!$D15*1000,"na")</f>
        <v>na</v>
      </c>
      <c r="M15" s="97" t="str">
        <f>IFERROR('2a'!M14/'1h'!$D15*1000,"na")</f>
        <v>na</v>
      </c>
    </row>
    <row r="16" spans="1:13">
      <c r="A16" s="28">
        <v>1991</v>
      </c>
      <c r="B16" s="9">
        <f>IFERROR('2a'!B15/'1h'!$B16*1000,"na")</f>
        <v>68.213297797161147</v>
      </c>
      <c r="C16" s="10">
        <f>IFERROR('2a'!C15/'1h'!$B16*1000,"na")</f>
        <v>1350.3906959840085</v>
      </c>
      <c r="D16" s="10">
        <f>IFERROR('2a'!D15/'1h'!$B16*1000,"na")</f>
        <v>2735.2736890988754</v>
      </c>
      <c r="E16" s="11">
        <f>IFERROR('2a'!E15/'1h'!$B16*1000,"na")</f>
        <v>4153.8776828800446</v>
      </c>
      <c r="F16" s="10">
        <f>IFERROR('2a'!F15/'1h'!$C16*1000,"na")</f>
        <v>50.031867431485018</v>
      </c>
      <c r="G16" s="10">
        <f>IFERROR('2a'!G15/'1h'!$C16*1000,"na")</f>
        <v>148.8421499893775</v>
      </c>
      <c r="H16" s="10">
        <f>IFERROR('2a'!H15/'1h'!$C16*1000,"na")</f>
        <v>80.286316615188511</v>
      </c>
      <c r="I16" s="11">
        <f>IFERROR('2a'!I15/'1h'!$C16*1000,"na")</f>
        <v>279.16033403605104</v>
      </c>
      <c r="J16" s="149" t="str">
        <f>IFERROR('2a'!J15/'1h'!$D16*1000,"na")</f>
        <v>na</v>
      </c>
      <c r="K16" s="150" t="str">
        <f>IFERROR('2a'!K15/'1h'!$D16*1000,"na")</f>
        <v>na</v>
      </c>
      <c r="L16" s="150" t="str">
        <f>IFERROR('2a'!L15/'1h'!$D16*1000,"na")</f>
        <v>na</v>
      </c>
      <c r="M16" s="97" t="str">
        <f>IFERROR('2a'!M15/'1h'!$D16*1000,"na")</f>
        <v>na</v>
      </c>
    </row>
    <row r="17" spans="1:13">
      <c r="A17" s="28">
        <v>1992</v>
      </c>
      <c r="B17" s="9">
        <f>IFERROR('2a'!B16/'1h'!$B17*1000,"na")</f>
        <v>192.94140030441397</v>
      </c>
      <c r="C17" s="10">
        <f>IFERROR('2a'!C16/'1h'!$B17*1000,"na")</f>
        <v>1569.5015220700152</v>
      </c>
      <c r="D17" s="10" t="str">
        <f>IFERROR('2a'!D16/'1h'!$B17*1000,"na")</f>
        <v>na</v>
      </c>
      <c r="E17" s="11" t="str">
        <f>IFERROR('2a'!E16/'1h'!$B17*1000,"na")</f>
        <v>na</v>
      </c>
      <c r="F17" s="10">
        <f>IFERROR('2a'!F16/'1h'!$C17*1000,"na")</f>
        <v>53.424474602300243</v>
      </c>
      <c r="G17" s="10">
        <f>IFERROR('2a'!G16/'1h'!$C17*1000,"na")</f>
        <v>130.39043851302853</v>
      </c>
      <c r="H17" s="10" t="str">
        <f>IFERROR('2a'!H16/'1h'!$C17*1000,"na")</f>
        <v>na</v>
      </c>
      <c r="I17" s="10" t="str">
        <f>IFERROR('2a'!I16/'1h'!$C17*1000,"na")</f>
        <v>na</v>
      </c>
      <c r="J17" s="149" t="str">
        <f>IFERROR('2a'!J16/'1h'!$D17*1000,"na")</f>
        <v>na</v>
      </c>
      <c r="K17" s="150" t="str">
        <f>IFERROR('2a'!K16/'1h'!$D17*1000,"na")</f>
        <v>na</v>
      </c>
      <c r="L17" s="150" t="str">
        <f>IFERROR('2a'!L16/'1h'!$D17*1000,"na")</f>
        <v>na</v>
      </c>
      <c r="M17" s="97" t="str">
        <f>IFERROR('2a'!M16/'1h'!$D17*1000,"na")</f>
        <v>na</v>
      </c>
    </row>
    <row r="18" spans="1:13">
      <c r="A18" s="28">
        <v>1993</v>
      </c>
      <c r="B18" s="9">
        <f>IFERROR('2a'!B17/'1h'!$B18*1000,"na")</f>
        <v>431.19909702549575</v>
      </c>
      <c r="C18" s="10">
        <f>IFERROR('2a'!C17/'1h'!$B18*1000,"na")</f>
        <v>1150.4094369688385</v>
      </c>
      <c r="D18" s="10" t="str">
        <f>IFERROR('2a'!D17/'1h'!$B18*1000,"na")</f>
        <v>na</v>
      </c>
      <c r="E18" s="11" t="str">
        <f>IFERROR('2a'!E17/'1h'!$B18*1000,"na")</f>
        <v>na</v>
      </c>
      <c r="F18" s="10">
        <f>IFERROR('2a'!F17/'1h'!$C18*1000,"na")</f>
        <v>23.814020178705697</v>
      </c>
      <c r="G18" s="10">
        <f>IFERROR('2a'!G17/'1h'!$C18*1000,"na")</f>
        <v>238.41997586948537</v>
      </c>
      <c r="H18" s="10" t="str">
        <f>IFERROR('2a'!H17/'1h'!$C18*1000,"na")</f>
        <v>na</v>
      </c>
      <c r="I18" s="10" t="str">
        <f>IFERROR('2a'!I17/'1h'!$C18*1000,"na")</f>
        <v>na</v>
      </c>
      <c r="J18" s="149" t="str">
        <f>IFERROR('2a'!J17/'1h'!$D18*1000,"na")</f>
        <v>na</v>
      </c>
      <c r="K18" s="150" t="str">
        <f>IFERROR('2a'!K17/'1h'!$D18*1000,"na")</f>
        <v>na</v>
      </c>
      <c r="L18" s="150" t="str">
        <f>IFERROR('2a'!L17/'1h'!$D18*1000,"na")</f>
        <v>na</v>
      </c>
      <c r="M18" s="97" t="str">
        <f>IFERROR('2a'!M17/'1h'!$D18*1000,"na")</f>
        <v>na</v>
      </c>
    </row>
    <row r="19" spans="1:13">
      <c r="A19" s="28">
        <v>1994</v>
      </c>
      <c r="B19" s="9">
        <f>IFERROR('2a'!B18/'1h'!$B19*1000,"na")</f>
        <v>8.9527287125228217</v>
      </c>
      <c r="C19" s="10">
        <f>IFERROR('2a'!C18/'1h'!$B19*1000,"na")</f>
        <v>821.2533820197533</v>
      </c>
      <c r="D19" s="10">
        <f>IFERROR('2a'!D18/'1h'!$B19*1000,"na")</f>
        <v>599.85702030311688</v>
      </c>
      <c r="E19" s="11">
        <f>IFERROR('2a'!E18/'1h'!$B19*1000,"na")</f>
        <v>1430.0631310353931</v>
      </c>
      <c r="F19" s="10">
        <f>IFERROR('2a'!F18/'1h'!$C19*1000,"na")</f>
        <v>61.664268672482578</v>
      </c>
      <c r="G19" s="10">
        <f>IFERROR('2a'!G18/'1h'!$C19*1000,"na")</f>
        <v>271.38980457865119</v>
      </c>
      <c r="H19" s="10" t="str">
        <f>IFERROR('2a'!H18/'1h'!$C19*1000,"na")</f>
        <v>na</v>
      </c>
      <c r="I19" s="10" t="str">
        <f>IFERROR('2a'!I18/'1h'!$C19*1000,"na")</f>
        <v>na</v>
      </c>
      <c r="J19" s="149" t="str">
        <f>IFERROR('2a'!J18/'1h'!$D19*1000,"na")</f>
        <v>na</v>
      </c>
      <c r="K19" s="150" t="str">
        <f>IFERROR('2a'!K18/'1h'!$D19*1000,"na")</f>
        <v>na</v>
      </c>
      <c r="L19" s="150" t="str">
        <f>IFERROR('2a'!L18/'1h'!$D19*1000,"na")</f>
        <v>na</v>
      </c>
      <c r="M19" s="97" t="str">
        <f>IFERROR('2a'!M18/'1h'!$D19*1000,"na")</f>
        <v>na</v>
      </c>
    </row>
    <row r="20" spans="1:13">
      <c r="A20" s="28">
        <v>1995</v>
      </c>
      <c r="B20" s="9">
        <f>IFERROR('2a'!B19/'1h'!$B20*1000,"na")</f>
        <v>64.867042707493951</v>
      </c>
      <c r="C20" s="10">
        <f>IFERROR('2a'!C19/'1h'!$B20*1000,"na")</f>
        <v>828.10801876071821</v>
      </c>
      <c r="D20" s="10" t="str">
        <f>IFERROR('2a'!D19/'1h'!$B20*1000,"na")</f>
        <v>na</v>
      </c>
      <c r="E20" s="11" t="str">
        <f>IFERROR('2a'!E19/'1h'!$B20*1000,"na")</f>
        <v>na</v>
      </c>
      <c r="F20" s="10">
        <f>IFERROR('2a'!F19/'1h'!$C20*1000,"na")</f>
        <v>183.25546662581857</v>
      </c>
      <c r="G20" s="10">
        <f>IFERROR('2a'!G19/'1h'!$C20*1000,"na")</f>
        <v>399.18814383640336</v>
      </c>
      <c r="H20" s="10" t="str">
        <f>IFERROR('2a'!H19/'1h'!$C20*1000,"na")</f>
        <v>na</v>
      </c>
      <c r="I20" s="10" t="str">
        <f>IFERROR('2a'!I19/'1h'!$C20*1000,"na")</f>
        <v>na</v>
      </c>
      <c r="J20" s="149" t="str">
        <f>IFERROR('2a'!J19/'1h'!$D20*1000,"na")</f>
        <v>na</v>
      </c>
      <c r="K20" s="150" t="str">
        <f>IFERROR('2a'!K19/'1h'!$D20*1000,"na")</f>
        <v>na</v>
      </c>
      <c r="L20" s="150" t="str">
        <f>IFERROR('2a'!L19/'1h'!$D20*1000,"na")</f>
        <v>na</v>
      </c>
      <c r="M20" s="97" t="str">
        <f>IFERROR('2a'!M19/'1h'!$D20*1000,"na")</f>
        <v>na</v>
      </c>
    </row>
    <row r="21" spans="1:13">
      <c r="A21" s="28">
        <v>1996</v>
      </c>
      <c r="B21" s="9">
        <f>IFERROR('2a'!B20/'1h'!$B21*1000,"na")</f>
        <v>175.20823715954478</v>
      </c>
      <c r="C21" s="10">
        <f>IFERROR('2a'!C20/'1h'!$B21*1000,"na")</f>
        <v>1005.6861288962931</v>
      </c>
      <c r="D21" s="10">
        <f>IFERROR('2a'!D20/'1h'!$B21*1000,"na")</f>
        <v>1095.168897898561</v>
      </c>
      <c r="E21" s="11">
        <f>IFERROR('2a'!E20/'1h'!$B21*1000,"na")</f>
        <v>2276.0632639543983</v>
      </c>
      <c r="F21" s="10">
        <f>IFERROR('2a'!F20/'1h'!$C21*1000,"na")</f>
        <v>408.57189831274792</v>
      </c>
      <c r="G21" s="10">
        <f>IFERROR('2a'!G20/'1h'!$C21*1000,"na")</f>
        <v>652.8617521938387</v>
      </c>
      <c r="H21" s="10" t="str">
        <f>IFERROR('2a'!H20/'1h'!$C21*1000,"na")</f>
        <v>na</v>
      </c>
      <c r="I21" s="10" t="str">
        <f>IFERROR('2a'!I20/'1h'!$C21*1000,"na")</f>
        <v>na</v>
      </c>
      <c r="J21" s="149" t="str">
        <f>IFERROR('2a'!J20/'1h'!$D21*1000,"na")</f>
        <v>na</v>
      </c>
      <c r="K21" s="150" t="str">
        <f>IFERROR('2a'!K20/'1h'!$D21*1000,"na")</f>
        <v>na</v>
      </c>
      <c r="L21" s="150" t="str">
        <f>IFERROR('2a'!L20/'1h'!$D21*1000,"na")</f>
        <v>na</v>
      </c>
      <c r="M21" s="97" t="str">
        <f>IFERROR('2a'!M20/'1h'!$D21*1000,"na")</f>
        <v>na</v>
      </c>
    </row>
    <row r="22" spans="1:13">
      <c r="A22" s="28">
        <v>1997</v>
      </c>
      <c r="B22" s="9">
        <f>IFERROR('2a'!B21/'1h'!$B22*1000,"na")</f>
        <v>773.51932724582241</v>
      </c>
      <c r="C22" s="10">
        <f>IFERROR('2a'!C21/'1h'!$B22*1000,"na")</f>
        <v>1999.2871837441801</v>
      </c>
      <c r="D22" s="10">
        <f>IFERROR('2a'!D21/'1h'!$B22*1000,"na")</f>
        <v>5901.3119428303307</v>
      </c>
      <c r="E22" s="11">
        <f>IFERROR('2a'!E21/'1h'!$B22*1000,"na")</f>
        <v>8674.1184538203343</v>
      </c>
      <c r="F22" s="10">
        <f>IFERROR('2a'!F21/'1h'!$C22*1000,"na")</f>
        <v>739.21126271719572</v>
      </c>
      <c r="G22" s="10">
        <f>IFERROR('2a'!G21/'1h'!$C22*1000,"na")</f>
        <v>1603.6595153907897</v>
      </c>
      <c r="H22" s="10">
        <f>IFERROR('2a'!H21/'1h'!$C22*1000,"na")</f>
        <v>30.13297468491724</v>
      </c>
      <c r="I22" s="11">
        <f>IFERROR('2a'!I21/'1h'!$C22*1000,"na")</f>
        <v>2373.003752792903</v>
      </c>
      <c r="J22" s="149">
        <f>IFERROR('2a'!J21/'1h'!$D22*1000,"na")</f>
        <v>247.69037141505476</v>
      </c>
      <c r="K22" s="150">
        <f>IFERROR('2a'!K21/'1h'!$D22*1000,"na")</f>
        <v>691.84422168863978</v>
      </c>
      <c r="L22" s="150">
        <f>IFERROR('2a'!L21/'1h'!$D22*1000,"na")</f>
        <v>478.67108211120143</v>
      </c>
      <c r="M22" s="97">
        <f>IFERROR('2a'!M21/'1h'!$D22*1000,"na")</f>
        <v>1418.205675214896</v>
      </c>
    </row>
    <row r="23" spans="1:13">
      <c r="A23" s="28">
        <v>1998</v>
      </c>
      <c r="B23" s="9">
        <f>IFERROR('2a'!B22/'1h'!$B23*1000,"na")</f>
        <v>1122.6514486391573</v>
      </c>
      <c r="C23" s="10">
        <f>IFERROR('2a'!C22/'1h'!$B23*1000,"na")</f>
        <v>2222.050126724866</v>
      </c>
      <c r="D23" s="10">
        <f>IFERROR('2a'!D22/'1h'!$B23*1000,"na")</f>
        <v>1354.7352030082661</v>
      </c>
      <c r="E23" s="11">
        <f>IFERROR('2a'!E22/'1h'!$B23*1000,"na")</f>
        <v>4699.4367783722901</v>
      </c>
      <c r="F23" s="10">
        <f>IFERROR('2a'!F22/'1h'!$C23*1000,"na")</f>
        <v>2347.5919089868958</v>
      </c>
      <c r="G23" s="10">
        <f>IFERROR('2a'!G22/'1h'!$C23*1000,"na")</f>
        <v>2417.0088293072558</v>
      </c>
      <c r="H23" s="10">
        <f>IFERROR('2a'!H22/'1h'!$C23*1000,"na")</f>
        <v>186.1796515769704</v>
      </c>
      <c r="I23" s="11">
        <f>IFERROR('2a'!I22/'1h'!$C23*1000,"na")</f>
        <v>4950.7803898711227</v>
      </c>
      <c r="J23" s="149">
        <f>IFERROR('2a'!J22/'1h'!$D23*1000,"na")</f>
        <v>387.71986089996665</v>
      </c>
      <c r="K23" s="150">
        <f>IFERROR('2a'!K22/'1h'!$D23*1000,"na")</f>
        <v>786.41079644012927</v>
      </c>
      <c r="L23" s="150">
        <f>IFERROR('2a'!L22/'1h'!$D23*1000,"na")</f>
        <v>440.69175055907783</v>
      </c>
      <c r="M23" s="97">
        <f>IFERROR('2a'!M22/'1h'!$D23*1000,"na")</f>
        <v>1614.8224078991736</v>
      </c>
    </row>
    <row r="24" spans="1:13">
      <c r="A24" s="28">
        <v>1999</v>
      </c>
      <c r="B24" s="9">
        <f>IFERROR('2a'!B23/'1h'!$B24*1000,"na")</f>
        <v>1076.5208333333333</v>
      </c>
      <c r="C24" s="10">
        <f>IFERROR('2a'!C23/'1h'!$B24*1000,"na")</f>
        <v>3281.2243589743589</v>
      </c>
      <c r="D24" s="10">
        <f>IFERROR('2a'!D23/'1h'!$B24*1000,"na")</f>
        <v>1681.0544871794873</v>
      </c>
      <c r="E24" s="11">
        <f>IFERROR('2a'!E23/'1h'!$B24*1000,"na")</f>
        <v>6038.7996794871797</v>
      </c>
      <c r="F24" s="10">
        <f>IFERROR('2a'!F23/'1h'!$C24*1000,"na")</f>
        <v>354.52173345800082</v>
      </c>
      <c r="G24" s="10">
        <f>IFERROR('2a'!G23/'1h'!$C24*1000,"na")</f>
        <v>1128.8242840679293</v>
      </c>
      <c r="H24" s="10">
        <f>IFERROR('2a'!H23/'1h'!$C24*1000,"na")</f>
        <v>17.458522690208525</v>
      </c>
      <c r="I24" s="11">
        <f>IFERROR('2a'!I23/'1h'!$C24*1000,"na")</f>
        <v>1500.8045402161388</v>
      </c>
      <c r="J24" s="149">
        <f>IFERROR('2a'!J23/'1h'!$D24*1000,"na")</f>
        <v>499.56614719350677</v>
      </c>
      <c r="K24" s="150">
        <f>IFERROR('2a'!K23/'1h'!$D24*1000,"na")</f>
        <v>805.53547367384533</v>
      </c>
      <c r="L24" s="150">
        <f>IFERROR('2a'!L23/'1h'!$D24*1000,"na")</f>
        <v>519.06637905858565</v>
      </c>
      <c r="M24" s="97">
        <f>IFERROR('2a'!M23/'1h'!$D24*1000,"na")</f>
        <v>1824.1679999259377</v>
      </c>
    </row>
    <row r="25" spans="1:13">
      <c r="A25" s="28">
        <v>2000</v>
      </c>
      <c r="B25" s="9">
        <f>IFERROR('2a'!B24/'1h'!$B25*1000,"na")</f>
        <v>269.19092922821949</v>
      </c>
      <c r="C25" s="10">
        <f>IFERROR('2a'!C24/'1h'!$B25*1000,"na")</f>
        <v>3701.0772736689451</v>
      </c>
      <c r="D25" s="10">
        <f>IFERROR('2a'!D24/'1h'!$B25*1000,"na")</f>
        <v>610.85082309445272</v>
      </c>
      <c r="E25" s="11">
        <f>IFERROR('2a'!E24/'1h'!$B25*1000,"na")</f>
        <v>4581.1190259916166</v>
      </c>
      <c r="F25" s="10">
        <f>IFERROR('2a'!F24/'1h'!$C25*1000,"na")</f>
        <v>800.37228979375982</v>
      </c>
      <c r="G25" s="10">
        <f>IFERROR('2a'!G24/'1h'!$C25*1000,"na")</f>
        <v>2153.6287678477001</v>
      </c>
      <c r="H25" s="10">
        <f>IFERROR('2a'!H24/'1h'!$C25*1000,"na")</f>
        <v>328.8863035430989</v>
      </c>
      <c r="I25" s="11">
        <f>IFERROR('2a'!I24/'1h'!$C25*1000,"na")</f>
        <v>3282.8873611845584</v>
      </c>
      <c r="J25" s="149">
        <f>IFERROR('2a'!J24/'1h'!$D25*1000,"na")</f>
        <v>601.33221774903382</v>
      </c>
      <c r="K25" s="150">
        <f>IFERROR('2a'!K24/'1h'!$D25*1000,"na")</f>
        <v>813.69263464053392</v>
      </c>
      <c r="L25" s="150">
        <f>IFERROR('2a'!L24/'1h'!$D25*1000,"na")</f>
        <v>643.51542005318868</v>
      </c>
      <c r="M25" s="97">
        <f>IFERROR('2a'!M24/'1h'!$D25*1000,"na")</f>
        <v>2058.5402724427563</v>
      </c>
    </row>
    <row r="26" spans="1:13">
      <c r="A26" s="28">
        <v>2001</v>
      </c>
      <c r="B26" s="9">
        <f>IFERROR('2a'!B25/'1h'!$B26*1000,"na")</f>
        <v>54.211035818005811</v>
      </c>
      <c r="C26" s="10">
        <f>IFERROR('2a'!C25/'1h'!$B26*1000,"na")</f>
        <v>2730.7599225556633</v>
      </c>
      <c r="D26" s="10">
        <f>IFERROR('2a'!D25/'1h'!$B26*1000,"na")</f>
        <v>2.4346563407550823</v>
      </c>
      <c r="E26" s="11">
        <f>IFERROR('2a'!E25/'1h'!$B26*1000,"na")</f>
        <v>2787.4056147144242</v>
      </c>
      <c r="F26" s="10">
        <f>IFERROR('2a'!F25/'1h'!$C26*1000,"na")</f>
        <v>3.5451177447515225</v>
      </c>
      <c r="G26" s="10">
        <f>IFERROR('2a'!G25/'1h'!$C26*1000,"na")</f>
        <v>1547.5727121747648</v>
      </c>
      <c r="H26" s="10">
        <f>IFERROR('2a'!H25/'1h'!$C26*1000,"na")</f>
        <v>17.225226759783673</v>
      </c>
      <c r="I26" s="11">
        <f>IFERROR('2a'!I25/'1h'!$C26*1000,"na")</f>
        <v>1568.3430566792999</v>
      </c>
      <c r="J26" s="149">
        <f>IFERROR('2a'!J25/'1h'!$D26*1000,"na")</f>
        <v>563.97212234568997</v>
      </c>
      <c r="K26" s="150">
        <f>IFERROR('2a'!K25/'1h'!$D26*1000,"na")</f>
        <v>874.16858634356151</v>
      </c>
      <c r="L26" s="150">
        <f>IFERROR('2a'!L25/'1h'!$D26*1000,"na")</f>
        <v>647.28942164809769</v>
      </c>
      <c r="M26" s="97">
        <f>IFERROR('2a'!M25/'1h'!$D26*1000,"na")</f>
        <v>2085.4301303373491</v>
      </c>
    </row>
    <row r="27" spans="1:13">
      <c r="A27" s="28">
        <v>2002</v>
      </c>
      <c r="B27" s="9">
        <f>IFERROR('2a'!B26/'1h'!$B27*1000,"na")</f>
        <v>595.04534241339763</v>
      </c>
      <c r="C27" s="10">
        <f>IFERROR('2a'!C26/'1h'!$B27*1000,"na")</f>
        <v>2029.8460790104587</v>
      </c>
      <c r="D27" s="10">
        <f>IFERROR('2a'!D26/'1h'!$B27*1000,"na")</f>
        <v>63.739967339564288</v>
      </c>
      <c r="E27" s="11">
        <f>IFERROR('2a'!E26/'1h'!$B27*1000,"na")</f>
        <v>2688.6313887634205</v>
      </c>
      <c r="F27" s="10">
        <f>IFERROR('2a'!F26/'1h'!$C27*1000,"na")</f>
        <v>55.034903827679699</v>
      </c>
      <c r="G27" s="10">
        <f>IFERROR('2a'!G26/'1h'!$C27*1000,"na")</f>
        <v>1267.8308391862176</v>
      </c>
      <c r="H27" s="10">
        <f>IFERROR('2a'!H26/'1h'!$C27*1000,"na")</f>
        <v>59.389876822577541</v>
      </c>
      <c r="I27" s="11">
        <f>IFERROR('2a'!I26/'1h'!$C27*1000,"na")</f>
        <v>1382.2556198364748</v>
      </c>
      <c r="J27" s="149">
        <f>IFERROR('2a'!J26/'1h'!$D27*1000,"na")</f>
        <v>629.25097742920525</v>
      </c>
      <c r="K27" s="150">
        <f>IFERROR('2a'!K26/'1h'!$D27*1000,"na")</f>
        <v>838.73898616038946</v>
      </c>
      <c r="L27" s="150">
        <f>IFERROR('2a'!L26/'1h'!$D27*1000,"na")</f>
        <v>572.33612038605133</v>
      </c>
      <c r="M27" s="97">
        <f>IFERROR('2a'!M26/'1h'!$D27*1000,"na")</f>
        <v>2040.3260839756458</v>
      </c>
    </row>
    <row r="28" spans="1:13">
      <c r="A28" s="28">
        <v>2003</v>
      </c>
      <c r="B28" s="9">
        <f>IFERROR('2a'!B27/'1h'!$B28*1000,"na")</f>
        <v>1335.0988560470807</v>
      </c>
      <c r="C28" s="10">
        <f>IFERROR('2a'!C27/'1h'!$B28*1000,"na")</f>
        <v>1970.8044038881173</v>
      </c>
      <c r="D28" s="10">
        <f>IFERROR('2a'!D27/'1h'!$B28*1000,"na")</f>
        <v>238.79851881240495</v>
      </c>
      <c r="E28" s="11">
        <f>IFERROR('2a'!E27/'1h'!$B28*1000,"na")</f>
        <v>3544.7017787476034</v>
      </c>
      <c r="F28" s="10">
        <f>IFERROR('2a'!F27/'1h'!$C28*1000,"na")</f>
        <v>424.7385764499121</v>
      </c>
      <c r="G28" s="10">
        <f>IFERROR('2a'!G27/'1h'!$C28*1000,"na")</f>
        <v>1630.0021968365552</v>
      </c>
      <c r="H28" s="10">
        <f>IFERROR('2a'!H27/'1h'!$C28*1000,"na")</f>
        <v>87.721880492091373</v>
      </c>
      <c r="I28" s="11">
        <f>IFERROR('2a'!I27/'1h'!$C28*1000,"na")</f>
        <v>2142.4626537785589</v>
      </c>
      <c r="J28" s="149">
        <f>IFERROR('2a'!J27/'1h'!$D28*1000,"na")</f>
        <v>732.911374627236</v>
      </c>
      <c r="K28" s="150">
        <f>IFERROR('2a'!K27/'1h'!$D28*1000,"na")</f>
        <v>876.68007134597644</v>
      </c>
      <c r="L28" s="150">
        <f>IFERROR('2a'!L27/'1h'!$D28*1000,"na")</f>
        <v>557.81567707674992</v>
      </c>
      <c r="M28" s="97">
        <f>IFERROR('2a'!M27/'1h'!$D28*1000,"na")</f>
        <v>2167.4071230499621</v>
      </c>
    </row>
    <row r="29" spans="1:13">
      <c r="A29" s="28">
        <v>2004</v>
      </c>
      <c r="B29" s="9">
        <f>IFERROR('2a'!B28/'1h'!$B29*1000,"na")</f>
        <v>1642.2035292734938</v>
      </c>
      <c r="C29" s="10">
        <f>IFERROR('2a'!C28/'1h'!$B29*1000,"na")</f>
        <v>2611.4995214828991</v>
      </c>
      <c r="D29" s="10">
        <f>IFERROR('2a'!D28/'1h'!$B29*1000,"na")</f>
        <v>270.63416108396717</v>
      </c>
      <c r="E29" s="11">
        <f>IFERROR('2a'!E28/'1h'!$B29*1000,"na")</f>
        <v>4524.3372118403595</v>
      </c>
      <c r="F29" s="10">
        <f>IFERROR('2a'!F28/'1h'!$C29*1000,"na")</f>
        <v>530.75095382787697</v>
      </c>
      <c r="G29" s="10">
        <f>IFERROR('2a'!G28/'1h'!$C29*1000,"na")</f>
        <v>3173.0552192090654</v>
      </c>
      <c r="H29" s="10">
        <f>IFERROR('2a'!H28/'1h'!$C29*1000,"na")</f>
        <v>120.55013593475132</v>
      </c>
      <c r="I29" s="11">
        <f>IFERROR('2a'!I28/'1h'!$C29*1000,"na")</f>
        <v>3824.356308971694</v>
      </c>
      <c r="J29" s="149">
        <f>IFERROR('2a'!J28/'1h'!$D29*1000,"na")</f>
        <v>963.35524797889332</v>
      </c>
      <c r="K29" s="150">
        <f>IFERROR('2a'!K28/'1h'!$D29*1000,"na")</f>
        <v>974.62300907476356</v>
      </c>
      <c r="L29" s="150">
        <f>IFERROR('2a'!L28/'1h'!$D29*1000,"na")</f>
        <v>586.16886158053728</v>
      </c>
      <c r="M29" s="97">
        <f>IFERROR('2a'!M28/'1h'!$D29*1000,"na")</f>
        <v>2524.1471186341937</v>
      </c>
    </row>
    <row r="30" spans="1:13">
      <c r="A30" s="28">
        <v>2005</v>
      </c>
      <c r="B30" s="9">
        <f>IFERROR('2a'!B29/'1h'!$B30*1000,"na")</f>
        <v>2417.1175635054337</v>
      </c>
      <c r="C30" s="10">
        <f>IFERROR('2a'!C29/'1h'!$B30*1000,"na")</f>
        <v>3928.7880289366767</v>
      </c>
      <c r="D30" s="10">
        <f>IFERROR('2a'!D29/'1h'!$B30*1000,"na")</f>
        <v>279.45529019258089</v>
      </c>
      <c r="E30" s="11">
        <f>IFERROR('2a'!E29/'1h'!$B30*1000,"na")</f>
        <v>6625.3608826346899</v>
      </c>
      <c r="F30" s="10">
        <f>IFERROR('2a'!F29/'1h'!$C30*1000,"na")</f>
        <v>955.25307102613817</v>
      </c>
      <c r="G30" s="10">
        <f>IFERROR('2a'!G29/'1h'!$C30*1000,"na")</f>
        <v>4235.2937101690222</v>
      </c>
      <c r="H30" s="10">
        <f>IFERROR('2a'!H29/'1h'!$C30*1000,"na")</f>
        <v>259.02835503833012</v>
      </c>
      <c r="I30" s="11">
        <f>IFERROR('2a'!I29/'1h'!$C30*1000,"na")</f>
        <v>5449.5751362334895</v>
      </c>
      <c r="J30" s="149">
        <f>IFERROR('2a'!J29/'1h'!$D30*1000,"na")</f>
        <v>1182.6731122473464</v>
      </c>
      <c r="K30" s="150">
        <f>IFERROR('2a'!K29/'1h'!$D30*1000,"na")</f>
        <v>1112.3198989102393</v>
      </c>
      <c r="L30" s="150">
        <f>IFERROR('2a'!L29/'1h'!$D30*1000,"na")</f>
        <v>596.37366179444155</v>
      </c>
      <c r="M30" s="97">
        <f>IFERROR('2a'!M29/'1h'!$D30*1000,"na")</f>
        <v>2891.3666729520269</v>
      </c>
    </row>
    <row r="31" spans="1:13">
      <c r="A31" s="28">
        <v>2006</v>
      </c>
      <c r="B31" s="9">
        <f>IFERROR('2a'!B30/'1h'!$B31*1000,"na")</f>
        <v>2054.1582846769047</v>
      </c>
      <c r="C31" s="10">
        <f>IFERROR('2a'!C30/'1h'!$B31*1000,"na")</f>
        <v>3283.7888229233108</v>
      </c>
      <c r="D31" s="10">
        <f>IFERROR('2a'!D30/'1h'!$B31*1000,"na")</f>
        <v>367.65451482589987</v>
      </c>
      <c r="E31" s="11">
        <f>IFERROR('2a'!E30/'1h'!$B31*1000,"na")</f>
        <v>5705.6016224261157</v>
      </c>
      <c r="F31" s="10">
        <f>IFERROR('2a'!F30/'1h'!$C31*1000,"na")</f>
        <v>1054.7049781246305</v>
      </c>
      <c r="G31" s="10">
        <f>IFERROR('2a'!G30/'1h'!$C31*1000,"na")</f>
        <v>3760.7733238737142</v>
      </c>
      <c r="H31" s="10">
        <f>IFERROR('2a'!H30/'1h'!$C31*1000,"na")</f>
        <v>241.92976232706636</v>
      </c>
      <c r="I31" s="11">
        <f>IFERROR('2a'!I30/'1h'!$C31*1000,"na")</f>
        <v>5057.4080643254101</v>
      </c>
      <c r="J31" s="149">
        <f>IFERROR('2a'!J30/'1h'!$D31*1000,"na")</f>
        <v>1487.3819888192295</v>
      </c>
      <c r="K31" s="150">
        <f>IFERROR('2a'!K30/'1h'!$D31*1000,"na")</f>
        <v>1151.9737581698616</v>
      </c>
      <c r="L31" s="150">
        <f>IFERROR('2a'!L30/'1h'!$D31*1000,"na")</f>
        <v>630.07789612708177</v>
      </c>
      <c r="M31" s="97">
        <f>IFERROR('2a'!M30/'1h'!$D31*1000,"na")</f>
        <v>3269.4336431161728</v>
      </c>
    </row>
    <row r="32" spans="1:13">
      <c r="A32" s="28">
        <v>2007</v>
      </c>
      <c r="B32" s="9">
        <f>IFERROR('2a'!B31/'1h'!$B32*1000,"na")</f>
        <v>4211.9513121748778</v>
      </c>
      <c r="C32" s="10">
        <f>IFERROR('2a'!C31/'1h'!$B32*1000,"na")</f>
        <v>3215.4567771348416</v>
      </c>
      <c r="D32" s="10">
        <f>IFERROR('2a'!D31/'1h'!$B32*1000,"na")</f>
        <v>926.76515284353241</v>
      </c>
      <c r="E32" s="11">
        <f>IFERROR('2a'!E31/'1h'!$B32*1000,"na")</f>
        <v>8354.1732421532506</v>
      </c>
      <c r="F32" s="10">
        <f>IFERROR('2a'!F31/'1h'!$C32*1000,"na")</f>
        <v>500.61755198533308</v>
      </c>
      <c r="G32" s="10">
        <f>IFERROR('2a'!G31/'1h'!$C32*1000,"na")</f>
        <v>4682.4456023544171</v>
      </c>
      <c r="H32" s="10">
        <f>IFERROR('2a'!H31/'1h'!$C32*1000,"na")</f>
        <v>137.1086023061707</v>
      </c>
      <c r="I32" s="11">
        <f>IFERROR('2a'!I31/'1h'!$C32*1000,"na")</f>
        <v>5320.1717566459211</v>
      </c>
      <c r="J32" s="149">
        <f>IFERROR('2a'!J31/'1h'!$D32*1000,"na")</f>
        <v>1555.591429313776</v>
      </c>
      <c r="K32" s="150">
        <f>IFERROR('2a'!K31/'1h'!$D32*1000,"na")</f>
        <v>1322.7359174343185</v>
      </c>
      <c r="L32" s="150">
        <f>IFERROR('2a'!L31/'1h'!$D32*1000,"na")</f>
        <v>585.71724781547641</v>
      </c>
      <c r="M32" s="97">
        <f>IFERROR('2a'!M31/'1h'!$D32*1000,"na")</f>
        <v>3464.0445945635706</v>
      </c>
    </row>
    <row r="33" spans="1:13">
      <c r="A33" s="28">
        <v>2008</v>
      </c>
      <c r="B33" s="9">
        <f>IFERROR('2a'!B32/'1h'!$B33*1000,"na")</f>
        <v>1668.7502842674994</v>
      </c>
      <c r="C33" s="10">
        <f>IFERROR('2a'!C32/'1h'!$B33*1000,"na")</f>
        <v>3286.168680543974</v>
      </c>
      <c r="D33" s="10">
        <f>IFERROR('2a'!D32/'1h'!$B33*1000,"na")</f>
        <v>262.8708743310238</v>
      </c>
      <c r="E33" s="11">
        <f>IFERROR('2a'!E32/'1h'!$B33*1000,"na")</f>
        <v>5217.7898391424978</v>
      </c>
      <c r="F33" s="10">
        <f>IFERROR('2a'!F32/'1h'!$C33*1000,"na")</f>
        <v>569.44105033661572</v>
      </c>
      <c r="G33" s="10">
        <f>IFERROR('2a'!G32/'1h'!$C33*1000,"na")</f>
        <v>4395.2538393349159</v>
      </c>
      <c r="H33" s="10">
        <f>IFERROR('2a'!H32/'1h'!$C33*1000,"na")</f>
        <v>197.65447183689116</v>
      </c>
      <c r="I33" s="11">
        <f>IFERROR('2a'!I32/'1h'!$C33*1000,"na")</f>
        <v>5162.3493615084226</v>
      </c>
      <c r="J33" s="149">
        <f>IFERROR('2a'!J32/'1h'!$D33*1000,"na")</f>
        <v>1696.9003109818368</v>
      </c>
      <c r="K33" s="150">
        <f>IFERROR('2a'!K32/'1h'!$D33*1000,"na")</f>
        <v>1306.9888544715311</v>
      </c>
      <c r="L33" s="150">
        <f>IFERROR('2a'!L32/'1h'!$D33*1000,"na")</f>
        <v>659.36656601001334</v>
      </c>
      <c r="M33" s="97">
        <f>IFERROR('2a'!M32/'1h'!$D33*1000,"na")</f>
        <v>3663.2557314633814</v>
      </c>
    </row>
    <row r="34" spans="1:13">
      <c r="A34" s="28">
        <v>2009</v>
      </c>
      <c r="B34" s="9">
        <f>IFERROR('2a'!B33/'1h'!$B34*1000,"na")</f>
        <v>2180.114062293299</v>
      </c>
      <c r="C34" s="10">
        <f>IFERROR('2a'!C33/'1h'!$B34*1000,"na")</f>
        <v>3142.1824702717799</v>
      </c>
      <c r="D34" s="10">
        <f>IFERROR('2a'!D33/'1h'!$B34*1000,"na")</f>
        <v>400.14551761645083</v>
      </c>
      <c r="E34" s="11">
        <f>IFERROR('2a'!E33/'1h'!$B34*1000,"na")</f>
        <v>5722.4420501815302</v>
      </c>
      <c r="F34" s="10">
        <f>IFERROR('2a'!F33/'1h'!$C34*1000,"na")</f>
        <v>940.0102916881076</v>
      </c>
      <c r="G34" s="10">
        <f>IFERROR('2a'!G33/'1h'!$C34*1000,"na")</f>
        <v>4729.0740189042062</v>
      </c>
      <c r="H34" s="10">
        <f>IFERROR('2a'!H33/'1h'!$C34*1000,"na")</f>
        <v>109.42501963545757</v>
      </c>
      <c r="I34" s="11">
        <f>IFERROR('2a'!I33/'1h'!$C34*1000,"na")</f>
        <v>5778.509330227771</v>
      </c>
      <c r="J34" s="149">
        <f>IFERROR('2a'!J33/'1h'!$D34*1000,"na")</f>
        <v>1464.7958505021807</v>
      </c>
      <c r="K34" s="150">
        <f>IFERROR('2a'!K33/'1h'!$D34*1000,"na")</f>
        <v>1276.1061887882192</v>
      </c>
      <c r="L34" s="150">
        <f>IFERROR('2a'!L33/'1h'!$D34*1000,"na")</f>
        <v>623.68443186167542</v>
      </c>
      <c r="M34" s="97">
        <f>IFERROR('2a'!M33/'1h'!$D34*1000,"na")</f>
        <v>3364.5864711520758</v>
      </c>
    </row>
    <row r="35" spans="1:13">
      <c r="A35" s="29">
        <v>2010</v>
      </c>
      <c r="B35" s="12">
        <f>IFERROR('2a'!B34/'1h'!$B35*1000,"na")</f>
        <v>2352.5564056113662</v>
      </c>
      <c r="C35" s="13">
        <f>IFERROR('2a'!C34/'1h'!$B35*1000,"na")</f>
        <v>2573.7816837093706</v>
      </c>
      <c r="D35" s="13">
        <f>IFERROR('2a'!D34/'1h'!$B35*1000,"na")</f>
        <v>508.52035392930395</v>
      </c>
      <c r="E35" s="14">
        <f>IFERROR('2a'!E34/'1h'!$B35*1000,"na")</f>
        <v>5434.8584432500402</v>
      </c>
      <c r="F35" s="13">
        <f>IFERROR('2a'!F34/'1h'!$C35*1000,"na")</f>
        <v>1697.7844105154402</v>
      </c>
      <c r="G35" s="13">
        <f>IFERROR('2a'!G34/'1h'!$C35*1000,"na")</f>
        <v>5240.8822178854316</v>
      </c>
      <c r="H35" s="13">
        <f>IFERROR('2a'!H34/'1h'!$C35*1000,"na")</f>
        <v>234.13787165652624</v>
      </c>
      <c r="I35" s="14">
        <f>IFERROR('2a'!I34/'1h'!$C35*1000,"na")</f>
        <v>7172.8045000573975</v>
      </c>
      <c r="J35" s="151">
        <f>IFERROR('2a'!J34/'1h'!$D35*1000,"na")</f>
        <v>1764.9857313388973</v>
      </c>
      <c r="K35" s="152">
        <f>IFERROR('2a'!K34/'1h'!$D35*1000,"na")</f>
        <v>1302.0889785413597</v>
      </c>
      <c r="L35" s="152">
        <f>IFERROR('2a'!L34/'1h'!$D35*1000,"na")</f>
        <v>721.37665846361119</v>
      </c>
      <c r="M35" s="98">
        <f>IFERROR('2a'!M34/'1h'!$D35*1000,"na")</f>
        <v>3788.4513683438677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</row>
    <row r="38" spans="1:13">
      <c r="A38" s="15" t="s">
        <v>53</v>
      </c>
      <c r="B38" s="82" t="str">
        <f>IFERROR((POWER(B15/B6,1/($A15-$A6))-1)*100,"na")</f>
        <v>na</v>
      </c>
      <c r="C38" s="83" t="str">
        <f t="shared" ref="C38:M38" si="0">IFERROR((POWER(C15/C6,1/($A15-$A6))-1)*100,"na")</f>
        <v>na</v>
      </c>
      <c r="D38" s="83" t="str">
        <f t="shared" si="0"/>
        <v>na</v>
      </c>
      <c r="E38" s="83" t="str">
        <f t="shared" si="0"/>
        <v>na</v>
      </c>
      <c r="F38" s="83" t="str">
        <f t="shared" si="0"/>
        <v>na</v>
      </c>
      <c r="G38" s="83" t="str">
        <f t="shared" si="0"/>
        <v>na</v>
      </c>
      <c r="H38" s="83" t="str">
        <f t="shared" si="0"/>
        <v>na</v>
      </c>
      <c r="I38" s="83" t="str">
        <f t="shared" si="0"/>
        <v>na</v>
      </c>
      <c r="J38" s="83" t="str">
        <f t="shared" si="0"/>
        <v>na</v>
      </c>
      <c r="K38" s="83" t="str">
        <f t="shared" si="0"/>
        <v>na</v>
      </c>
      <c r="L38" s="83" t="str">
        <f t="shared" si="0"/>
        <v>na</v>
      </c>
      <c r="M38" s="84" t="str">
        <f t="shared" si="0"/>
        <v>na</v>
      </c>
    </row>
    <row r="39" spans="1:13">
      <c r="A39" s="16" t="s">
        <v>71</v>
      </c>
      <c r="B39" s="37" t="str">
        <f>IFERROR((POWER(B$25/B15,1/($A$25-$A$15))-1)*100, "na")</f>
        <v>na</v>
      </c>
      <c r="C39" s="34" t="str">
        <f t="shared" ref="C39:M39" si="1">IFERROR((POWER(C$25/C15,1/($A$25-$A$15))-1)*100, "na")</f>
        <v>na</v>
      </c>
      <c r="D39" s="34" t="str">
        <f t="shared" si="1"/>
        <v>na</v>
      </c>
      <c r="E39" s="34" t="str">
        <f t="shared" si="1"/>
        <v>na</v>
      </c>
      <c r="F39" s="34" t="str">
        <f t="shared" si="1"/>
        <v>na</v>
      </c>
      <c r="G39" s="34" t="str">
        <f t="shared" si="1"/>
        <v>na</v>
      </c>
      <c r="H39" s="34" t="str">
        <f t="shared" si="1"/>
        <v>na</v>
      </c>
      <c r="I39" s="34" t="str">
        <f t="shared" si="1"/>
        <v>na</v>
      </c>
      <c r="J39" s="34" t="str">
        <f t="shared" si="1"/>
        <v>na</v>
      </c>
      <c r="K39" s="34" t="str">
        <f t="shared" si="1"/>
        <v>na</v>
      </c>
      <c r="L39" s="34" t="str">
        <f t="shared" si="1"/>
        <v>na</v>
      </c>
      <c r="M39" s="38" t="str">
        <f t="shared" si="1"/>
        <v>na</v>
      </c>
    </row>
    <row r="40" spans="1:13">
      <c r="A40" s="16" t="s">
        <v>69</v>
      </c>
      <c r="B40" s="37">
        <f>IFERROR((POWER(B$35/B25,1/($A$35-$A$25))-1)*100,"na")</f>
        <v>24.207540547835336</v>
      </c>
      <c r="C40" s="34">
        <f t="shared" ref="C40:M40" si="2">IFERROR((POWER(C$35/C25,1/($A$35-$A$25))-1)*100,"na")</f>
        <v>-3.5672936352431517</v>
      </c>
      <c r="D40" s="34">
        <f t="shared" si="2"/>
        <v>-1.8167694482763119</v>
      </c>
      <c r="E40" s="34">
        <f t="shared" si="2"/>
        <v>1.7235870366988593</v>
      </c>
      <c r="F40" s="34">
        <f t="shared" si="2"/>
        <v>7.8100009142484161</v>
      </c>
      <c r="G40" s="34">
        <f t="shared" si="2"/>
        <v>9.3008037514689548</v>
      </c>
      <c r="H40" s="34">
        <f t="shared" si="2"/>
        <v>-3.3409354364169697</v>
      </c>
      <c r="I40" s="34">
        <f t="shared" si="2"/>
        <v>8.129277519858702</v>
      </c>
      <c r="J40" s="34">
        <f t="shared" si="2"/>
        <v>11.36857752651661</v>
      </c>
      <c r="K40" s="34">
        <f t="shared" si="2"/>
        <v>4.8136941188563931</v>
      </c>
      <c r="L40" s="34">
        <f t="shared" si="2"/>
        <v>1.1487017103260833</v>
      </c>
      <c r="M40" s="38">
        <f t="shared" si="2"/>
        <v>6.2894683820025499</v>
      </c>
    </row>
    <row r="41" spans="1:13">
      <c r="A41" s="17" t="s">
        <v>70</v>
      </c>
      <c r="B41" s="39" t="str">
        <f>IFERROR((POWER(B35/B6,1/($A$35-$A$6))-1)*100,"na")</f>
        <v>na</v>
      </c>
      <c r="C41" s="40" t="str">
        <f t="shared" ref="C41:M41" si="3">IFERROR((POWER(C35/C6,1/($A$35-$A$6))-1)*100,"na")</f>
        <v>na</v>
      </c>
      <c r="D41" s="40" t="str">
        <f t="shared" si="3"/>
        <v>na</v>
      </c>
      <c r="E41" s="40" t="str">
        <f t="shared" si="3"/>
        <v>na</v>
      </c>
      <c r="F41" s="40" t="str">
        <f t="shared" si="3"/>
        <v>na</v>
      </c>
      <c r="G41" s="40" t="str">
        <f t="shared" si="3"/>
        <v>na</v>
      </c>
      <c r="H41" s="40" t="str">
        <f t="shared" si="3"/>
        <v>na</v>
      </c>
      <c r="I41" s="40" t="str">
        <f t="shared" si="3"/>
        <v>na</v>
      </c>
      <c r="J41" s="40" t="str">
        <f t="shared" si="3"/>
        <v>na</v>
      </c>
      <c r="K41" s="40" t="str">
        <f t="shared" si="3"/>
        <v>na</v>
      </c>
      <c r="L41" s="40" t="str">
        <f t="shared" si="3"/>
        <v>na</v>
      </c>
      <c r="M41" s="41" t="str">
        <f t="shared" si="3"/>
        <v>na</v>
      </c>
    </row>
    <row r="43" spans="1:13">
      <c r="A43" s="204" t="s">
        <v>178</v>
      </c>
    </row>
  </sheetData>
  <mergeCells count="5">
    <mergeCell ref="B4:E4"/>
    <mergeCell ref="F4:I4"/>
    <mergeCell ref="J4:M4"/>
    <mergeCell ref="A37:M37"/>
    <mergeCell ref="A1:H2"/>
  </mergeCells>
  <pageMargins left="0.7" right="0.7" top="0.75" bottom="0.75" header="0.3" footer="0.3"/>
  <pageSetup scale="63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M43"/>
  <sheetViews>
    <sheetView zoomScaleNormal="100" workbookViewId="0">
      <selection activeCell="B15" sqref="B15"/>
    </sheetView>
  </sheetViews>
  <sheetFormatPr defaultRowHeight="15"/>
  <cols>
    <col min="1" max="1" width="11.42578125" customWidth="1"/>
    <col min="2" max="2" width="12.140625" customWidth="1"/>
    <col min="4" max="4" width="19.28515625" customWidth="1"/>
    <col min="5" max="5" width="14.85546875" customWidth="1"/>
    <col min="6" max="6" width="11.42578125" customWidth="1"/>
    <col min="8" max="8" width="18.140625" customWidth="1"/>
    <col min="9" max="9" width="13.28515625" customWidth="1"/>
    <col min="10" max="10" width="12" customWidth="1"/>
    <col min="12" max="12" width="18.140625" customWidth="1"/>
    <col min="13" max="13" width="14.28515625" customWidth="1"/>
  </cols>
  <sheetData>
    <row r="1" spans="1:13">
      <c r="A1" s="366" t="s">
        <v>245</v>
      </c>
      <c r="B1" s="208"/>
      <c r="C1" s="208"/>
      <c r="D1" s="208"/>
      <c r="E1" s="208"/>
      <c r="F1" s="208"/>
      <c r="G1" s="208"/>
      <c r="H1" s="208"/>
    </row>
    <row r="2" spans="1:13">
      <c r="A2" s="208"/>
      <c r="B2" s="208"/>
      <c r="C2" s="208"/>
      <c r="D2" s="208"/>
      <c r="E2" s="208"/>
      <c r="F2" s="208"/>
      <c r="G2" s="208"/>
      <c r="H2" s="208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7" t="s">
        <v>42</v>
      </c>
      <c r="K4" s="375"/>
      <c r="L4" s="375"/>
      <c r="M4" s="376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72</v>
      </c>
      <c r="F5" s="59" t="s">
        <v>0</v>
      </c>
      <c r="G5" s="60" t="s">
        <v>1</v>
      </c>
      <c r="H5" s="60" t="s">
        <v>2</v>
      </c>
      <c r="I5" s="51" t="s">
        <v>72</v>
      </c>
      <c r="J5" s="59" t="s">
        <v>39</v>
      </c>
      <c r="K5" s="60" t="s">
        <v>41</v>
      </c>
      <c r="L5" s="60" t="s">
        <v>40</v>
      </c>
      <c r="M5" s="51" t="s">
        <v>72</v>
      </c>
    </row>
    <row r="6" spans="1:13">
      <c r="A6" s="27">
        <v>1981</v>
      </c>
      <c r="B6" s="35" t="str">
        <f>IFERROR('2c'!B6/'2c'!J6*100,"na")</f>
        <v>na</v>
      </c>
      <c r="C6" s="30" t="str">
        <f>IFERROR('2c'!C6/'2c'!K6*100,"na")</f>
        <v>na</v>
      </c>
      <c r="D6" s="30" t="str">
        <f>IFERROR('2c'!D6/'2c'!L6*100,"na")</f>
        <v>na</v>
      </c>
      <c r="E6" s="36" t="str">
        <f>IFERROR('2c'!E6/'2c'!M6*100,"na")</f>
        <v>na</v>
      </c>
      <c r="F6" s="35" t="str">
        <f>IFERROR('2c'!F6/'2c'!J6*100, "na")</f>
        <v>na</v>
      </c>
      <c r="G6" s="30" t="str">
        <f>IFERROR('2c'!G6/'2c'!K6*100, "na")</f>
        <v>na</v>
      </c>
      <c r="H6" s="30" t="str">
        <f>IFERROR('2c'!H6/'2c'!L6*100, "na")</f>
        <v>na</v>
      </c>
      <c r="I6" s="36" t="str">
        <f>IFERROR('2c'!I6/'2c'!M6*100, "na")</f>
        <v>na</v>
      </c>
      <c r="J6" s="35" t="str">
        <f>IFERROR('2c'!J6/'2c'!J6*100,"na")</f>
        <v>na</v>
      </c>
      <c r="K6" s="279" t="str">
        <f>IFERROR('2c'!K6/'2c'!K6*100,"na")</f>
        <v>na</v>
      </c>
      <c r="L6" s="279" t="str">
        <f>IFERROR('2c'!L6/'2c'!L6*100,"na")</f>
        <v>na</v>
      </c>
      <c r="M6" s="122" t="str">
        <f>IFERROR('2c'!M6/'2c'!M6*100,"na")</f>
        <v>na</v>
      </c>
    </row>
    <row r="7" spans="1:13">
      <c r="A7" s="28">
        <v>1982</v>
      </c>
      <c r="B7" s="37" t="str">
        <f>IFERROR('2c'!B7/'2c'!J7*100,"na")</f>
        <v>na</v>
      </c>
      <c r="C7" s="34" t="str">
        <f>IFERROR('2c'!C7/'2c'!K7*100,"na")</f>
        <v>na</v>
      </c>
      <c r="D7" s="34" t="str">
        <f>IFERROR('2c'!D7/'2c'!L7*100,"na")</f>
        <v>na</v>
      </c>
      <c r="E7" s="38" t="str">
        <f>IFERROR('2c'!E7/'2c'!M7*100,"na")</f>
        <v>na</v>
      </c>
      <c r="F7" s="34" t="str">
        <f>IFERROR('2c'!F7/'2c'!J7*100, "na")</f>
        <v>na</v>
      </c>
      <c r="G7" s="34" t="str">
        <f>IFERROR('2c'!G7/'2c'!K7*100, "na")</f>
        <v>na</v>
      </c>
      <c r="H7" s="34" t="str">
        <f>IFERROR('2c'!H7/'2c'!L7*100, "na")</f>
        <v>na</v>
      </c>
      <c r="I7" s="38" t="str">
        <f>IFERROR('2c'!I7/'2c'!M7*100, "na")</f>
        <v>na</v>
      </c>
      <c r="J7" s="280" t="str">
        <f>IFERROR('2c'!J7/'2c'!J7*100,"na")</f>
        <v>na</v>
      </c>
      <c r="K7" s="281" t="str">
        <f>IFERROR('2c'!K7/'2c'!K7*100,"na")</f>
        <v>na</v>
      </c>
      <c r="L7" s="281" t="str">
        <f>IFERROR('2c'!L7/'2c'!L7*100,"na")</f>
        <v>na</v>
      </c>
      <c r="M7" s="125" t="str">
        <f>IFERROR('2c'!M7/'2c'!M7*100,"na")</f>
        <v>na</v>
      </c>
    </row>
    <row r="8" spans="1:13">
      <c r="A8" s="28">
        <v>1983</v>
      </c>
      <c r="B8" s="37" t="str">
        <f>IFERROR('2c'!B8/'2c'!J8*100,"na")</f>
        <v>na</v>
      </c>
      <c r="C8" s="34" t="str">
        <f>IFERROR('2c'!C8/'2c'!K8*100,"na")</f>
        <v>na</v>
      </c>
      <c r="D8" s="34" t="str">
        <f>IFERROR('2c'!D8/'2c'!L8*100,"na")</f>
        <v>na</v>
      </c>
      <c r="E8" s="38" t="str">
        <f>IFERROR('2c'!E8/'2c'!M8*100,"na")</f>
        <v>na</v>
      </c>
      <c r="F8" s="34" t="str">
        <f>IFERROR('2c'!F8/'2c'!J8*100, "na")</f>
        <v>na</v>
      </c>
      <c r="G8" s="34" t="str">
        <f>IFERROR('2c'!G8/'2c'!K8*100, "na")</f>
        <v>na</v>
      </c>
      <c r="H8" s="34" t="str">
        <f>IFERROR('2c'!H8/'2c'!L8*100, "na")</f>
        <v>na</v>
      </c>
      <c r="I8" s="38" t="str">
        <f>IFERROR('2c'!I8/'2c'!M8*100, "na")</f>
        <v>na</v>
      </c>
      <c r="J8" s="280" t="str">
        <f>IFERROR('2c'!J8/'2c'!J8*100,"na")</f>
        <v>na</v>
      </c>
      <c r="K8" s="281" t="str">
        <f>IFERROR('2c'!K8/'2c'!K8*100,"na")</f>
        <v>na</v>
      </c>
      <c r="L8" s="281" t="str">
        <f>IFERROR('2c'!L8/'2c'!L8*100,"na")</f>
        <v>na</v>
      </c>
      <c r="M8" s="125" t="str">
        <f>IFERROR('2c'!M8/'2c'!M8*100,"na")</f>
        <v>na</v>
      </c>
    </row>
    <row r="9" spans="1:13">
      <c r="A9" s="28">
        <v>1984</v>
      </c>
      <c r="B9" s="37" t="str">
        <f>IFERROR('2c'!B9/'2c'!J9*100,"na")</f>
        <v>na</v>
      </c>
      <c r="C9" s="34" t="str">
        <f>IFERROR('2c'!C9/'2c'!K9*100,"na")</f>
        <v>na</v>
      </c>
      <c r="D9" s="34" t="str">
        <f>IFERROR('2c'!D9/'2c'!L9*100,"na")</f>
        <v>na</v>
      </c>
      <c r="E9" s="38" t="str">
        <f>IFERROR('2c'!E9/'2c'!M9*100,"na")</f>
        <v>na</v>
      </c>
      <c r="F9" s="34" t="str">
        <f>IFERROR('2c'!F9/'2c'!J9*100, "na")</f>
        <v>na</v>
      </c>
      <c r="G9" s="34" t="str">
        <f>IFERROR('2c'!G9/'2c'!K9*100, "na")</f>
        <v>na</v>
      </c>
      <c r="H9" s="34" t="str">
        <f>IFERROR('2c'!H9/'2c'!L9*100, "na")</f>
        <v>na</v>
      </c>
      <c r="I9" s="38" t="str">
        <f>IFERROR('2c'!I9/'2c'!M9*100, "na")</f>
        <v>na</v>
      </c>
      <c r="J9" s="280" t="str">
        <f>IFERROR('2c'!J9/'2c'!J9*100,"na")</f>
        <v>na</v>
      </c>
      <c r="K9" s="281" t="str">
        <f>IFERROR('2c'!K9/'2c'!K9*100,"na")</f>
        <v>na</v>
      </c>
      <c r="L9" s="281" t="str">
        <f>IFERROR('2c'!L9/'2c'!L9*100,"na")</f>
        <v>na</v>
      </c>
      <c r="M9" s="125" t="str">
        <f>IFERROR('2c'!M9/'2c'!M9*100,"na")</f>
        <v>na</v>
      </c>
    </row>
    <row r="10" spans="1:13">
      <c r="A10" s="28">
        <v>1985</v>
      </c>
      <c r="B10" s="37" t="str">
        <f>IFERROR('2c'!B10/'2c'!J10*100,"na")</f>
        <v>na</v>
      </c>
      <c r="C10" s="34" t="str">
        <f>IFERROR('2c'!C10/'2c'!K10*100,"na")</f>
        <v>na</v>
      </c>
      <c r="D10" s="34" t="str">
        <f>IFERROR('2c'!D10/'2c'!L10*100,"na")</f>
        <v>na</v>
      </c>
      <c r="E10" s="38" t="str">
        <f>IFERROR('2c'!E10/'2c'!M10*100,"na")</f>
        <v>na</v>
      </c>
      <c r="F10" s="34" t="str">
        <f>IFERROR('2c'!F10/'2c'!J10*100, "na")</f>
        <v>na</v>
      </c>
      <c r="G10" s="34" t="str">
        <f>IFERROR('2c'!G10/'2c'!K10*100, "na")</f>
        <v>na</v>
      </c>
      <c r="H10" s="34" t="str">
        <f>IFERROR('2c'!H10/'2c'!L10*100, "na")</f>
        <v>na</v>
      </c>
      <c r="I10" s="38" t="str">
        <f>IFERROR('2c'!I10/'2c'!M10*100, "na")</f>
        <v>na</v>
      </c>
      <c r="J10" s="280" t="str">
        <f>IFERROR('2c'!J10/'2c'!J10*100,"na")</f>
        <v>na</v>
      </c>
      <c r="K10" s="281" t="str">
        <f>IFERROR('2c'!K10/'2c'!K10*100,"na")</f>
        <v>na</v>
      </c>
      <c r="L10" s="281" t="str">
        <f>IFERROR('2c'!L10/'2c'!L10*100,"na")</f>
        <v>na</v>
      </c>
      <c r="M10" s="125" t="str">
        <f>IFERROR('2c'!M10/'2c'!M10*100,"na")</f>
        <v>na</v>
      </c>
    </row>
    <row r="11" spans="1:13">
      <c r="A11" s="28">
        <v>1986</v>
      </c>
      <c r="B11" s="37" t="str">
        <f>IFERROR('2c'!B11/'2c'!J11*100,"na")</f>
        <v>na</v>
      </c>
      <c r="C11" s="34" t="str">
        <f>IFERROR('2c'!C11/'2c'!K11*100,"na")</f>
        <v>na</v>
      </c>
      <c r="D11" s="34" t="str">
        <f>IFERROR('2c'!D11/'2c'!L11*100,"na")</f>
        <v>na</v>
      </c>
      <c r="E11" s="38" t="str">
        <f>IFERROR('2c'!E11/'2c'!M11*100,"na")</f>
        <v>na</v>
      </c>
      <c r="F11" s="34" t="str">
        <f>IFERROR('2c'!F11/'2c'!J11*100, "na")</f>
        <v>na</v>
      </c>
      <c r="G11" s="34" t="str">
        <f>IFERROR('2c'!G11/'2c'!K11*100, "na")</f>
        <v>na</v>
      </c>
      <c r="H11" s="34" t="str">
        <f>IFERROR('2c'!H11/'2c'!L11*100, "na")</f>
        <v>na</v>
      </c>
      <c r="I11" s="38" t="str">
        <f>IFERROR('2c'!I11/'2c'!M11*100, "na")</f>
        <v>na</v>
      </c>
      <c r="J11" s="280" t="str">
        <f>IFERROR('2c'!J11/'2c'!J11*100,"na")</f>
        <v>na</v>
      </c>
      <c r="K11" s="281" t="str">
        <f>IFERROR('2c'!K11/'2c'!K11*100,"na")</f>
        <v>na</v>
      </c>
      <c r="L11" s="281" t="str">
        <f>IFERROR('2c'!L11/'2c'!L11*100,"na")</f>
        <v>na</v>
      </c>
      <c r="M11" s="125" t="str">
        <f>IFERROR('2c'!M11/'2c'!M11*100,"na")</f>
        <v>na</v>
      </c>
    </row>
    <row r="12" spans="1:13">
      <c r="A12" s="28">
        <v>1987</v>
      </c>
      <c r="B12" s="37" t="str">
        <f>IFERROR('2c'!B12/'2c'!J12*100,"na")</f>
        <v>na</v>
      </c>
      <c r="C12" s="34" t="str">
        <f>IFERROR('2c'!C12/'2c'!K12*100,"na")</f>
        <v>na</v>
      </c>
      <c r="D12" s="34" t="str">
        <f>IFERROR('2c'!D12/'2c'!L12*100,"na")</f>
        <v>na</v>
      </c>
      <c r="E12" s="38" t="str">
        <f>IFERROR('2c'!E12/'2c'!M12*100,"na")</f>
        <v>na</v>
      </c>
      <c r="F12" s="34" t="str">
        <f>IFERROR('2c'!F12/'2c'!J12*100, "na")</f>
        <v>na</v>
      </c>
      <c r="G12" s="34" t="str">
        <f>IFERROR('2c'!G12/'2c'!K12*100, "na")</f>
        <v>na</v>
      </c>
      <c r="H12" s="34" t="str">
        <f>IFERROR('2c'!H12/'2c'!L12*100, "na")</f>
        <v>na</v>
      </c>
      <c r="I12" s="38" t="str">
        <f>IFERROR('2c'!I12/'2c'!M12*100, "na")</f>
        <v>na</v>
      </c>
      <c r="J12" s="280" t="str">
        <f>IFERROR('2c'!J12/'2c'!J12*100,"na")</f>
        <v>na</v>
      </c>
      <c r="K12" s="281" t="str">
        <f>IFERROR('2c'!K12/'2c'!K12*100,"na")</f>
        <v>na</v>
      </c>
      <c r="L12" s="281" t="str">
        <f>IFERROR('2c'!L12/'2c'!L12*100,"na")</f>
        <v>na</v>
      </c>
      <c r="M12" s="125" t="str">
        <f>IFERROR('2c'!M12/'2c'!M12*100,"na")</f>
        <v>na</v>
      </c>
    </row>
    <row r="13" spans="1:13">
      <c r="A13" s="28">
        <v>1988</v>
      </c>
      <c r="B13" s="37" t="str">
        <f>IFERROR('2c'!B13/'2c'!J13*100,"na")</f>
        <v>na</v>
      </c>
      <c r="C13" s="34" t="str">
        <f>IFERROR('2c'!C13/'2c'!K13*100,"na")</f>
        <v>na</v>
      </c>
      <c r="D13" s="34" t="str">
        <f>IFERROR('2c'!D13/'2c'!L13*100,"na")</f>
        <v>na</v>
      </c>
      <c r="E13" s="38" t="str">
        <f>IFERROR('2c'!E13/'2c'!M13*100,"na")</f>
        <v>na</v>
      </c>
      <c r="F13" s="34" t="str">
        <f>IFERROR('2c'!F13/'2c'!J13*100, "na")</f>
        <v>na</v>
      </c>
      <c r="G13" s="34" t="str">
        <f>IFERROR('2c'!G13/'2c'!K13*100, "na")</f>
        <v>na</v>
      </c>
      <c r="H13" s="34" t="str">
        <f>IFERROR('2c'!H13/'2c'!L13*100, "na")</f>
        <v>na</v>
      </c>
      <c r="I13" s="38" t="str">
        <f>IFERROR('2c'!I13/'2c'!M13*100, "na")</f>
        <v>na</v>
      </c>
      <c r="J13" s="280" t="str">
        <f>IFERROR('2c'!J13/'2c'!J13*100,"na")</f>
        <v>na</v>
      </c>
      <c r="K13" s="281" t="str">
        <f>IFERROR('2c'!K13/'2c'!K13*100,"na")</f>
        <v>na</v>
      </c>
      <c r="L13" s="281" t="str">
        <f>IFERROR('2c'!L13/'2c'!L13*100,"na")</f>
        <v>na</v>
      </c>
      <c r="M13" s="125" t="str">
        <f>IFERROR('2c'!M13/'2c'!M13*100,"na")</f>
        <v>na</v>
      </c>
    </row>
    <row r="14" spans="1:13">
      <c r="A14" s="28">
        <v>1989</v>
      </c>
      <c r="B14" s="37" t="str">
        <f>IFERROR('2c'!B14/'2c'!J14*100,"na")</f>
        <v>na</v>
      </c>
      <c r="C14" s="34" t="str">
        <f>IFERROR('2c'!C14/'2c'!K14*100,"na")</f>
        <v>na</v>
      </c>
      <c r="D14" s="34" t="str">
        <f>IFERROR('2c'!D14/'2c'!L14*100,"na")</f>
        <v>na</v>
      </c>
      <c r="E14" s="38" t="str">
        <f>IFERROR('2c'!E14/'2c'!M14*100,"na")</f>
        <v>na</v>
      </c>
      <c r="F14" s="34" t="str">
        <f>IFERROR('2c'!F14/'2c'!J14*100, "na")</f>
        <v>na</v>
      </c>
      <c r="G14" s="34" t="str">
        <f>IFERROR('2c'!G14/'2c'!K14*100, "na")</f>
        <v>na</v>
      </c>
      <c r="H14" s="34" t="str">
        <f>IFERROR('2c'!H14/'2c'!L14*100, "na")</f>
        <v>na</v>
      </c>
      <c r="I14" s="38" t="str">
        <f>IFERROR('2c'!I14/'2c'!M14*100, "na")</f>
        <v>na</v>
      </c>
      <c r="J14" s="280" t="str">
        <f>IFERROR('2c'!J14/'2c'!J14*100,"na")</f>
        <v>na</v>
      </c>
      <c r="K14" s="281" t="str">
        <f>IFERROR('2c'!K14/'2c'!K14*100,"na")</f>
        <v>na</v>
      </c>
      <c r="L14" s="281" t="str">
        <f>IFERROR('2c'!L14/'2c'!L14*100,"na")</f>
        <v>na</v>
      </c>
      <c r="M14" s="125" t="str">
        <f>IFERROR('2c'!M14/'2c'!M14*100,"na")</f>
        <v>na</v>
      </c>
    </row>
    <row r="15" spans="1:13">
      <c r="A15" s="28">
        <v>1990</v>
      </c>
      <c r="B15" s="37" t="str">
        <f>IFERROR('2c'!B15/'2c'!J15*100,"na")</f>
        <v>na</v>
      </c>
      <c r="C15" s="34" t="str">
        <f>IFERROR('2c'!C15/'2c'!K15*100,"na")</f>
        <v>na</v>
      </c>
      <c r="D15" s="34" t="str">
        <f>IFERROR('2c'!D15/'2c'!L15*100,"na")</f>
        <v>na</v>
      </c>
      <c r="E15" s="38" t="str">
        <f>IFERROR('2c'!E15/'2c'!M15*100,"na")</f>
        <v>na</v>
      </c>
      <c r="F15" s="34" t="str">
        <f>IFERROR('2c'!F15/'2c'!J15*100, "na")</f>
        <v>na</v>
      </c>
      <c r="G15" s="34" t="str">
        <f>IFERROR('2c'!G15/'2c'!K15*100, "na")</f>
        <v>na</v>
      </c>
      <c r="H15" s="34" t="str">
        <f>IFERROR('2c'!H15/'2c'!L15*100, "na")</f>
        <v>na</v>
      </c>
      <c r="I15" s="38" t="str">
        <f>IFERROR('2c'!I15/'2c'!M15*100, "na")</f>
        <v>na</v>
      </c>
      <c r="J15" s="280" t="str">
        <f>IFERROR('2c'!J15/'2c'!J15*100,"na")</f>
        <v>na</v>
      </c>
      <c r="K15" s="281" t="str">
        <f>IFERROR('2c'!K15/'2c'!K15*100,"na")</f>
        <v>na</v>
      </c>
      <c r="L15" s="281" t="str">
        <f>IFERROR('2c'!L15/'2c'!L15*100,"na")</f>
        <v>na</v>
      </c>
      <c r="M15" s="125" t="str">
        <f>IFERROR('2c'!M15/'2c'!M15*100,"na")</f>
        <v>na</v>
      </c>
    </row>
    <row r="16" spans="1:13">
      <c r="A16" s="28">
        <v>1991</v>
      </c>
      <c r="B16" s="37" t="str">
        <f>IFERROR('2c'!B16/'2c'!J16*100,"na")</f>
        <v>na</v>
      </c>
      <c r="C16" s="34" t="str">
        <f>IFERROR('2c'!C16/'2c'!K16*100,"na")</f>
        <v>na</v>
      </c>
      <c r="D16" s="34" t="str">
        <f>IFERROR('2c'!D16/'2c'!L16*100,"na")</f>
        <v>na</v>
      </c>
      <c r="E16" s="38" t="str">
        <f>IFERROR('2c'!E16/'2c'!M16*100,"na")</f>
        <v>na</v>
      </c>
      <c r="F16" s="34" t="str">
        <f>IFERROR('2c'!F16/'2c'!J16*100, "na")</f>
        <v>na</v>
      </c>
      <c r="G16" s="34" t="str">
        <f>IFERROR('2c'!G16/'2c'!K16*100, "na")</f>
        <v>na</v>
      </c>
      <c r="H16" s="34" t="str">
        <f>IFERROR('2c'!H16/'2c'!L16*100, "na")</f>
        <v>na</v>
      </c>
      <c r="I16" s="38" t="str">
        <f>IFERROR('2c'!I16/'2c'!M16*100, "na")</f>
        <v>na</v>
      </c>
      <c r="J16" s="280" t="str">
        <f>IFERROR('2c'!J16/'2c'!J16*100,"na")</f>
        <v>na</v>
      </c>
      <c r="K16" s="281" t="str">
        <f>IFERROR('2c'!K16/'2c'!K16*100,"na")</f>
        <v>na</v>
      </c>
      <c r="L16" s="281" t="str">
        <f>IFERROR('2c'!L16/'2c'!L16*100,"na")</f>
        <v>na</v>
      </c>
      <c r="M16" s="125" t="str">
        <f>IFERROR('2c'!M16/'2c'!M16*100,"na")</f>
        <v>na</v>
      </c>
    </row>
    <row r="17" spans="1:13">
      <c r="A17" s="28">
        <v>1992</v>
      </c>
      <c r="B17" s="37" t="str">
        <f>IFERROR('2c'!B17/'2c'!J17*100,"na")</f>
        <v>na</v>
      </c>
      <c r="C17" s="34" t="str">
        <f>IFERROR('2c'!C17/'2c'!K17*100,"na")</f>
        <v>na</v>
      </c>
      <c r="D17" s="34" t="str">
        <f>IFERROR('2c'!D17/'2c'!L17*100,"na")</f>
        <v>na</v>
      </c>
      <c r="E17" s="38" t="str">
        <f>IFERROR('2c'!E17/'2c'!M17*100,"na")</f>
        <v>na</v>
      </c>
      <c r="F17" s="34" t="str">
        <f>IFERROR('2c'!F17/'2c'!J17*100, "na")</f>
        <v>na</v>
      </c>
      <c r="G17" s="34" t="str">
        <f>IFERROR('2c'!G17/'2c'!K17*100, "na")</f>
        <v>na</v>
      </c>
      <c r="H17" s="34" t="str">
        <f>IFERROR('2c'!H17/'2c'!L17*100, "na")</f>
        <v>na</v>
      </c>
      <c r="I17" s="34" t="str">
        <f>IFERROR('2c'!I17/'2c'!M17*100, "na")</f>
        <v>na</v>
      </c>
      <c r="J17" s="280" t="str">
        <f>IFERROR('2c'!J17/'2c'!J17*100,"na")</f>
        <v>na</v>
      </c>
      <c r="K17" s="281" t="str">
        <f>IFERROR('2c'!K17/'2c'!K17*100,"na")</f>
        <v>na</v>
      </c>
      <c r="L17" s="281" t="str">
        <f>IFERROR('2c'!L17/'2c'!L17*100,"na")</f>
        <v>na</v>
      </c>
      <c r="M17" s="125" t="str">
        <f>IFERROR('2c'!M17/'2c'!M17*100,"na")</f>
        <v>na</v>
      </c>
    </row>
    <row r="18" spans="1:13">
      <c r="A18" s="28">
        <v>1993</v>
      </c>
      <c r="B18" s="37" t="str">
        <f>IFERROR('2c'!B18/'2c'!J18*100,"na")</f>
        <v>na</v>
      </c>
      <c r="C18" s="34" t="str">
        <f>IFERROR('2c'!C18/'2c'!K18*100,"na")</f>
        <v>na</v>
      </c>
      <c r="D18" s="34" t="str">
        <f>IFERROR('2c'!D18/'2c'!L18*100,"na")</f>
        <v>na</v>
      </c>
      <c r="E18" s="38" t="str">
        <f>IFERROR('2c'!E18/'2c'!M18*100,"na")</f>
        <v>na</v>
      </c>
      <c r="F18" s="34" t="str">
        <f>IFERROR('2c'!F18/'2c'!J18*100, "na")</f>
        <v>na</v>
      </c>
      <c r="G18" s="34" t="str">
        <f>IFERROR('2c'!G18/'2c'!K18*100, "na")</f>
        <v>na</v>
      </c>
      <c r="H18" s="34" t="str">
        <f>IFERROR('2c'!H18/'2c'!L18*100, "na")</f>
        <v>na</v>
      </c>
      <c r="I18" s="34" t="str">
        <f>IFERROR('2c'!I18/'2c'!M18*100, "na")</f>
        <v>na</v>
      </c>
      <c r="J18" s="280" t="str">
        <f>IFERROR('2c'!J18/'2c'!J18*100,"na")</f>
        <v>na</v>
      </c>
      <c r="K18" s="281" t="str">
        <f>IFERROR('2c'!K18/'2c'!K18*100,"na")</f>
        <v>na</v>
      </c>
      <c r="L18" s="281" t="str">
        <f>IFERROR('2c'!L18/'2c'!L18*100,"na")</f>
        <v>na</v>
      </c>
      <c r="M18" s="125" t="str">
        <f>IFERROR('2c'!M18/'2c'!M18*100,"na")</f>
        <v>na</v>
      </c>
    </row>
    <row r="19" spans="1:13">
      <c r="A19" s="28">
        <v>1994</v>
      </c>
      <c r="B19" s="37" t="str">
        <f>IFERROR('2c'!B19/'2c'!J19*100,"na")</f>
        <v>na</v>
      </c>
      <c r="C19" s="34" t="str">
        <f>IFERROR('2c'!C19/'2c'!K19*100,"na")</f>
        <v>na</v>
      </c>
      <c r="D19" s="34" t="str">
        <f>IFERROR('2c'!D19/'2c'!L19*100,"na")</f>
        <v>na</v>
      </c>
      <c r="E19" s="38" t="str">
        <f>IFERROR('2c'!E19/'2c'!M19*100,"na")</f>
        <v>na</v>
      </c>
      <c r="F19" s="34" t="str">
        <f>IFERROR('2c'!F19/'2c'!J19*100, "na")</f>
        <v>na</v>
      </c>
      <c r="G19" s="34" t="str">
        <f>IFERROR('2c'!G19/'2c'!K19*100, "na")</f>
        <v>na</v>
      </c>
      <c r="H19" s="34" t="str">
        <f>IFERROR('2c'!H19/'2c'!L19*100, "na")</f>
        <v>na</v>
      </c>
      <c r="I19" s="34" t="str">
        <f>IFERROR('2c'!I19/'2c'!M19*100, "na")</f>
        <v>na</v>
      </c>
      <c r="J19" s="280" t="str">
        <f>IFERROR('2c'!J19/'2c'!J19*100,"na")</f>
        <v>na</v>
      </c>
      <c r="K19" s="281" t="str">
        <f>IFERROR('2c'!K19/'2c'!K19*100,"na")</f>
        <v>na</v>
      </c>
      <c r="L19" s="281" t="str">
        <f>IFERROR('2c'!L19/'2c'!L19*100,"na")</f>
        <v>na</v>
      </c>
      <c r="M19" s="125" t="str">
        <f>IFERROR('2c'!M19/'2c'!M19*100,"na")</f>
        <v>na</v>
      </c>
    </row>
    <row r="20" spans="1:13">
      <c r="A20" s="28">
        <v>1995</v>
      </c>
      <c r="B20" s="37" t="str">
        <f>IFERROR('2c'!B20/'2c'!J20*100,"na")</f>
        <v>na</v>
      </c>
      <c r="C20" s="34" t="str">
        <f>IFERROR('2c'!C20/'2c'!K20*100,"na")</f>
        <v>na</v>
      </c>
      <c r="D20" s="34" t="str">
        <f>IFERROR('2c'!D20/'2c'!L20*100,"na")</f>
        <v>na</v>
      </c>
      <c r="E20" s="38" t="str">
        <f>IFERROR('2c'!E20/'2c'!M20*100,"na")</f>
        <v>na</v>
      </c>
      <c r="F20" s="34" t="str">
        <f>IFERROR('2c'!F20/'2c'!J20*100, "na")</f>
        <v>na</v>
      </c>
      <c r="G20" s="34" t="str">
        <f>IFERROR('2c'!G20/'2c'!K20*100, "na")</f>
        <v>na</v>
      </c>
      <c r="H20" s="34" t="str">
        <f>IFERROR('2c'!H20/'2c'!L20*100, "na")</f>
        <v>na</v>
      </c>
      <c r="I20" s="34" t="str">
        <f>IFERROR('2c'!I20/'2c'!M20*100, "na")</f>
        <v>na</v>
      </c>
      <c r="J20" s="280" t="str">
        <f>IFERROR('2c'!J20/'2c'!J20*100,"na")</f>
        <v>na</v>
      </c>
      <c r="K20" s="281" t="str">
        <f>IFERROR('2c'!K20/'2c'!K20*100,"na")</f>
        <v>na</v>
      </c>
      <c r="L20" s="281" t="str">
        <f>IFERROR('2c'!L20/'2c'!L20*100,"na")</f>
        <v>na</v>
      </c>
      <c r="M20" s="125" t="str">
        <f>IFERROR('2c'!M20/'2c'!M20*100,"na")</f>
        <v>na</v>
      </c>
    </row>
    <row r="21" spans="1:13">
      <c r="A21" s="28">
        <v>1996</v>
      </c>
      <c r="B21" s="37" t="str">
        <f>IFERROR('2c'!B21/'2c'!J21*100,"na")</f>
        <v>na</v>
      </c>
      <c r="C21" s="34" t="str">
        <f>IFERROR('2c'!C21/'2c'!K21*100,"na")</f>
        <v>na</v>
      </c>
      <c r="D21" s="34" t="str">
        <f>IFERROR('2c'!D21/'2c'!L21*100,"na")</f>
        <v>na</v>
      </c>
      <c r="E21" s="38" t="str">
        <f>IFERROR('2c'!E21/'2c'!M21*100,"na")</f>
        <v>na</v>
      </c>
      <c r="F21" s="34" t="str">
        <f>IFERROR('2c'!F21/'2c'!J21*100, "na")</f>
        <v>na</v>
      </c>
      <c r="G21" s="34" t="str">
        <f>IFERROR('2c'!G21/'2c'!K21*100, "na")</f>
        <v>na</v>
      </c>
      <c r="H21" s="34" t="str">
        <f>IFERROR('2c'!H21/'2c'!L21*100, "na")</f>
        <v>na</v>
      </c>
      <c r="I21" s="34" t="str">
        <f>IFERROR('2c'!I21/'2c'!M21*100, "na")</f>
        <v>na</v>
      </c>
      <c r="J21" s="280" t="str">
        <f>IFERROR('2c'!J21/'2c'!J21*100,"na")</f>
        <v>na</v>
      </c>
      <c r="K21" s="281" t="str">
        <f>IFERROR('2c'!K21/'2c'!K21*100,"na")</f>
        <v>na</v>
      </c>
      <c r="L21" s="281" t="str">
        <f>IFERROR('2c'!L21/'2c'!L21*100,"na")</f>
        <v>na</v>
      </c>
      <c r="M21" s="125" t="str">
        <f>IFERROR('2c'!M21/'2c'!M21*100,"na")</f>
        <v>na</v>
      </c>
    </row>
    <row r="22" spans="1:13">
      <c r="A22" s="28">
        <v>1997</v>
      </c>
      <c r="B22" s="37">
        <f>IFERROR('2c'!B22/'2c'!J22*100,"na")</f>
        <v>312.29285289803863</v>
      </c>
      <c r="C22" s="34">
        <f>IFERROR('2c'!C22/'2c'!K22*100,"na")</f>
        <v>288.97938597569828</v>
      </c>
      <c r="D22" s="34">
        <f>IFERROR('2c'!D22/'2c'!L22*100,"na")</f>
        <v>1232.8532395987481</v>
      </c>
      <c r="E22" s="38">
        <f>IFERROR('2c'!E22/'2c'!M22*100,"na")</f>
        <v>611.62626870083386</v>
      </c>
      <c r="F22" s="34">
        <f>IFERROR('2c'!F22/'2c'!J22*100, "na")</f>
        <v>298.44166266701558</v>
      </c>
      <c r="G22" s="34">
        <f>IFERROR('2c'!G22/'2c'!K22*100, "na")</f>
        <v>231.7948846167435</v>
      </c>
      <c r="H22" s="34">
        <f>IFERROR('2c'!H22/'2c'!L22*100, "na")</f>
        <v>6.2951316281765619</v>
      </c>
      <c r="I22" s="38">
        <f>IFERROR('2c'!I22/'2c'!M22*100, "na")</f>
        <v>167.32437292167299</v>
      </c>
      <c r="J22" s="280">
        <f>IFERROR('2c'!J22/'2c'!J22*100,"na")</f>
        <v>100</v>
      </c>
      <c r="K22" s="281">
        <f>IFERROR('2c'!K22/'2c'!K22*100,"na")</f>
        <v>100</v>
      </c>
      <c r="L22" s="281">
        <f>IFERROR('2c'!L22/'2c'!L22*100,"na")</f>
        <v>100</v>
      </c>
      <c r="M22" s="125">
        <f>IFERROR('2c'!M22/'2c'!M22*100,"na")</f>
        <v>100</v>
      </c>
    </row>
    <row r="23" spans="1:13">
      <c r="A23" s="28">
        <v>1998</v>
      </c>
      <c r="B23" s="37">
        <f>IFERROR('2c'!B23/'2c'!J23*100,"na")</f>
        <v>289.55221587908443</v>
      </c>
      <c r="C23" s="34">
        <f>IFERROR('2c'!C23/'2c'!K23*100,"na")</f>
        <v>282.55590294328243</v>
      </c>
      <c r="D23" s="34">
        <f>IFERROR('2c'!D23/'2c'!L23*100,"na")</f>
        <v>307.41106482923703</v>
      </c>
      <c r="E23" s="38">
        <f>IFERROR('2c'!E23/'2c'!M23*100,"na")</f>
        <v>291.01879905704862</v>
      </c>
      <c r="F23" s="34">
        <f>IFERROR('2c'!F23/'2c'!J23*100, "na")</f>
        <v>605.48662726168277</v>
      </c>
      <c r="G23" s="34">
        <f>IFERROR('2c'!G23/'2c'!K23*100, "na")</f>
        <v>307.34685233829526</v>
      </c>
      <c r="H23" s="34">
        <f>IFERROR('2c'!H23/'2c'!L23*100, "na")</f>
        <v>42.247137900987717</v>
      </c>
      <c r="I23" s="38">
        <f>IFERROR('2c'!I23/'2c'!M23*100, "na")</f>
        <v>306.58358254465338</v>
      </c>
      <c r="J23" s="280">
        <f>IFERROR('2c'!J23/'2c'!J23*100,"na")</f>
        <v>100</v>
      </c>
      <c r="K23" s="281">
        <f>IFERROR('2c'!K23/'2c'!K23*100,"na")</f>
        <v>100</v>
      </c>
      <c r="L23" s="281">
        <f>IFERROR('2c'!L23/'2c'!L23*100,"na")</f>
        <v>100</v>
      </c>
      <c r="M23" s="125">
        <f>IFERROR('2c'!M23/'2c'!M23*100,"na")</f>
        <v>100</v>
      </c>
    </row>
    <row r="24" spans="1:13">
      <c r="A24" s="28">
        <v>1999</v>
      </c>
      <c r="B24" s="37">
        <f>IFERROR('2c'!B24/'2c'!J24*100,"na")</f>
        <v>215.49114954667724</v>
      </c>
      <c r="C24" s="34">
        <f>IFERROR('2c'!C24/'2c'!K24*100,"na")</f>
        <v>407.33455772090548</v>
      </c>
      <c r="D24" s="34">
        <f>IFERROR('2c'!D24/'2c'!L24*100,"na")</f>
        <v>323.86117749108752</v>
      </c>
      <c r="E24" s="38">
        <f>IFERROR('2c'!E24/'2c'!M24*100,"na")</f>
        <v>331.04405294536241</v>
      </c>
      <c r="F24" s="34">
        <f>IFERROR('2c'!F24/'2c'!J24*100, "na")</f>
        <v>70.965924222378689</v>
      </c>
      <c r="G24" s="34">
        <f>IFERROR('2c'!G24/'2c'!K24*100, "na")</f>
        <v>140.13340454389237</v>
      </c>
      <c r="H24" s="34">
        <f>IFERROR('2c'!H24/'2c'!L24*100, "na")</f>
        <v>3.3634470261534752</v>
      </c>
      <c r="I24" s="38">
        <f>IFERROR('2c'!I24/'2c'!M24*100, "na")</f>
        <v>82.273372862426726</v>
      </c>
      <c r="J24" s="280">
        <f>IFERROR('2c'!J24/'2c'!J24*100,"na")</f>
        <v>100</v>
      </c>
      <c r="K24" s="281">
        <f>IFERROR('2c'!K24/'2c'!K24*100,"na")</f>
        <v>100</v>
      </c>
      <c r="L24" s="281">
        <f>IFERROR('2c'!L24/'2c'!L24*100,"na")</f>
        <v>100</v>
      </c>
      <c r="M24" s="125">
        <f>IFERROR('2c'!M24/'2c'!M24*100,"na")</f>
        <v>100</v>
      </c>
    </row>
    <row r="25" spans="1:13">
      <c r="A25" s="28">
        <v>2000</v>
      </c>
      <c r="B25" s="37">
        <f>IFERROR('2c'!B25/'2c'!J25*100,"na")</f>
        <v>44.765758641019033</v>
      </c>
      <c r="C25" s="34">
        <f>IFERROR('2c'!C25/'2c'!K25*100,"na")</f>
        <v>454.84954835605402</v>
      </c>
      <c r="D25" s="34">
        <f>IFERROR('2c'!D25/'2c'!L25*100,"na")</f>
        <v>94.924038190718704</v>
      </c>
      <c r="E25" s="38">
        <f>IFERROR('2c'!E25/'2c'!M25*100,"na")</f>
        <v>222.54211332749176</v>
      </c>
      <c r="F25" s="34">
        <f>IFERROR('2c'!F25/'2c'!J25*100, "na")</f>
        <v>133.0998516576731</v>
      </c>
      <c r="G25" s="34">
        <f>IFERROR('2c'!G25/'2c'!K25*100, "na")</f>
        <v>264.67349907856936</v>
      </c>
      <c r="H25" s="34">
        <f>IFERROR('2c'!H25/'2c'!L25*100, "na")</f>
        <v>51.107757995280892</v>
      </c>
      <c r="I25" s="38">
        <f>IFERROR('2c'!I25/'2c'!M25*100, "na")</f>
        <v>159.47647005656765</v>
      </c>
      <c r="J25" s="280">
        <f>IFERROR('2c'!J25/'2c'!J25*100,"na")</f>
        <v>100</v>
      </c>
      <c r="K25" s="281">
        <f>IFERROR('2c'!K25/'2c'!K25*100,"na")</f>
        <v>100</v>
      </c>
      <c r="L25" s="281">
        <f>IFERROR('2c'!L25/'2c'!L25*100,"na")</f>
        <v>100</v>
      </c>
      <c r="M25" s="125">
        <f>IFERROR('2c'!M25/'2c'!M25*100,"na")</f>
        <v>100</v>
      </c>
    </row>
    <row r="26" spans="1:13">
      <c r="A26" s="28">
        <v>2001</v>
      </c>
      <c r="B26" s="37">
        <f>IFERROR('2c'!B26/'2c'!J26*100,"na")</f>
        <v>9.6123609075799052</v>
      </c>
      <c r="C26" s="34">
        <f>IFERROR('2c'!C26/'2c'!K26*100,"na")</f>
        <v>312.3836712066925</v>
      </c>
      <c r="D26" s="34">
        <f>IFERROR('2c'!D26/'2c'!L26*100,"na")</f>
        <v>0.37613102567875673</v>
      </c>
      <c r="E26" s="38">
        <f>IFERROR('2c'!E26/'2c'!M26*100,"na")</f>
        <v>133.66094476939011</v>
      </c>
      <c r="F26" s="34">
        <f>IFERROR('2c'!F26/'2c'!J26*100, "na")</f>
        <v>0.62859804665637742</v>
      </c>
      <c r="G26" s="34">
        <f>IFERROR('2c'!G26/'2c'!K26*100, "na")</f>
        <v>177.03366791615011</v>
      </c>
      <c r="H26" s="34">
        <f>IFERROR('2c'!H26/'2c'!L26*100, "na")</f>
        <v>2.6611321278703453</v>
      </c>
      <c r="I26" s="38">
        <f>IFERROR('2c'!I26/'2c'!M26*100, "na")</f>
        <v>75.204775929155559</v>
      </c>
      <c r="J26" s="280">
        <f>IFERROR('2c'!J26/'2c'!J26*100,"na")</f>
        <v>100</v>
      </c>
      <c r="K26" s="281">
        <f>IFERROR('2c'!K26/'2c'!K26*100,"na")</f>
        <v>100</v>
      </c>
      <c r="L26" s="281">
        <f>IFERROR('2c'!L26/'2c'!L26*100,"na")</f>
        <v>100</v>
      </c>
      <c r="M26" s="125">
        <f>IFERROR('2c'!M26/'2c'!M26*100,"na")</f>
        <v>100</v>
      </c>
    </row>
    <row r="27" spans="1:13">
      <c r="A27" s="28">
        <v>2002</v>
      </c>
      <c r="B27" s="37">
        <f>IFERROR('2c'!B27/'2c'!J27*100,"na")</f>
        <v>94.564071214389813</v>
      </c>
      <c r="C27" s="34">
        <f>IFERROR('2c'!C27/'2c'!K27*100,"na")</f>
        <v>242.01165231423946</v>
      </c>
      <c r="D27" s="34">
        <f>IFERROR('2c'!D27/'2c'!L27*100,"na")</f>
        <v>11.136806689148065</v>
      </c>
      <c r="E27" s="38">
        <f>IFERROR('2c'!E27/'2c'!M27*100,"na")</f>
        <v>131.77459279080182</v>
      </c>
      <c r="F27" s="34">
        <f>IFERROR('2c'!F27/'2c'!J27*100, "na")</f>
        <v>8.746097471715327</v>
      </c>
      <c r="G27" s="34">
        <f>IFERROR('2c'!G27/'2c'!K27*100, "na")</f>
        <v>151.15916394802881</v>
      </c>
      <c r="H27" s="34">
        <f>IFERROR('2c'!H27/'2c'!L27*100, "na")</f>
        <v>10.376747982028107</v>
      </c>
      <c r="I27" s="38">
        <f>IFERROR('2c'!I27/'2c'!M27*100, "na")</f>
        <v>67.746799430368597</v>
      </c>
      <c r="J27" s="280">
        <f>IFERROR('2c'!J27/'2c'!J27*100,"na")</f>
        <v>100</v>
      </c>
      <c r="K27" s="281">
        <f>IFERROR('2c'!K27/'2c'!K27*100,"na")</f>
        <v>100</v>
      </c>
      <c r="L27" s="281">
        <f>IFERROR('2c'!L27/'2c'!L27*100,"na")</f>
        <v>100</v>
      </c>
      <c r="M27" s="125">
        <f>IFERROR('2c'!M27/'2c'!M27*100,"na")</f>
        <v>100</v>
      </c>
    </row>
    <row r="28" spans="1:13">
      <c r="A28" s="28">
        <v>2003</v>
      </c>
      <c r="B28" s="37">
        <f>IFERROR('2c'!B28/'2c'!J28*100,"na")</f>
        <v>182.16375161677928</v>
      </c>
      <c r="C28" s="34">
        <f>IFERROR('2c'!C28/'2c'!K28*100,"na")</f>
        <v>224.80314864033807</v>
      </c>
      <c r="D28" s="34">
        <f>IFERROR('2c'!D28/'2c'!L28*100,"na")</f>
        <v>42.809574672378496</v>
      </c>
      <c r="E28" s="38">
        <f>IFERROR('2c'!E28/'2c'!M28*100,"na")</f>
        <v>163.5457289519064</v>
      </c>
      <c r="F28" s="34">
        <f>IFERROR('2c'!F28/'2c'!J28*100, "na")</f>
        <v>57.95224240665349</v>
      </c>
      <c r="G28" s="34">
        <f>IFERROR('2c'!G28/'2c'!K28*100, "na")</f>
        <v>185.9289665765979</v>
      </c>
      <c r="H28" s="34">
        <f>IFERROR('2c'!H28/'2c'!L28*100, "na")</f>
        <v>15.725961835959964</v>
      </c>
      <c r="I28" s="38">
        <f>IFERROR('2c'!I28/'2c'!M28*100, "na")</f>
        <v>98.849110118439512</v>
      </c>
      <c r="J28" s="280">
        <f>IFERROR('2c'!J28/'2c'!J28*100,"na")</f>
        <v>100</v>
      </c>
      <c r="K28" s="281">
        <f>IFERROR('2c'!K28/'2c'!K28*100,"na")</f>
        <v>100</v>
      </c>
      <c r="L28" s="281">
        <f>IFERROR('2c'!L28/'2c'!L28*100,"na")</f>
        <v>100</v>
      </c>
      <c r="M28" s="125">
        <f>IFERROR('2c'!M28/'2c'!M28*100,"na")</f>
        <v>100</v>
      </c>
    </row>
    <row r="29" spans="1:13">
      <c r="A29" s="28">
        <v>2004</v>
      </c>
      <c r="B29" s="37">
        <f>IFERROR('2c'!B29/'2c'!J29*100,"na")</f>
        <v>170.46707668005291</v>
      </c>
      <c r="C29" s="34">
        <f>IFERROR('2c'!C29/'2c'!K29*100,"na")</f>
        <v>267.94970949455291</v>
      </c>
      <c r="D29" s="34">
        <f>IFERROR('2c'!D29/'2c'!L29*100,"na")</f>
        <v>46.169999606296571</v>
      </c>
      <c r="E29" s="38">
        <f>IFERROR('2c'!E29/'2c'!M29*100,"na")</f>
        <v>179.24221525916687</v>
      </c>
      <c r="F29" s="34">
        <f>IFERROR('2c'!F29/'2c'!J29*100, "na")</f>
        <v>55.094001402015046</v>
      </c>
      <c r="G29" s="34">
        <f>IFERROR('2c'!G29/'2c'!K29*100, "na")</f>
        <v>325.56744399266069</v>
      </c>
      <c r="H29" s="34">
        <f>IFERROR('2c'!H29/'2c'!L29*100, "na")</f>
        <v>20.565769326214578</v>
      </c>
      <c r="I29" s="38">
        <f>IFERROR('2c'!I29/'2c'!M29*100, "na")</f>
        <v>151.51083234169957</v>
      </c>
      <c r="J29" s="280">
        <f>IFERROR('2c'!J29/'2c'!J29*100,"na")</f>
        <v>100</v>
      </c>
      <c r="K29" s="281">
        <f>IFERROR('2c'!K29/'2c'!K29*100,"na")</f>
        <v>100</v>
      </c>
      <c r="L29" s="281">
        <f>IFERROR('2c'!L29/'2c'!L29*100,"na")</f>
        <v>100</v>
      </c>
      <c r="M29" s="125">
        <f>IFERROR('2c'!M29/'2c'!M29*100,"na")</f>
        <v>100</v>
      </c>
    </row>
    <row r="30" spans="1:13">
      <c r="A30" s="28">
        <v>2005</v>
      </c>
      <c r="B30" s="37">
        <f>IFERROR('2c'!B30/'2c'!J30*100,"na")</f>
        <v>204.37748507805034</v>
      </c>
      <c r="C30" s="34">
        <f>IFERROR('2c'!C30/'2c'!K30*100,"na")</f>
        <v>353.20666588683565</v>
      </c>
      <c r="D30" s="34">
        <f>IFERROR('2c'!D30/'2c'!L30*100,"na")</f>
        <v>46.85909323220644</v>
      </c>
      <c r="E30" s="38">
        <f>IFERROR('2c'!E30/'2c'!M30*100,"na")</f>
        <v>229.14288058353839</v>
      </c>
      <c r="F30" s="34">
        <f>IFERROR('2c'!F30/'2c'!J30*100, "na")</f>
        <v>80.770676286953147</v>
      </c>
      <c r="G30" s="34">
        <f>IFERROR('2c'!G30/'2c'!K30*100, "na")</f>
        <v>380.76219928443419</v>
      </c>
      <c r="H30" s="34">
        <f>IFERROR('2c'!H30/'2c'!L30*100, "na")</f>
        <v>43.433902540050831</v>
      </c>
      <c r="I30" s="38">
        <f>IFERROR('2c'!I30/'2c'!M30*100, "na")</f>
        <v>188.47748323354588</v>
      </c>
      <c r="J30" s="280">
        <f>IFERROR('2c'!J30/'2c'!J30*100,"na")</f>
        <v>100</v>
      </c>
      <c r="K30" s="281">
        <f>IFERROR('2c'!K30/'2c'!K30*100,"na")</f>
        <v>100</v>
      </c>
      <c r="L30" s="281">
        <f>IFERROR('2c'!L30/'2c'!L30*100,"na")</f>
        <v>100</v>
      </c>
      <c r="M30" s="125">
        <f>IFERROR('2c'!M30/'2c'!M30*100,"na")</f>
        <v>100</v>
      </c>
    </row>
    <row r="31" spans="1:13">
      <c r="A31" s="28">
        <v>2006</v>
      </c>
      <c r="B31" s="37">
        <f>IFERROR('2c'!B31/'2c'!J31*100,"na")</f>
        <v>138.10563124457457</v>
      </c>
      <c r="C31" s="34">
        <f>IFERROR('2c'!C31/'2c'!K31*100,"na")</f>
        <v>285.05760653265742</v>
      </c>
      <c r="D31" s="34">
        <f>IFERROR('2c'!D31/'2c'!L31*100,"na")</f>
        <v>58.350644751350998</v>
      </c>
      <c r="E31" s="38">
        <f>IFERROR('2c'!E31/'2c'!M31*100,"na")</f>
        <v>174.51345539431026</v>
      </c>
      <c r="F31" s="34">
        <f>IFERROR('2c'!F31/'2c'!J31*100, "na")</f>
        <v>70.910162019772528</v>
      </c>
      <c r="G31" s="34">
        <f>IFERROR('2c'!G31/'2c'!K31*100, "na")</f>
        <v>326.46345432802627</v>
      </c>
      <c r="H31" s="34">
        <f>IFERROR('2c'!H31/'2c'!L31*100, "na")</f>
        <v>38.396802016725722</v>
      </c>
      <c r="I31" s="38">
        <f>IFERROR('2c'!I31/'2c'!M31*100, "na")</f>
        <v>154.68758862789085</v>
      </c>
      <c r="J31" s="280">
        <f>IFERROR('2c'!J31/'2c'!J31*100,"na")</f>
        <v>100</v>
      </c>
      <c r="K31" s="281">
        <f>IFERROR('2c'!K31/'2c'!K31*100,"na")</f>
        <v>100</v>
      </c>
      <c r="L31" s="281">
        <f>IFERROR('2c'!L31/'2c'!L31*100,"na")</f>
        <v>100</v>
      </c>
      <c r="M31" s="125">
        <f>IFERROR('2c'!M31/'2c'!M31*100,"na")</f>
        <v>100</v>
      </c>
    </row>
    <row r="32" spans="1:13">
      <c r="A32" s="28">
        <v>2007</v>
      </c>
      <c r="B32" s="37">
        <f>IFERROR('2c'!B32/'2c'!J32*100,"na")</f>
        <v>270.76205440607964</v>
      </c>
      <c r="C32" s="34">
        <f>IFERROR('2c'!C32/'2c'!K32*100,"na")</f>
        <v>243.09136349542783</v>
      </c>
      <c r="D32" s="34">
        <f>IFERROR('2c'!D32/'2c'!L32*100,"na")</f>
        <v>158.22739663208608</v>
      </c>
      <c r="E32" s="38">
        <f>IFERROR('2c'!E32/'2c'!M32*100,"na")</f>
        <v>241.16817824066666</v>
      </c>
      <c r="F32" s="34">
        <f>IFERROR('2c'!F32/'2c'!J32*100, "na")</f>
        <v>32.181814745930581</v>
      </c>
      <c r="G32" s="34">
        <f>IFERROR('2c'!G32/'2c'!K32*100, "na")</f>
        <v>353.99701033573302</v>
      </c>
      <c r="H32" s="34">
        <f>IFERROR('2c'!H32/'2c'!L32*100, "na")</f>
        <v>23.408667376202178</v>
      </c>
      <c r="I32" s="38">
        <f>IFERROR('2c'!I32/'2c'!M32*100, "na")</f>
        <v>153.58265782707687</v>
      </c>
      <c r="J32" s="280">
        <f>IFERROR('2c'!J32/'2c'!J32*100,"na")</f>
        <v>100</v>
      </c>
      <c r="K32" s="281">
        <f>IFERROR('2c'!K32/'2c'!K32*100,"na")</f>
        <v>100</v>
      </c>
      <c r="L32" s="281">
        <f>IFERROR('2c'!L32/'2c'!L32*100,"na")</f>
        <v>100</v>
      </c>
      <c r="M32" s="125">
        <f>IFERROR('2c'!M32/'2c'!M32*100,"na")</f>
        <v>100</v>
      </c>
    </row>
    <row r="33" spans="1:13">
      <c r="A33" s="28">
        <v>2008</v>
      </c>
      <c r="B33" s="37">
        <f>IFERROR('2c'!B33/'2c'!J33*100,"na")</f>
        <v>98.341091310305103</v>
      </c>
      <c r="C33" s="34">
        <f>IFERROR('2c'!C33/'2c'!K33*100,"na")</f>
        <v>251.4305052641559</v>
      </c>
      <c r="D33" s="34">
        <f>IFERROR('2c'!D33/'2c'!L33*100,"na")</f>
        <v>39.867182820888097</v>
      </c>
      <c r="E33" s="38">
        <f>IFERROR('2c'!E33/'2c'!M33*100,"na")</f>
        <v>142.43586092904624</v>
      </c>
      <c r="F33" s="34">
        <f>IFERROR('2c'!F33/'2c'!J33*100, "na")</f>
        <v>33.557719722918414</v>
      </c>
      <c r="G33" s="34">
        <f>IFERROR('2c'!G33/'2c'!K33*100, "na")</f>
        <v>336.28854785545178</v>
      </c>
      <c r="H33" s="34">
        <f>IFERROR('2c'!H33/'2c'!L33*100, "na")</f>
        <v>29.976417068421625</v>
      </c>
      <c r="I33" s="38">
        <f>IFERROR('2c'!I33/'2c'!M33*100, "na")</f>
        <v>140.92244003522489</v>
      </c>
      <c r="J33" s="280">
        <f>IFERROR('2c'!J33/'2c'!J33*100,"na")</f>
        <v>100</v>
      </c>
      <c r="K33" s="281">
        <f>IFERROR('2c'!K33/'2c'!K33*100,"na")</f>
        <v>100</v>
      </c>
      <c r="L33" s="281">
        <f>IFERROR('2c'!L33/'2c'!L33*100,"na")</f>
        <v>100</v>
      </c>
      <c r="M33" s="125">
        <f>IFERROR('2c'!M33/'2c'!M33*100,"na")</f>
        <v>100</v>
      </c>
    </row>
    <row r="34" spans="1:13">
      <c r="A34" s="28">
        <v>2009</v>
      </c>
      <c r="B34" s="37">
        <f>IFERROR('2c'!B34/'2c'!J34*100,"na")</f>
        <v>148.83398676654386</v>
      </c>
      <c r="C34" s="34">
        <f>IFERROR('2c'!C34/'2c'!K34*100,"na")</f>
        <v>246.23205324751009</v>
      </c>
      <c r="D34" s="34">
        <f>IFERROR('2c'!D34/'2c'!L34*100,"na")</f>
        <v>64.158330266803503</v>
      </c>
      <c r="E34" s="38">
        <f>IFERROR('2c'!E34/'2c'!M34*100,"na")</f>
        <v>170.07861439275464</v>
      </c>
      <c r="F34" s="34">
        <f>IFERROR('2c'!F34/'2c'!J34*100, "na")</f>
        <v>64.173467679188263</v>
      </c>
      <c r="G34" s="34">
        <f>IFERROR('2c'!G34/'2c'!K34*100, "na")</f>
        <v>370.58624591382159</v>
      </c>
      <c r="H34" s="34">
        <f>IFERROR('2c'!H34/'2c'!L34*100, "na")</f>
        <v>17.544933630751029</v>
      </c>
      <c r="I34" s="38">
        <f>IFERROR('2c'!I34/'2c'!M34*100, "na")</f>
        <v>171.74500877812596</v>
      </c>
      <c r="J34" s="280">
        <f>IFERROR('2c'!J34/'2c'!J34*100,"na")</f>
        <v>100</v>
      </c>
      <c r="K34" s="281">
        <f>IFERROR('2c'!K34/'2c'!K34*100,"na")</f>
        <v>100</v>
      </c>
      <c r="L34" s="281">
        <f>IFERROR('2c'!L34/'2c'!L34*100,"na")</f>
        <v>100</v>
      </c>
      <c r="M34" s="125">
        <f>IFERROR('2c'!M34/'2c'!M34*100,"na")</f>
        <v>100</v>
      </c>
    </row>
    <row r="35" spans="1:13">
      <c r="A35" s="29">
        <v>2010</v>
      </c>
      <c r="B35" s="39">
        <f>IFERROR('2c'!B35/'2c'!J35*100,"na")</f>
        <v>133.29039231533869</v>
      </c>
      <c r="C35" s="40">
        <f>IFERROR('2c'!C35/'2c'!K35*100,"na")</f>
        <v>197.66557632586679</v>
      </c>
      <c r="D35" s="40">
        <f>IFERROR('2c'!D35/'2c'!L35*100,"na")</f>
        <v>70.49304242978296</v>
      </c>
      <c r="E35" s="41">
        <f>IFERROR('2c'!E35/'2c'!M35*100,"na")</f>
        <v>143.45857752493478</v>
      </c>
      <c r="F35" s="40">
        <f>IFERROR('2c'!F35/'2c'!J35*100, "na")</f>
        <v>96.192528946255052</v>
      </c>
      <c r="G35" s="40">
        <f>IFERROR('2c'!G35/'2c'!K35*100, "na")</f>
        <v>402.4980092955268</v>
      </c>
      <c r="H35" s="40">
        <f>IFERROR('2c'!H35/'2c'!L35*100, "na")</f>
        <v>32.457090052676968</v>
      </c>
      <c r="I35" s="41">
        <f>IFERROR('2c'!I35/'2c'!M35*100, "na")</f>
        <v>189.33341892661036</v>
      </c>
      <c r="J35" s="282">
        <f>IFERROR('2c'!J35/'2c'!J35*100,"na")</f>
        <v>100</v>
      </c>
      <c r="K35" s="283">
        <f>IFERROR('2c'!K35/'2c'!K35*100,"na")</f>
        <v>100</v>
      </c>
      <c r="L35" s="283">
        <f>IFERROR('2c'!L35/'2c'!L35*100,"na")</f>
        <v>100</v>
      </c>
      <c r="M35" s="128">
        <f>IFERROR('2c'!M35/'2c'!M35*100,"na")</f>
        <v>100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</row>
    <row r="38" spans="1:13">
      <c r="A38" s="15" t="s">
        <v>53</v>
      </c>
      <c r="B38" s="82" t="str">
        <f>IFERROR((POWER(B15/B6,1/($A15-$A6))-1)*100,"na")</f>
        <v>na</v>
      </c>
      <c r="C38" s="83" t="str">
        <f t="shared" ref="C38:M38" si="0">IFERROR((POWER(C15/C6,1/($A15-$A6))-1)*100,"na")</f>
        <v>na</v>
      </c>
      <c r="D38" s="83" t="str">
        <f t="shared" si="0"/>
        <v>na</v>
      </c>
      <c r="E38" s="84" t="str">
        <f t="shared" si="0"/>
        <v>na</v>
      </c>
      <c r="F38" s="82" t="str">
        <f t="shared" si="0"/>
        <v>na</v>
      </c>
      <c r="G38" s="83" t="str">
        <f t="shared" si="0"/>
        <v>na</v>
      </c>
      <c r="H38" s="83" t="str">
        <f t="shared" si="0"/>
        <v>na</v>
      </c>
      <c r="I38" s="84" t="str">
        <f t="shared" si="0"/>
        <v>na</v>
      </c>
      <c r="J38" s="82" t="str">
        <f t="shared" si="0"/>
        <v>na</v>
      </c>
      <c r="K38" s="83" t="str">
        <f t="shared" si="0"/>
        <v>na</v>
      </c>
      <c r="L38" s="83" t="str">
        <f t="shared" si="0"/>
        <v>na</v>
      </c>
      <c r="M38" s="84" t="str">
        <f t="shared" si="0"/>
        <v>na</v>
      </c>
    </row>
    <row r="39" spans="1:13">
      <c r="A39" s="16" t="s">
        <v>71</v>
      </c>
      <c r="B39" s="37" t="str">
        <f>IFERROR((POWER(B$25/B15,1/($A$25-$A$15))-1)*100, "na")</f>
        <v>na</v>
      </c>
      <c r="C39" s="34" t="str">
        <f t="shared" ref="C39:M39" si="1">IFERROR((POWER(C$25/C15,1/($A$25-$A$15))-1)*100, "na")</f>
        <v>na</v>
      </c>
      <c r="D39" s="34" t="str">
        <f t="shared" si="1"/>
        <v>na</v>
      </c>
      <c r="E39" s="38" t="str">
        <f t="shared" si="1"/>
        <v>na</v>
      </c>
      <c r="F39" s="37" t="str">
        <f t="shared" si="1"/>
        <v>na</v>
      </c>
      <c r="G39" s="34" t="str">
        <f t="shared" si="1"/>
        <v>na</v>
      </c>
      <c r="H39" s="34" t="str">
        <f t="shared" si="1"/>
        <v>na</v>
      </c>
      <c r="I39" s="38" t="str">
        <f t="shared" si="1"/>
        <v>na</v>
      </c>
      <c r="J39" s="37" t="str">
        <f t="shared" si="1"/>
        <v>na</v>
      </c>
      <c r="K39" s="34" t="str">
        <f t="shared" si="1"/>
        <v>na</v>
      </c>
      <c r="L39" s="34" t="str">
        <f t="shared" si="1"/>
        <v>na</v>
      </c>
      <c r="M39" s="38" t="str">
        <f t="shared" si="1"/>
        <v>na</v>
      </c>
    </row>
    <row r="40" spans="1:13">
      <c r="A40" s="16" t="s">
        <v>69</v>
      </c>
      <c r="B40" s="37">
        <f>IFERROR((POWER(B$35/B25,1/($A$35-$A$25))-1)*100,"na")</f>
        <v>11.528353245116918</v>
      </c>
      <c r="C40" s="34">
        <f t="shared" ref="C40:M40" si="2">IFERROR((POWER(C$35/C25,1/($A$35-$A$25))-1)*100,"na")</f>
        <v>-7.996080879084067</v>
      </c>
      <c r="D40" s="34">
        <f t="shared" si="2"/>
        <v>-2.9317935954284891</v>
      </c>
      <c r="E40" s="38">
        <f t="shared" si="2"/>
        <v>-4.2957043767440695</v>
      </c>
      <c r="F40" s="37">
        <f t="shared" si="2"/>
        <v>-3.1953147748707722</v>
      </c>
      <c r="G40" s="34">
        <f t="shared" si="2"/>
        <v>4.2810337621764116</v>
      </c>
      <c r="H40" s="34">
        <f t="shared" si="2"/>
        <v>-4.4386502948902677</v>
      </c>
      <c r="I40" s="38">
        <f t="shared" si="2"/>
        <v>1.730942082844833</v>
      </c>
      <c r="J40" s="37">
        <f t="shared" si="2"/>
        <v>0</v>
      </c>
      <c r="K40" s="34">
        <f t="shared" si="2"/>
        <v>0</v>
      </c>
      <c r="L40" s="34">
        <f t="shared" si="2"/>
        <v>0</v>
      </c>
      <c r="M40" s="38">
        <f t="shared" si="2"/>
        <v>0</v>
      </c>
    </row>
    <row r="41" spans="1:13">
      <c r="A41" s="17" t="s">
        <v>70</v>
      </c>
      <c r="B41" s="39" t="str">
        <f>IFERROR((POWER(B35/B6,1/($A$35-$A$6))-1)*100,"na")</f>
        <v>na</v>
      </c>
      <c r="C41" s="40" t="str">
        <f t="shared" ref="C41:M41" si="3">IFERROR((POWER(C35/C6,1/($A$35-$A$6))-1)*100,"na")</f>
        <v>na</v>
      </c>
      <c r="D41" s="40" t="str">
        <f t="shared" si="3"/>
        <v>na</v>
      </c>
      <c r="E41" s="41" t="str">
        <f t="shared" si="3"/>
        <v>na</v>
      </c>
      <c r="F41" s="39" t="str">
        <f t="shared" si="3"/>
        <v>na</v>
      </c>
      <c r="G41" s="40" t="str">
        <f t="shared" si="3"/>
        <v>na</v>
      </c>
      <c r="H41" s="40" t="str">
        <f t="shared" si="3"/>
        <v>na</v>
      </c>
      <c r="I41" s="41" t="str">
        <f t="shared" si="3"/>
        <v>na</v>
      </c>
      <c r="J41" s="39" t="str">
        <f t="shared" si="3"/>
        <v>na</v>
      </c>
      <c r="K41" s="40" t="str">
        <f t="shared" si="3"/>
        <v>na</v>
      </c>
      <c r="L41" s="40" t="str">
        <f t="shared" si="3"/>
        <v>na</v>
      </c>
      <c r="M41" s="41" t="str">
        <f t="shared" si="3"/>
        <v>na</v>
      </c>
    </row>
    <row r="43" spans="1:13">
      <c r="A43" s="204" t="s">
        <v>178</v>
      </c>
    </row>
  </sheetData>
  <mergeCells count="4">
    <mergeCell ref="B4:E4"/>
    <mergeCell ref="F4:I4"/>
    <mergeCell ref="J4:M4"/>
    <mergeCell ref="A37:M37"/>
  </mergeCells>
  <pageMargins left="0.7" right="0.7" top="0.75" bottom="0.75" header="0.3" footer="0.3"/>
  <pageSetup scale="71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M45"/>
  <sheetViews>
    <sheetView view="pageBreakPreview" zoomScale="60" zoomScaleNormal="100" workbookViewId="0">
      <selection activeCell="P22" sqref="P22"/>
    </sheetView>
  </sheetViews>
  <sheetFormatPr defaultRowHeight="15"/>
  <cols>
    <col min="1" max="1" width="10.28515625" customWidth="1"/>
    <col min="2" max="2" width="11.42578125" customWidth="1"/>
    <col min="4" max="4" width="18.85546875" customWidth="1"/>
    <col min="5" max="5" width="13.140625" customWidth="1"/>
    <col min="6" max="6" width="11.5703125" customWidth="1"/>
    <col min="8" max="8" width="18.28515625" customWidth="1"/>
    <col min="9" max="9" width="14.140625" customWidth="1"/>
    <col min="10" max="10" width="11.28515625" customWidth="1"/>
    <col min="12" max="12" width="17.28515625" customWidth="1"/>
    <col min="13" max="13" width="15.140625" customWidth="1"/>
  </cols>
  <sheetData>
    <row r="1" spans="1:13">
      <c r="A1" s="78" t="s">
        <v>131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7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45">
      <c r="A4" s="18"/>
      <c r="B4" s="273" t="s">
        <v>0</v>
      </c>
      <c r="C4" s="274" t="s">
        <v>1</v>
      </c>
      <c r="D4" s="274" t="s">
        <v>2</v>
      </c>
      <c r="E4" s="275" t="s">
        <v>72</v>
      </c>
      <c r="F4" s="273" t="s">
        <v>0</v>
      </c>
      <c r="G4" s="274" t="s">
        <v>1</v>
      </c>
      <c r="H4" s="274" t="s">
        <v>2</v>
      </c>
      <c r="I4" s="275" t="s">
        <v>72</v>
      </c>
      <c r="J4" s="273" t="s">
        <v>39</v>
      </c>
      <c r="K4" s="274" t="s">
        <v>41</v>
      </c>
      <c r="L4" s="274" t="s">
        <v>40</v>
      </c>
      <c r="M4" s="275" t="s">
        <v>72</v>
      </c>
    </row>
    <row r="5" spans="1:13">
      <c r="A5" s="15">
        <v>1981</v>
      </c>
      <c r="B5" s="35">
        <f>IFERROR('2a'!B5/'2b'!$B5*100, "na")</f>
        <v>4.2992168512017287E-2</v>
      </c>
      <c r="C5" s="30">
        <f>IFERROR('2a'!C5/'2b'!$B5*100, "na")</f>
        <v>0.70348906292195512</v>
      </c>
      <c r="D5" s="30">
        <f>IFERROR('2a'!D5/'2b'!$B5*100, "na")</f>
        <v>2.9598217661355659</v>
      </c>
      <c r="E5" s="36">
        <f>IFERROR('2a'!E5/'2b'!$B5*100, "na")</f>
        <v>3.7063029975695376</v>
      </c>
      <c r="F5" s="35">
        <f>IFERROR('2a'!F5/'2b'!$C5*100, "na")</f>
        <v>8.2909460834181076E-2</v>
      </c>
      <c r="G5" s="30">
        <f>IFERROR('2a'!G5/'2b'!$C5*100, "na")</f>
        <v>0.38961761713841181</v>
      </c>
      <c r="H5" s="30">
        <f>IFERROR('2a'!H5/'2b'!$C5*100, "na")</f>
        <v>1.484519178983903</v>
      </c>
      <c r="I5" s="36">
        <f>IFERROR('2a'!I5/'2b'!$C5*100, "na")</f>
        <v>1.9570462569564957</v>
      </c>
      <c r="J5" s="44">
        <f>IFERROR('2a'!J5/'2b'!$D5*100, "na")</f>
        <v>9.4690238528011048E-2</v>
      </c>
      <c r="K5" s="99">
        <f>IFERROR('2a'!K5/'2b'!$D5*100, "na")</f>
        <v>0.72388529534215407</v>
      </c>
      <c r="L5" s="99">
        <f>IFERROR('2a'!L5/'2b'!$D5*100, "na")</f>
        <v>3.1910356522710424</v>
      </c>
      <c r="M5" s="84">
        <f>IFERROR('2a'!M5/'2b'!$D5*100, "na")</f>
        <v>4.0096111861412078</v>
      </c>
    </row>
    <row r="6" spans="1:13">
      <c r="A6" s="16">
        <v>1982</v>
      </c>
      <c r="B6" s="37">
        <f>IFERROR('2a'!B6/'2b'!$B6*100, "na")</f>
        <v>4.3452380952380951E-2</v>
      </c>
      <c r="C6" s="34">
        <f>IFERROR('2a'!C6/'2b'!$B6*100, "na")</f>
        <v>1.1194490586932448</v>
      </c>
      <c r="D6" s="34">
        <f>IFERROR('2a'!D6/'2b'!$B6*100, "na")</f>
        <v>2.6747508305647845</v>
      </c>
      <c r="E6" s="38">
        <f>IFERROR('2a'!E6/'2b'!$B6*100, "na")</f>
        <v>3.8376522702104099</v>
      </c>
      <c r="F6" s="37">
        <f>IFERROR('2a'!F6/'2b'!$C6*100, "na")</f>
        <v>6.3563582200707514E-2</v>
      </c>
      <c r="G6" s="34">
        <f>IFERROR('2a'!G6/'2b'!$C6*100, "na")</f>
        <v>0.5342332278284615</v>
      </c>
      <c r="H6" s="34">
        <f>IFERROR('2a'!H6/'2b'!$C6*100, "na")</f>
        <v>1.0151927015453361</v>
      </c>
      <c r="I6" s="38">
        <f>IFERROR('2a'!I6/'2b'!$C6*100, "na")</f>
        <v>1.612989511574505</v>
      </c>
      <c r="J6" s="147">
        <f>IFERROR('2a'!J6/'2b'!$D6*100, "na")</f>
        <v>9.9952912356317689E-2</v>
      </c>
      <c r="K6" s="100">
        <f>IFERROR('2a'!K6/'2b'!$D6*100, "na")</f>
        <v>0.98869607670374926</v>
      </c>
      <c r="L6" s="100">
        <f>IFERROR('2a'!L6/'2b'!$D6*100, "na")</f>
        <v>3.3386006014507612</v>
      </c>
      <c r="M6" s="87">
        <f>IFERROR('2a'!M6/'2b'!$D6*100, "na")</f>
        <v>4.4272495905108293</v>
      </c>
    </row>
    <row r="7" spans="1:13">
      <c r="A7" s="16">
        <v>1983</v>
      </c>
      <c r="B7" s="37">
        <f>IFERROR('2a'!B7/'2b'!$B7*100, "na")</f>
        <v>6.9327731092436992E-2</v>
      </c>
      <c r="C7" s="34">
        <f>IFERROR('2a'!C7/'2b'!$B7*100, "na")</f>
        <v>1.2082661636083003</v>
      </c>
      <c r="D7" s="34">
        <f>IFERROR('2a'!D7/'2b'!$B7*100, "na")</f>
        <v>2.8050505916652373</v>
      </c>
      <c r="E7" s="38">
        <f>IFERROR('2a'!E7/'2b'!$B7*100, "na")</f>
        <v>4.0826444863659743</v>
      </c>
      <c r="F7" s="37">
        <f>IFERROR('2a'!F7/'2b'!$C7*100, "na")</f>
        <v>8.390024003278497E-2</v>
      </c>
      <c r="G7" s="34">
        <f>IFERROR('2a'!G7/'2b'!$C7*100, "na")</f>
        <v>0.53331772144488032</v>
      </c>
      <c r="H7" s="34">
        <f>IFERROR('2a'!H7/'2b'!$C7*100, "na")</f>
        <v>0.88199168666939876</v>
      </c>
      <c r="I7" s="38">
        <f>IFERROR('2a'!I7/'2b'!$C7*100, "na")</f>
        <v>1.499209648147064</v>
      </c>
      <c r="J7" s="147">
        <f>IFERROR('2a'!J7/'2b'!$D7*100, "na")</f>
        <v>0.18092854950186513</v>
      </c>
      <c r="K7" s="100">
        <f>IFERROR('2a'!K7/'2b'!$D7*100, "na")</f>
        <v>1.2630890255284448</v>
      </c>
      <c r="L7" s="100">
        <f>IFERROR('2a'!L7/'2b'!$D7*100, "na")</f>
        <v>2.9204379494144241</v>
      </c>
      <c r="M7" s="87">
        <f>IFERROR('2a'!M7/'2b'!$D7*100, "na")</f>
        <v>4.3644555244447343</v>
      </c>
    </row>
    <row r="8" spans="1:13">
      <c r="A8" s="16">
        <v>1984</v>
      </c>
      <c r="B8" s="37">
        <f>IFERROR('2a'!B8/'2b'!$B8*100, "na")</f>
        <v>8.410502958579881E-2</v>
      </c>
      <c r="C8" s="34">
        <f>IFERROR('2a'!C8/'2b'!$B8*100, "na")</f>
        <v>1.7564349112426034</v>
      </c>
      <c r="D8" s="34">
        <f>IFERROR('2a'!D8/'2b'!$B8*100, "na")</f>
        <v>2.8985946745562132</v>
      </c>
      <c r="E8" s="38">
        <f>IFERROR('2a'!E8/'2b'!$B8*100, "na")</f>
        <v>4.7391346153846152</v>
      </c>
      <c r="F8" s="37">
        <f>IFERROR('2a'!F8/'2b'!$C8*100, "na")</f>
        <v>9.5425494141318498E-2</v>
      </c>
      <c r="G8" s="34">
        <f>IFERROR('2a'!G8/'2b'!$C8*100, "na")</f>
        <v>0.58779145461001314</v>
      </c>
      <c r="H8" s="34">
        <f>IFERROR('2a'!H8/'2b'!$C8*100, "na")</f>
        <v>0.85437329861522082</v>
      </c>
      <c r="I8" s="38">
        <f>IFERROR('2a'!I8/'2b'!$C8*100, "na")</f>
        <v>1.5375902473665524</v>
      </c>
      <c r="J8" s="147">
        <f>IFERROR('2a'!J8/'2b'!$D8*100, "na")</f>
        <v>0.22378361308815314</v>
      </c>
      <c r="K8" s="100">
        <f>IFERROR('2a'!K8/'2b'!$D8*100, "na")</f>
        <v>1.5458376855248137</v>
      </c>
      <c r="L8" s="100">
        <f>IFERROR('2a'!L8/'2b'!$D8*100, "na")</f>
        <v>3.0107549736439383</v>
      </c>
      <c r="M8" s="87">
        <f>IFERROR('2a'!M8/'2b'!$D8*100, "na")</f>
        <v>4.7803762722569045</v>
      </c>
    </row>
    <row r="9" spans="1:13">
      <c r="A9" s="16">
        <v>1985</v>
      </c>
      <c r="B9" s="37">
        <f>IFERROR('2a'!B9/'2b'!$B9*100, "na")</f>
        <v>0.46144294863416541</v>
      </c>
      <c r="C9" s="34">
        <f>IFERROR('2a'!C9/'2b'!$B9*100, "na")</f>
        <v>2.466239707227813</v>
      </c>
      <c r="D9" s="34">
        <f>IFERROR('2a'!D9/'2b'!$B9*100, "na")</f>
        <v>33.734139328192391</v>
      </c>
      <c r="E9" s="38">
        <f>IFERROR('2a'!E9/'2b'!$B9*100, "na")</f>
        <v>36.66182198405437</v>
      </c>
      <c r="F9" s="37">
        <f>IFERROR('2a'!F9/'2b'!$C9*100, "na")</f>
        <v>0.10476912250311264</v>
      </c>
      <c r="G9" s="34">
        <f>IFERROR('2a'!G9/'2b'!$C9*100, "na")</f>
        <v>0.89598332701780969</v>
      </c>
      <c r="H9" s="34">
        <f>IFERROR('2a'!H9/'2b'!$C9*100, "na")</f>
        <v>2.5625290965192442</v>
      </c>
      <c r="I9" s="38">
        <f>IFERROR('2a'!I9/'2b'!$C9*100, "na")</f>
        <v>3.5632815460401668</v>
      </c>
      <c r="J9" s="147">
        <f>IFERROR('2a'!J9/'2b'!$D9*100, "na")</f>
        <v>0.26343793534383991</v>
      </c>
      <c r="K9" s="100">
        <f>IFERROR('2a'!K9/'2b'!$D9*100, "na")</f>
        <v>1.6773433535339906</v>
      </c>
      <c r="L9" s="100">
        <f>IFERROR('2a'!L9/'2b'!$D9*100, "na")</f>
        <v>2.7914018581230682</v>
      </c>
      <c r="M9" s="87">
        <f>IFERROR('2a'!M9/'2b'!$D9*100, "na")</f>
        <v>4.7321831470008986</v>
      </c>
    </row>
    <row r="10" spans="1:13">
      <c r="A10" s="16">
        <v>1986</v>
      </c>
      <c r="B10" s="37">
        <f>IFERROR('2a'!B10/'2b'!$B10*100, "na")</f>
        <v>0.22380231971759959</v>
      </c>
      <c r="C10" s="34">
        <f>IFERROR('2a'!C10/'2b'!$B10*100, "na")</f>
        <v>2.5082114641116156</v>
      </c>
      <c r="D10" s="34">
        <f>IFERROR('2a'!D10/'2b'!$B10*100, "na")</f>
        <v>6.3257690368129103</v>
      </c>
      <c r="E10" s="38">
        <f>IFERROR('2a'!E10/'2b'!$B10*100, "na")</f>
        <v>9.0577828206421245</v>
      </c>
      <c r="F10" s="37">
        <f>IFERROR('2a'!F10/'2b'!$C10*100, "na")</f>
        <v>0.11891891891891891</v>
      </c>
      <c r="G10" s="34">
        <f>IFERROR('2a'!G10/'2b'!$C10*100, "na")</f>
        <v>0.81190827190827186</v>
      </c>
      <c r="H10" s="34">
        <f>IFERROR('2a'!H10/'2b'!$C10*100, "na")</f>
        <v>1.901859131859132</v>
      </c>
      <c r="I10" s="38">
        <f>IFERROR('2a'!I10/'2b'!$C10*100, "na")</f>
        <v>2.8326863226863228</v>
      </c>
      <c r="J10" s="147">
        <f>IFERROR('2a'!J10/'2b'!$D10*100, "na")</f>
        <v>0.32651254167877253</v>
      </c>
      <c r="K10" s="100">
        <f>IFERROR('2a'!K10/'2b'!$D10*100, "na")</f>
        <v>2.1123701213353807</v>
      </c>
      <c r="L10" s="100">
        <f>IFERROR('2a'!L10/'2b'!$D10*100, "na")</f>
        <v>2.9621328463315764</v>
      </c>
      <c r="M10" s="87">
        <f>IFERROR('2a'!M10/'2b'!$D10*100, "na")</f>
        <v>5.4010155093457302</v>
      </c>
    </row>
    <row r="11" spans="1:13">
      <c r="A11" s="16">
        <v>1987</v>
      </c>
      <c r="B11" s="37">
        <f>IFERROR('2a'!B11/'2b'!$B11*100, "na")</f>
        <v>0.27082077645807479</v>
      </c>
      <c r="C11" s="34">
        <f>IFERROR('2a'!C11/'2b'!$B11*100, "na")</f>
        <v>3.2335401524552387</v>
      </c>
      <c r="D11" s="34">
        <f>IFERROR('2a'!D11/'2b'!$B11*100, "na")</f>
        <v>4.3904095018613711</v>
      </c>
      <c r="E11" s="38">
        <f>IFERROR('2a'!E11/'2b'!$B11*100, "na")</f>
        <v>7.8947704307746847</v>
      </c>
      <c r="F11" s="37">
        <f>IFERROR('2a'!F11/'2b'!$C11*100, "na")</f>
        <v>0.25156794425087109</v>
      </c>
      <c r="G11" s="34">
        <f>IFERROR('2a'!G11/'2b'!$C11*100, "na")</f>
        <v>1.1977600796416128</v>
      </c>
      <c r="H11" s="34">
        <f>IFERROR('2a'!H11/'2b'!$C11*100, "na")</f>
        <v>1.3683623693379792</v>
      </c>
      <c r="I11" s="38">
        <f>IFERROR('2a'!I11/'2b'!$C11*100, "na")</f>
        <v>2.8176903932304631</v>
      </c>
      <c r="J11" s="147">
        <f>IFERROR('2a'!J11/'2b'!$D11*100, "na")</f>
        <v>0.50628237760522365</v>
      </c>
      <c r="K11" s="100">
        <f>IFERROR('2a'!K11/'2b'!$D11*100, "na")</f>
        <v>2.2814318029797827</v>
      </c>
      <c r="L11" s="100">
        <f>IFERROR('2a'!L11/'2b'!$D11*100, "na")</f>
        <v>3.374541481900152</v>
      </c>
      <c r="M11" s="87">
        <f>IFERROR('2a'!M11/'2b'!$D11*100, "na")</f>
        <v>6.1622556624851583</v>
      </c>
    </row>
    <row r="12" spans="1:13">
      <c r="A12" s="16">
        <v>1988</v>
      </c>
      <c r="B12" s="37">
        <f>IFERROR('2a'!B12/'2b'!$B12*100, "na")</f>
        <v>7.3360655737704922E-2</v>
      </c>
      <c r="C12" s="34">
        <f>IFERROR('2a'!C12/'2b'!$B12*100, "na")</f>
        <v>1.5428766588602654</v>
      </c>
      <c r="D12" s="34">
        <f>IFERROR('2a'!D12/'2b'!$B12*100, "na")</f>
        <v>0.40597840228987769</v>
      </c>
      <c r="E12" s="38">
        <f>IFERROR('2a'!E12/'2b'!$B12*100, "na")</f>
        <v>2.0222157168878478</v>
      </c>
      <c r="F12" s="37">
        <f>IFERROR('2a'!F12/'2b'!$C12*100, "na")</f>
        <v>0.22609729515505797</v>
      </c>
      <c r="G12" s="34">
        <f>IFERROR('2a'!G12/'2b'!$C12*100, "na")</f>
        <v>0.97838105617754878</v>
      </c>
      <c r="H12" s="34">
        <f>IFERROR('2a'!H12/'2b'!$C12*100, "na")</f>
        <v>0.45298721886455962</v>
      </c>
      <c r="I12" s="38">
        <f>IFERROR('2a'!I12/'2b'!$C12*100, "na")</f>
        <v>1.6574655701971666</v>
      </c>
      <c r="J12" s="147">
        <f>IFERROR('2a'!J12/'2b'!$D12*100, "na")</f>
        <v>0.41067536211503303</v>
      </c>
      <c r="K12" s="100">
        <f>IFERROR('2a'!K12/'2b'!$D12*100, "na")</f>
        <v>2.5521639009984529</v>
      </c>
      <c r="L12" s="100">
        <f>IFERROR('2a'!L12/'2b'!$D12*100, "na")</f>
        <v>3.4816217831528613</v>
      </c>
      <c r="M12" s="87">
        <f>IFERROR('2a'!M12/'2b'!$D12*100, "na")</f>
        <v>6.4444610462663476</v>
      </c>
    </row>
    <row r="13" spans="1:13">
      <c r="A13" s="16">
        <v>1989</v>
      </c>
      <c r="B13" s="37">
        <f>IFERROR('2a'!B13/'2b'!$B13*100, "na")</f>
        <v>0.15547823272374173</v>
      </c>
      <c r="C13" s="34">
        <f>IFERROR('2a'!C13/'2b'!$B13*100, "na")</f>
        <v>1.7613489237740734</v>
      </c>
      <c r="D13" s="34">
        <f>IFERROR('2a'!D13/'2b'!$B13*100, "na")</f>
        <v>2.0819509629389872</v>
      </c>
      <c r="E13" s="38">
        <f>IFERROR('2a'!E13/'2b'!$B13*100, "na")</f>
        <v>3.9987781194368024</v>
      </c>
      <c r="F13" s="37">
        <f>IFERROR('2a'!F13/'2b'!$C13*100, "na")</f>
        <v>0.27882982891471858</v>
      </c>
      <c r="G13" s="34">
        <f>IFERROR('2a'!G13/'2b'!$C13*100, "na")</f>
        <v>1.494501763092595</v>
      </c>
      <c r="H13" s="34">
        <f>IFERROR('2a'!H13/'2b'!$C13*100, "na")</f>
        <v>4.8752644638892511</v>
      </c>
      <c r="I13" s="38">
        <f>IFERROR('2a'!I13/'2b'!$C13*100, "na")</f>
        <v>6.6485960558965651</v>
      </c>
      <c r="J13" s="147">
        <f>IFERROR('2a'!J13/'2b'!$D13*100, "na")</f>
        <v>0.52049920511058279</v>
      </c>
      <c r="K13" s="100">
        <f>IFERROR('2a'!K13/'2b'!$D13*100, "na")</f>
        <v>2.8741828859112744</v>
      </c>
      <c r="L13" s="100">
        <f>IFERROR('2a'!L13/'2b'!$D13*100, "na")</f>
        <v>3.7480933571366934</v>
      </c>
      <c r="M13" s="87">
        <f>IFERROR('2a'!M13/'2b'!$D13*100, "na")</f>
        <v>7.1427754481585506</v>
      </c>
    </row>
    <row r="14" spans="1:13">
      <c r="A14" s="16">
        <v>1990</v>
      </c>
      <c r="B14" s="37">
        <f>IFERROR('2a'!B14/'2b'!$B14*100, "na")</f>
        <v>5.4154954321855228E-3</v>
      </c>
      <c r="C14" s="34">
        <f>IFERROR('2a'!C14/'2b'!$B14*100, "na")</f>
        <v>2.2456825368938858</v>
      </c>
      <c r="D14" s="34">
        <f>IFERROR('2a'!D14/'2b'!$B14*100, "na")</f>
        <v>1.1236516163035841</v>
      </c>
      <c r="E14" s="38">
        <f>IFERROR('2a'!E14/'2b'!$B14*100, "na")</f>
        <v>3.3747496486296553</v>
      </c>
      <c r="F14" s="37">
        <f>IFERROR('2a'!F14/'2b'!$C14*100, "na")</f>
        <v>0.29218794630105682</v>
      </c>
      <c r="G14" s="34">
        <f>IFERROR('2a'!G14/'2b'!$C14*100, "na")</f>
        <v>1.6409311625249927</v>
      </c>
      <c r="H14" s="34">
        <f>IFERROR('2a'!H14/'2b'!$C14*100, "na")</f>
        <v>0.67780634104541559</v>
      </c>
      <c r="I14" s="38">
        <f>IFERROR('2a'!I14/'2b'!$C14*100, "na")</f>
        <v>2.6109254498714654</v>
      </c>
      <c r="J14" s="147">
        <f>IFERROR('2a'!J14/'2b'!$D14*100, "na")</f>
        <v>0.53867318082097926</v>
      </c>
      <c r="K14" s="100">
        <f>IFERROR('2a'!K14/'2b'!$D14*100, "na")</f>
        <v>3.4719577147404737</v>
      </c>
      <c r="L14" s="100">
        <f>IFERROR('2a'!L14/'2b'!$D14*100, "na")</f>
        <v>4.123727792897558</v>
      </c>
      <c r="M14" s="87">
        <f>IFERROR('2a'!M14/'2b'!$D14*100, "na")</f>
        <v>8.1343586884590113</v>
      </c>
    </row>
    <row r="15" spans="1:13">
      <c r="A15" s="16">
        <v>1991</v>
      </c>
      <c r="B15" s="37">
        <f>IFERROR('2a'!B15/'2b'!$B15*100, "na")</f>
        <v>9.9300452648286408E-2</v>
      </c>
      <c r="C15" s="34">
        <f>IFERROR('2a'!C15/'2b'!$B15*100, "na")</f>
        <v>1.9658103580036446</v>
      </c>
      <c r="D15" s="34">
        <f>IFERROR('2a'!D15/'2b'!$B15*100, "na")</f>
        <v>3.9818323437775556</v>
      </c>
      <c r="E15" s="38">
        <f>IFERROR('2a'!E15/'2b'!$B15*100, "na")</f>
        <v>6.0469431544294867</v>
      </c>
      <c r="F15" s="37">
        <f>IFERROR('2a'!F15/'2b'!$C15*100, "na")</f>
        <v>0.60491997628927086</v>
      </c>
      <c r="G15" s="34">
        <f>IFERROR('2a'!G15/'2b'!$C15*100, "na")</f>
        <v>1.7996048211815843</v>
      </c>
      <c r="H15" s="34">
        <f>IFERROR('2a'!H15/'2b'!$C15*100, "na")</f>
        <v>0.97071724955542382</v>
      </c>
      <c r="I15" s="38">
        <f>IFERROR('2a'!I15/'2b'!$C15*100, "na")</f>
        <v>3.3752420470262794</v>
      </c>
      <c r="J15" s="147">
        <f>IFERROR('2a'!J15/'2b'!$D15*100, "na")</f>
        <v>0.69883654813454055</v>
      </c>
      <c r="K15" s="100">
        <f>IFERROR('2a'!K15/'2b'!$D15*100, "na")</f>
        <v>3.8005729781743427</v>
      </c>
      <c r="L15" s="100">
        <f>IFERROR('2a'!L15/'2b'!$D15*100, "na")</f>
        <v>4.2459432270480688</v>
      </c>
      <c r="M15" s="87">
        <f>IFERROR('2a'!M15/'2b'!$D15*100, "na")</f>
        <v>8.7453527533569524</v>
      </c>
    </row>
    <row r="16" spans="1:13">
      <c r="A16" s="16">
        <v>1992</v>
      </c>
      <c r="B16" s="37">
        <f>IFERROR('2a'!B16/'2b'!$B16*100, "na")</f>
        <v>0.27326047904191614</v>
      </c>
      <c r="C16" s="34">
        <f>IFERROR('2a'!C16/'2b'!$B16*100, "na")</f>
        <v>2.222865269461078</v>
      </c>
      <c r="D16" s="34" t="str">
        <f>IFERROR('2a'!D16/'2b'!$B16*100, "na")</f>
        <v>na</v>
      </c>
      <c r="E16" s="34" t="str">
        <f>IFERROR('2a'!E16/'2b'!$B16*100, "na")</f>
        <v>na</v>
      </c>
      <c r="F16" s="37">
        <f>IFERROR('2a'!F16/'2b'!$C16*100, "na")</f>
        <v>0.55010312822275698</v>
      </c>
      <c r="G16" s="34">
        <f>IFERROR('2a'!G16/'2b'!$C16*100, "na")</f>
        <v>1.3426091440357513</v>
      </c>
      <c r="H16" s="34" t="str">
        <f>IFERROR('2a'!H16/'2b'!$C16*100, "na")</f>
        <v>na</v>
      </c>
      <c r="I16" s="34" t="str">
        <f>IFERROR('2a'!I16/'2b'!$C16*100, "na")</f>
        <v>na</v>
      </c>
      <c r="J16" s="147">
        <f>IFERROR('2a'!J16/'2b'!$D16*100, "na")</f>
        <v>1.0749188785619253</v>
      </c>
      <c r="K16" s="100">
        <f>IFERROR('2a'!K16/'2b'!$D16*100, "na")</f>
        <v>4.6007102313516413</v>
      </c>
      <c r="L16" s="100">
        <f>IFERROR('2a'!L16/'2b'!$D16*100, "na")</f>
        <v>5.1118470801068217</v>
      </c>
      <c r="M16" s="87">
        <f>IFERROR('2a'!M16/'2b'!$D16*100, "na")</f>
        <v>10.787476190020389</v>
      </c>
    </row>
    <row r="17" spans="1:13">
      <c r="A17" s="16">
        <v>1993</v>
      </c>
      <c r="B17" s="37">
        <f>IFERROR('2a'!B17/'2b'!$B17*100, "na")</f>
        <v>2.2172869011039031</v>
      </c>
      <c r="C17" s="34">
        <f>IFERROR('2a'!C17/'2b'!$B17*100, "na")</f>
        <v>5.9155684533970625</v>
      </c>
      <c r="D17" s="34" t="str">
        <f>IFERROR('2a'!D17/'2b'!$B17*100, "na")</f>
        <v>na</v>
      </c>
      <c r="E17" s="34" t="str">
        <f>IFERROR('2a'!E17/'2b'!$B17*100, "na")</f>
        <v>na</v>
      </c>
      <c r="F17" s="37">
        <f>IFERROR('2a'!F17/'2b'!$C17*100, "na")</f>
        <v>0.19079574110395073</v>
      </c>
      <c r="G17" s="34">
        <f>IFERROR('2a'!G17/'2b'!$C17*100, "na")</f>
        <v>1.9101989352759876</v>
      </c>
      <c r="H17" s="34" t="str">
        <f>IFERROR('2a'!H17/'2b'!$C17*100, "na")</f>
        <v>na</v>
      </c>
      <c r="I17" s="34" t="str">
        <f>IFERROR('2a'!I17/'2b'!$C17*100, "na")</f>
        <v>na</v>
      </c>
      <c r="J17" s="147">
        <f>IFERROR('2a'!J17/'2b'!$D17*100, "na")</f>
        <v>1.085652380149388</v>
      </c>
      <c r="K17" s="100">
        <f>IFERROR('2a'!K17/'2b'!$D17*100, "na")</f>
        <v>5.8050678335599919</v>
      </c>
      <c r="L17" s="100">
        <f>IFERROR('2a'!L17/'2b'!$D17*100, "na")</f>
        <v>4.7747353199150311</v>
      </c>
      <c r="M17" s="87">
        <f>IFERROR('2a'!M17/'2b'!$D17*100, "na")</f>
        <v>11.66545553362441</v>
      </c>
    </row>
    <row r="18" spans="1:13">
      <c r="A18" s="16">
        <v>1994</v>
      </c>
      <c r="B18" s="37">
        <f>IFERROR('2a'!B18/'2b'!$B18*100, "na")</f>
        <v>3.3967618093807377E-2</v>
      </c>
      <c r="C18" s="34">
        <f>IFERROR('2a'!C18/'2b'!$B18*100, "na")</f>
        <v>3.1159238858287428</v>
      </c>
      <c r="D18" s="34">
        <f>IFERROR('2a'!D18/'2b'!$B18*100, "na")</f>
        <v>2.2759222166583206</v>
      </c>
      <c r="E18" s="38">
        <f>IFERROR('2a'!E18/'2b'!$B18*100, "na")</f>
        <v>5.4258137205808712</v>
      </c>
      <c r="F18" s="37">
        <f>IFERROR('2a'!F18/'2b'!$C18*100, "na")</f>
        <v>0.467522783761392</v>
      </c>
      <c r="G18" s="34">
        <f>IFERROR('2a'!G18/'2b'!$C18*100, "na")</f>
        <v>2.0576083954708642</v>
      </c>
      <c r="H18" s="34" t="str">
        <f>IFERROR('2a'!H18/'2b'!$C18*100, "na")</f>
        <v>na</v>
      </c>
      <c r="I18" s="34" t="str">
        <f>IFERROR('2a'!I18/'2b'!$C18*100, "na")</f>
        <v>na</v>
      </c>
      <c r="J18" s="147">
        <f>IFERROR('2a'!J18/'2b'!$D18*100, "na")</f>
        <v>1.3434385061739551</v>
      </c>
      <c r="K18" s="100">
        <f>IFERROR('2a'!K18/'2b'!$D18*100, "na")</f>
        <v>6.2527409803839475</v>
      </c>
      <c r="L18" s="100">
        <f>IFERROR('2a'!L18/'2b'!$D18*100, "na")</f>
        <v>4.1578055408023165</v>
      </c>
      <c r="M18" s="87">
        <f>IFERROR('2a'!M18/'2b'!$D18*100, "na")</f>
        <v>11.753985027360219</v>
      </c>
    </row>
    <row r="19" spans="1:13">
      <c r="A19" s="16">
        <v>1995</v>
      </c>
      <c r="B19" s="37">
        <f>IFERROR('2a'!B19/'2b'!$B19*100, "na")</f>
        <v>0.30266075388026609</v>
      </c>
      <c r="C19" s="34">
        <f>IFERROR('2a'!C19/'2b'!$B19*100, "na")</f>
        <v>3.8638388123011667</v>
      </c>
      <c r="D19" s="34" t="str">
        <f>IFERROR('2a'!D19/'2b'!$B19*100, "na")</f>
        <v>na</v>
      </c>
      <c r="E19" s="34" t="str">
        <f>IFERROR('2a'!E19/'2b'!$B19*100, "na")</f>
        <v>na</v>
      </c>
      <c r="F19" s="37">
        <f>IFERROR('2a'!F19/'2b'!$C19*100, "na")</f>
        <v>1.3233821902654868</v>
      </c>
      <c r="G19" s="34">
        <f>IFERROR('2a'!G19/'2b'!$C19*100, "na")</f>
        <v>2.8827433628318579</v>
      </c>
      <c r="H19" s="34" t="str">
        <f>IFERROR('2a'!H19/'2b'!$C19*100, "na")</f>
        <v>na</v>
      </c>
      <c r="I19" s="34" t="str">
        <f>IFERROR('2a'!I19/'2b'!$C19*100, "na")</f>
        <v>na</v>
      </c>
      <c r="J19" s="147">
        <f>IFERROR('2a'!J19/'2b'!$D19*100, "na")</f>
        <v>1.7175431553592937</v>
      </c>
      <c r="K19" s="100">
        <f>IFERROR('2a'!K19/'2b'!$D19*100, "na")</f>
        <v>6.1832195905258933</v>
      </c>
      <c r="L19" s="100">
        <f>IFERROR('2a'!L19/'2b'!$D19*100, "na")</f>
        <v>4.1883045630938049</v>
      </c>
      <c r="M19" s="87">
        <f>IFERROR('2a'!M19/'2b'!$D19*100, "na")</f>
        <v>12.08906730897899</v>
      </c>
    </row>
    <row r="20" spans="1:13">
      <c r="A20" s="16">
        <v>1996</v>
      </c>
      <c r="B20" s="37">
        <f>IFERROR('2a'!B20/'2b'!$B20*100, "na")</f>
        <v>0.58954548524346584</v>
      </c>
      <c r="C20" s="34">
        <f>IFERROR('2a'!C20/'2b'!$B20*100, "na")</f>
        <v>3.3839602890524754</v>
      </c>
      <c r="D20" s="34">
        <f>IFERROR('2a'!D20/'2b'!$B20*100, "na")</f>
        <v>3.685054366178159</v>
      </c>
      <c r="E20" s="38">
        <f>IFERROR('2a'!E20/'2b'!$B20*100, "na")</f>
        <v>7.6585601404740995</v>
      </c>
      <c r="F20" s="37">
        <f>IFERROR('2a'!F20/'2b'!$C20*100, "na")</f>
        <v>2.2661233329533799</v>
      </c>
      <c r="G20" s="34">
        <f>IFERROR('2a'!G20/'2b'!$C20*100, "na")</f>
        <v>3.6210646301151255</v>
      </c>
      <c r="H20" s="34" t="str">
        <f>IFERROR('2a'!H20/'2b'!$C20*100, "na")</f>
        <v>na</v>
      </c>
      <c r="I20" s="34" t="str">
        <f>IFERROR('2a'!I20/'2b'!$C20*100, "na")</f>
        <v>na</v>
      </c>
      <c r="J20" s="147">
        <f>IFERROR('2a'!J20/'2b'!$D20*100, "na")</f>
        <v>2.1814793726383352</v>
      </c>
      <c r="K20" s="100">
        <f>IFERROR('2a'!K20/'2b'!$D20*100, "na")</f>
        <v>6.8705419535172636</v>
      </c>
      <c r="L20" s="100">
        <f>IFERROR('2a'!L20/'2b'!$D20*100, "na")</f>
        <v>4.2041513535897304</v>
      </c>
      <c r="M20" s="87">
        <f>IFERROR('2a'!M20/'2b'!$D20*100, "na")</f>
        <v>13.25617267974533</v>
      </c>
    </row>
    <row r="21" spans="1:13">
      <c r="A21" s="16">
        <v>1997</v>
      </c>
      <c r="B21" s="37">
        <f>IFERROR('2a'!B21/'2b'!$B21*100, "na")</f>
        <v>1.6613875968992251</v>
      </c>
      <c r="C21" s="34">
        <f>IFERROR('2a'!C21/'2b'!$B21*100, "na")</f>
        <v>4.294127906976744</v>
      </c>
      <c r="D21" s="34">
        <f>IFERROR('2a'!D21/'2b'!$B21*100, "na")</f>
        <v>12.675011627906976</v>
      </c>
      <c r="E21" s="38">
        <f>IFERROR('2a'!E21/'2b'!$B21*100, "na")</f>
        <v>18.630527131782944</v>
      </c>
      <c r="F21" s="37">
        <f>IFERROR('2a'!F21/'2b'!$C21*100, "na")</f>
        <v>2.6198892903821021</v>
      </c>
      <c r="G21" s="34">
        <f>IFERROR('2a'!G21/'2b'!$C21*100, "na")</f>
        <v>5.6836395786883998</v>
      </c>
      <c r="H21" s="34">
        <f>IFERROR('2a'!H21/'2b'!$C21*100, "na")</f>
        <v>0.10679634043207502</v>
      </c>
      <c r="I21" s="38">
        <f>IFERROR('2a'!I21/'2b'!$C21*100, "na")</f>
        <v>8.4103252095025773</v>
      </c>
      <c r="J21" s="147">
        <f>IFERROR('2a'!J21/'2b'!$D21*100, "na")</f>
        <v>2.3918005261288844</v>
      </c>
      <c r="K21" s="100">
        <f>IFERROR('2a'!K21/'2b'!$D21*100, "na")</f>
        <v>6.6807335464051887</v>
      </c>
      <c r="L21" s="100">
        <f>IFERROR('2a'!L21/'2b'!$D21*100, "na")</f>
        <v>4.6222456670217866</v>
      </c>
      <c r="M21" s="87">
        <f>IFERROR('2a'!M21/'2b'!$D21*100, "na")</f>
        <v>13.694779739555859</v>
      </c>
    </row>
    <row r="22" spans="1:13">
      <c r="A22" s="16">
        <v>1998</v>
      </c>
      <c r="B22" s="37">
        <f>IFERROR('2a'!B22/'2b'!$B22*100, "na")</f>
        <v>2.7206382978723407</v>
      </c>
      <c r="C22" s="34">
        <f>IFERROR('2a'!C22/'2b'!$B22*100, "na")</f>
        <v>5.3849257326374946</v>
      </c>
      <c r="D22" s="34">
        <f>IFERROR('2a'!D22/'2b'!$B22*100, "na")</f>
        <v>3.2830710558008831</v>
      </c>
      <c r="E22" s="38">
        <f>IFERROR('2a'!E22/'2b'!$B22*100, "na")</f>
        <v>11.388635086310718</v>
      </c>
      <c r="F22" s="37">
        <f>IFERROR('2a'!F22/'2b'!$C22*100, "na")</f>
        <v>6.5692581853328491</v>
      </c>
      <c r="G22" s="34">
        <f>IFERROR('2a'!G22/'2b'!$C22*100, "na")</f>
        <v>6.7635073094116231</v>
      </c>
      <c r="H22" s="34">
        <f>IFERROR('2a'!H22/'2b'!$C22*100, "na")</f>
        <v>0.52098586444363892</v>
      </c>
      <c r="I22" s="38">
        <f>IFERROR('2a'!I22/'2b'!$C22*100, "na")</f>
        <v>13.853751359188109</v>
      </c>
      <c r="J22" s="147">
        <f>IFERROR('2a'!J22/'2b'!$D22*100, "na")</f>
        <v>3.6506640579987302</v>
      </c>
      <c r="K22" s="100">
        <f>IFERROR('2a'!K22/'2b'!$D22*100, "na")</f>
        <v>7.4046287510838802</v>
      </c>
      <c r="L22" s="100">
        <f>IFERROR('2a'!L22/'2b'!$D22*100, "na")</f>
        <v>4.1494328680718491</v>
      </c>
      <c r="M22" s="87">
        <f>IFERROR('2a'!M22/'2b'!$D22*100, "na")</f>
        <v>15.20472567715446</v>
      </c>
    </row>
    <row r="23" spans="1:13">
      <c r="A23" s="16">
        <v>1999</v>
      </c>
      <c r="B23" s="37">
        <f>IFERROR('2a'!B23/'2b'!$B23*100, "na")</f>
        <v>1.7516727945969905</v>
      </c>
      <c r="C23" s="34">
        <f>IFERROR('2a'!C23/'2b'!$B23*100, "na")</f>
        <v>5.3390805496883882</v>
      </c>
      <c r="D23" s="34">
        <f>IFERROR('2a'!D23/'2b'!$B23*100, "na")</f>
        <v>2.735346423635558</v>
      </c>
      <c r="E23" s="38">
        <f>IFERROR('2a'!E23/'2b'!$B23*100, "na")</f>
        <v>9.826099767920935</v>
      </c>
      <c r="F23" s="37">
        <f>IFERROR('2a'!F23/'2b'!$C23*100, "na")</f>
        <v>1.1494712351945853</v>
      </c>
      <c r="G23" s="34">
        <f>IFERROR('2a'!G23/'2b'!$C23*100, "na")</f>
        <v>3.6600042301184432</v>
      </c>
      <c r="H23" s="34">
        <f>IFERROR('2a'!H23/'2b'!$C23*100, "na")</f>
        <v>5.6606034968979119E-2</v>
      </c>
      <c r="I23" s="38">
        <f>IFERROR('2a'!I23/'2b'!$C23*100, "na")</f>
        <v>4.8660815002820073</v>
      </c>
      <c r="J23" s="147">
        <f>IFERROR('2a'!J23/'2b'!$D23*100, "na")</f>
        <v>4.5715280323591294</v>
      </c>
      <c r="K23" s="100">
        <f>IFERROR('2a'!K23/'2b'!$D23*100, "na")</f>
        <v>7.3714522484111544</v>
      </c>
      <c r="L23" s="100">
        <f>IFERROR('2a'!L23/'2b'!$D23*100, "na")</f>
        <v>4.7499745846515937</v>
      </c>
      <c r="M23" s="87">
        <f>IFERROR('2a'!M23/'2b'!$D23*100, "na")</f>
        <v>16.692954865421878</v>
      </c>
    </row>
    <row r="24" spans="1:13">
      <c r="A24" s="16">
        <v>2000</v>
      </c>
      <c r="B24" s="37">
        <f>IFERROR('2a'!B24/'2b'!$B24*100, "na")</f>
        <v>0.57583091869780123</v>
      </c>
      <c r="C24" s="34">
        <f>IFERROR('2a'!C24/'2b'!$B24*100, "na")</f>
        <v>7.9170376683142987</v>
      </c>
      <c r="D24" s="34">
        <f>IFERROR('2a'!D24/'2b'!$B24*100, "na")</f>
        <v>1.3066814385546275</v>
      </c>
      <c r="E24" s="38">
        <f>IFERROR('2a'!E24/'2b'!$B24*100, "na")</f>
        <v>9.7995500255667274</v>
      </c>
      <c r="F24" s="37">
        <f>IFERROR('2a'!F24/'2b'!$C24*100, "na")</f>
        <v>2.5964180333493445</v>
      </c>
      <c r="G24" s="34">
        <f>IFERROR('2a'!G24/'2b'!$C24*100, "na")</f>
        <v>6.9863995059356352</v>
      </c>
      <c r="H24" s="34">
        <f>IFERROR('2a'!H24/'2b'!$C24*100, "na")</f>
        <v>1.0669114115144445</v>
      </c>
      <c r="I24" s="38">
        <f>IFERROR('2a'!I24/'2b'!$C24*100, "na")</f>
        <v>10.649728950799425</v>
      </c>
      <c r="J24" s="147">
        <f>IFERROR('2a'!J24/'2b'!$D24*100, "na")</f>
        <v>5.3900963820324233</v>
      </c>
      <c r="K24" s="100">
        <f>IFERROR('2a'!K24/'2b'!$D24*100, "na")</f>
        <v>7.293608419119864</v>
      </c>
      <c r="L24" s="100">
        <f>IFERROR('2a'!L24/'2b'!$D24*100, "na")</f>
        <v>5.7682093774965377</v>
      </c>
      <c r="M24" s="87">
        <f>IFERROR('2a'!M24/'2b'!$D24*100, "na")</f>
        <v>18.451914178648828</v>
      </c>
    </row>
    <row r="25" spans="1:13">
      <c r="A25" s="16">
        <v>2001</v>
      </c>
      <c r="B25" s="37">
        <f>IFERROR('2a'!B25/'2b'!$B25*100, "na")</f>
        <v>8.0782824032890152E-2</v>
      </c>
      <c r="C25" s="34">
        <f>IFERROR('2a'!C25/'2b'!$B25*100, "na")</f>
        <v>4.0692544418531966</v>
      </c>
      <c r="D25" s="34">
        <f>IFERROR('2a'!D25/'2b'!$B25*100, "na")</f>
        <v>3.6280143293342631E-3</v>
      </c>
      <c r="E25" s="38">
        <f>IFERROR('2a'!E25/'2b'!$B25*100, "na")</f>
        <v>4.1536652802154208</v>
      </c>
      <c r="F25" s="37">
        <f>IFERROR('2a'!F25/'2b'!$C25*100, "na")</f>
        <v>1.1231028667790894E-2</v>
      </c>
      <c r="G25" s="34">
        <f>IFERROR('2a'!G25/'2b'!$C25*100, "na")</f>
        <v>4.9027521079258012</v>
      </c>
      <c r="H25" s="34">
        <f>IFERROR('2a'!H25/'2b'!$C25*100, "na")</f>
        <v>5.4569983136593593E-2</v>
      </c>
      <c r="I25" s="38">
        <f>IFERROR('2a'!I25/'2b'!$C25*100, "na")</f>
        <v>4.9685531197301858</v>
      </c>
      <c r="J25" s="147">
        <f>IFERROR('2a'!J25/'2b'!$D25*100, "na")</f>
        <v>5.1325165256947907</v>
      </c>
      <c r="K25" s="100">
        <f>IFERROR('2a'!K25/'2b'!$D25*100, "na")</f>
        <v>7.9555079726111781</v>
      </c>
      <c r="L25" s="100">
        <f>IFERROR('2a'!L25/'2b'!$D25*100, "na")</f>
        <v>5.8907586419314333</v>
      </c>
      <c r="M25" s="87">
        <f>IFERROR('2a'!M25/'2b'!$D25*100, "na")</f>
        <v>18.978783140237404</v>
      </c>
    </row>
    <row r="26" spans="1:13">
      <c r="A26" s="16">
        <v>2002</v>
      </c>
      <c r="B26" s="37">
        <f>IFERROR('2a'!B26/'2b'!$B26*100, "na")</f>
        <v>1.1227219090074732</v>
      </c>
      <c r="C26" s="34">
        <f>IFERROR('2a'!C26/'2b'!$B26*100, "na")</f>
        <v>3.8298806870329098</v>
      </c>
      <c r="D26" s="34">
        <f>IFERROR('2a'!D26/'2b'!$B26*100, "na")</f>
        <v>0.1202635374328045</v>
      </c>
      <c r="E26" s="38">
        <f>IFERROR('2a'!E26/'2b'!$B26*100, "na")</f>
        <v>5.0728661334731875</v>
      </c>
      <c r="F26" s="37">
        <f>IFERROR('2a'!F26/'2b'!$C26*100, "na")</f>
        <v>0.22931862657890059</v>
      </c>
      <c r="G26" s="34">
        <f>IFERROR('2a'!G26/'2b'!$C26*100, "na")</f>
        <v>5.2827788649706449</v>
      </c>
      <c r="H26" s="34">
        <f>IFERROR('2a'!H26/'2b'!$C26*100, "na")</f>
        <v>0.24746486390322006</v>
      </c>
      <c r="I26" s="38">
        <f>IFERROR('2a'!I26/'2b'!$C26*100, "na")</f>
        <v>5.7595623554527657</v>
      </c>
      <c r="J26" s="147">
        <f>IFERROR('2a'!J26/'2b'!$D26*100, "na")</f>
        <v>6.0724636124718661</v>
      </c>
      <c r="K26" s="100">
        <f>IFERROR('2a'!K26/'2b'!$D26*100, "na")</f>
        <v>8.0940867102483409</v>
      </c>
      <c r="L26" s="100">
        <f>IFERROR('2a'!L26/'2b'!$D26*100, "na")</f>
        <v>5.5232179047963879</v>
      </c>
      <c r="M26" s="87">
        <f>IFERROR('2a'!M26/'2b'!$D26*100, "na")</f>
        <v>19.689768227516595</v>
      </c>
    </row>
    <row r="27" spans="1:13">
      <c r="A27" s="16">
        <v>2003</v>
      </c>
      <c r="B27" s="37">
        <f>IFERROR('2a'!B27/'2b'!$B27*100, "na")</f>
        <v>3.8596320191158897</v>
      </c>
      <c r="C27" s="34">
        <f>IFERROR('2a'!C27/'2b'!$B27*100, "na")</f>
        <v>5.6973906810035837</v>
      </c>
      <c r="D27" s="34">
        <f>IFERROR('2a'!D27/'2b'!$B27*100, "na")</f>
        <v>0.69034169653524502</v>
      </c>
      <c r="E27" s="38">
        <f>IFERROR('2a'!E27/'2b'!$B27*100, "na")</f>
        <v>10.247364396654719</v>
      </c>
      <c r="F27" s="37">
        <f>IFERROR('2a'!F27/'2b'!$C27*100, "na")</f>
        <v>1.4824490108879005</v>
      </c>
      <c r="G27" s="34">
        <f>IFERROR('2a'!G27/'2b'!$C27*100, "na")</f>
        <v>5.6891351019782235</v>
      </c>
      <c r="H27" s="34">
        <f>IFERROR('2a'!H27/'2b'!$C27*100, "na")</f>
        <v>0.30617236620150279</v>
      </c>
      <c r="I27" s="38">
        <f>IFERROR('2a'!I27/'2b'!$C27*100, "na")</f>
        <v>7.4777564790676276</v>
      </c>
      <c r="J27" s="147">
        <f>IFERROR('2a'!J27/'2b'!$D27*100, "na")</f>
        <v>6.7222819389439064</v>
      </c>
      <c r="K27" s="100">
        <f>IFERROR('2a'!K27/'2b'!$D27*100, "na")</f>
        <v>8.0409321152076316</v>
      </c>
      <c r="L27" s="100">
        <f>IFERROR('2a'!L27/'2b'!$D27*100, "na")</f>
        <v>5.1162997070143383</v>
      </c>
      <c r="M27" s="87">
        <f>IFERROR('2a'!M27/'2b'!$D27*100, "na")</f>
        <v>19.879513761165875</v>
      </c>
    </row>
    <row r="28" spans="1:13">
      <c r="A28" s="16">
        <v>2004</v>
      </c>
      <c r="B28" s="37">
        <f>IFERROR('2a'!B28/'2b'!$B28*100, "na")</f>
        <v>4.9048693646256458</v>
      </c>
      <c r="C28" s="34">
        <f>IFERROR('2a'!C28/'2b'!$B28*100, "na")</f>
        <v>7.7999247780953809</v>
      </c>
      <c r="D28" s="34">
        <f>IFERROR('2a'!D28/'2b'!$B28*100, "na")</f>
        <v>0.80831954265081996</v>
      </c>
      <c r="E28" s="38">
        <f>IFERROR('2a'!E28/'2b'!$B28*100, "na")</f>
        <v>13.513113685371847</v>
      </c>
      <c r="F28" s="37">
        <f>IFERROR('2a'!F28/'2b'!$C28*100, "na")</f>
        <v>1.8612001281845858</v>
      </c>
      <c r="G28" s="34">
        <f>IFERROR('2a'!G28/'2b'!$C28*100, "na")</f>
        <v>11.127046947604551</v>
      </c>
      <c r="H28" s="34">
        <f>IFERROR('2a'!H28/'2b'!$C28*100, "na")</f>
        <v>0.42273674090690594</v>
      </c>
      <c r="I28" s="38">
        <f>IFERROR('2a'!I28/'2b'!$C28*100, "na")</f>
        <v>13.410983816696042</v>
      </c>
      <c r="J28" s="147">
        <f>IFERROR('2a'!J28/'2b'!$D28*100, "na")</f>
        <v>8.1956522873225612</v>
      </c>
      <c r="K28" s="100">
        <f>IFERROR('2a'!K28/'2b'!$D28*100, "na")</f>
        <v>8.2915116831083999</v>
      </c>
      <c r="L28" s="100">
        <f>IFERROR('2a'!L28/'2b'!$D28*100, "na")</f>
        <v>4.9867753160099531</v>
      </c>
      <c r="M28" s="87">
        <f>IFERROR('2a'!M28/'2b'!$D28*100, "na")</f>
        <v>21.473939286440913</v>
      </c>
    </row>
    <row r="29" spans="1:13">
      <c r="A29" s="16">
        <v>2005</v>
      </c>
      <c r="B29" s="37">
        <f>IFERROR('2a'!B29/'2b'!$B29*100, "na")</f>
        <v>3.6686671178962666</v>
      </c>
      <c r="C29" s="34">
        <f>IFERROR('2a'!C29/'2b'!$B29*100, "na")</f>
        <v>5.9630593366924884</v>
      </c>
      <c r="D29" s="34">
        <f>IFERROR('2a'!D29/'2b'!$B29*100, "na")</f>
        <v>0.42415331779098048</v>
      </c>
      <c r="E29" s="38">
        <f>IFERROR('2a'!E29/'2b'!$B29*100, "na")</f>
        <v>10.055879772379734</v>
      </c>
      <c r="F29" s="37">
        <f>IFERROR('2a'!F29/'2b'!$C29*100, "na")</f>
        <v>2.9569080122936171</v>
      </c>
      <c r="G29" s="34">
        <f>IFERROR('2a'!G29/'2b'!$C29*100, "na")</f>
        <v>13.110006432706742</v>
      </c>
      <c r="H29" s="34">
        <f>IFERROR('2a'!H29/'2b'!$C29*100, "na")</f>
        <v>0.80180115788721329</v>
      </c>
      <c r="I29" s="38">
        <f>IFERROR('2a'!I29/'2b'!$C29*100, "na")</f>
        <v>16.868715602887569</v>
      </c>
      <c r="J29" s="147">
        <f>IFERROR('2a'!J29/'2b'!$D29*100, "na")</f>
        <v>9.0556047428085353</v>
      </c>
      <c r="K29" s="100">
        <f>IFERROR('2a'!K29/'2b'!$D29*100, "na")</f>
        <v>8.5169175216568576</v>
      </c>
      <c r="L29" s="100">
        <f>IFERROR('2a'!L29/'2b'!$D29*100, "na")</f>
        <v>4.5663709644752304</v>
      </c>
      <c r="M29" s="87">
        <f>IFERROR('2a'!M29/'2b'!$D29*100, "na")</f>
        <v>22.138893228940624</v>
      </c>
    </row>
    <row r="30" spans="1:13">
      <c r="A30" s="16">
        <v>2006</v>
      </c>
      <c r="B30" s="37">
        <f>IFERROR('2a'!B30/'2b'!$B30*100, "na")</f>
        <v>4.4609270111880654</v>
      </c>
      <c r="C30" s="34">
        <f>IFERROR('2a'!C30/'2b'!$B30*100, "na")</f>
        <v>7.1312626531699523</v>
      </c>
      <c r="D30" s="34">
        <f>IFERROR('2a'!D30/'2b'!$B30*100, "na")</f>
        <v>0.79841946368318228</v>
      </c>
      <c r="E30" s="38">
        <f>IFERROR('2a'!E30/'2b'!$B30*100, "na")</f>
        <v>12.3906091280412</v>
      </c>
      <c r="F30" s="37">
        <f>IFERROR('2a'!F30/'2b'!$C30*100, "na")</f>
        <v>3.1837664191890345</v>
      </c>
      <c r="G30" s="34">
        <f>IFERROR('2a'!G30/'2b'!$C30*100, "na")</f>
        <v>11.352391490576812</v>
      </c>
      <c r="H30" s="34">
        <f>IFERROR('2a'!H30/'2b'!$C30*100, "na")</f>
        <v>0.73029697315819531</v>
      </c>
      <c r="I30" s="38">
        <f>IFERROR('2a'!I30/'2b'!$C30*100, "na")</f>
        <v>15.266454882924041</v>
      </c>
      <c r="J30" s="147">
        <f>IFERROR('2a'!J30/'2b'!$D30*100, "na")</f>
        <v>10.511757952547267</v>
      </c>
      <c r="K30" s="100">
        <f>IFERROR('2a'!K30/'2b'!$D30*100, "na")</f>
        <v>8.1413311473408712</v>
      </c>
      <c r="L30" s="100">
        <f>IFERROR('2a'!L30/'2b'!$D30*100, "na")</f>
        <v>4.4529424082888127</v>
      </c>
      <c r="M30" s="87">
        <f>IFERROR('2a'!M30/'2b'!$D30*100, "na")</f>
        <v>23.106031508176951</v>
      </c>
    </row>
    <row r="31" spans="1:13">
      <c r="A31" s="16">
        <v>2007</v>
      </c>
      <c r="B31" s="37">
        <f>IFERROR('2a'!B31/'2b'!$B31*100, "na")</f>
        <v>5.722180092905071</v>
      </c>
      <c r="C31" s="34">
        <f>IFERROR('2a'!C31/'2b'!$B31*100, "na")</f>
        <v>4.3683844840592378</v>
      </c>
      <c r="D31" s="34">
        <f>IFERROR('2a'!D31/'2b'!$B31*100, "na")</f>
        <v>1.2590641997856038</v>
      </c>
      <c r="E31" s="38">
        <f>IFERROR('2a'!E31/'2b'!$B31*100, "na")</f>
        <v>11.349628776749912</v>
      </c>
      <c r="F31" s="37">
        <f>IFERROR('2a'!F31/'2b'!$C31*100, "na")</f>
        <v>1.5874397613401665</v>
      </c>
      <c r="G31" s="34">
        <f>IFERROR('2a'!G31/'2b'!$C31*100, "na")</f>
        <v>14.847862005660525</v>
      </c>
      <c r="H31" s="34">
        <f>IFERROR('2a'!H31/'2b'!$C31*100, "na")</f>
        <v>0.43476631224661516</v>
      </c>
      <c r="I31" s="38">
        <f>IFERROR('2a'!I31/'2b'!$C31*100, "na")</f>
        <v>16.870068079247304</v>
      </c>
      <c r="J31" s="147">
        <f>IFERROR('2a'!J31/'2b'!$D31*100, "na")</f>
        <v>10.946978633486856</v>
      </c>
      <c r="K31" s="100">
        <f>IFERROR('2a'!K31/'2b'!$D31*100, "na")</f>
        <v>9.3083322220968512</v>
      </c>
      <c r="L31" s="100">
        <f>IFERROR('2a'!L31/'2b'!$D31*100, "na")</f>
        <v>4.121798356737683</v>
      </c>
      <c r="M31" s="87">
        <f>IFERROR('2a'!M31/'2b'!$D31*100, "na")</f>
        <v>24.37710921232139</v>
      </c>
    </row>
    <row r="32" spans="1:13">
      <c r="A32" s="16">
        <v>2008</v>
      </c>
      <c r="B32" s="37">
        <f>IFERROR('2a'!B32/'2b'!$B32*100, "na")</f>
        <v>2.5364465952298652</v>
      </c>
      <c r="C32" s="34">
        <f>IFERROR('2a'!C32/'2b'!$B32*100, "na")</f>
        <v>4.9948703767715177</v>
      </c>
      <c r="D32" s="34">
        <f>IFERROR('2a'!D32/'2b'!$B32*100, "na")</f>
        <v>0.39955524830049538</v>
      </c>
      <c r="E32" s="38">
        <f>IFERROR('2a'!E32/'2b'!$B32*100, "na")</f>
        <v>7.9308722203018798</v>
      </c>
      <c r="F32" s="37">
        <f>IFERROR('2a'!F32/'2b'!$C32*100, "na")</f>
        <v>2.0154244043076401</v>
      </c>
      <c r="G32" s="34">
        <f>IFERROR('2a'!G32/'2b'!$C32*100, "na")</f>
        <v>15.556134995336219</v>
      </c>
      <c r="H32" s="34">
        <f>IFERROR('2a'!H32/'2b'!$C32*100, "na")</f>
        <v>0.69955906045959471</v>
      </c>
      <c r="I32" s="38">
        <f>IFERROR('2a'!I32/'2b'!$C32*100, "na")</f>
        <v>18.271118460103452</v>
      </c>
      <c r="J32" s="147">
        <f>IFERROR('2a'!J32/'2b'!$D32*100, "na")</f>
        <v>11.660090310339617</v>
      </c>
      <c r="K32" s="100">
        <f>IFERROR('2a'!K32/'2b'!$D32*100, "na")</f>
        <v>8.9808505420849656</v>
      </c>
      <c r="L32" s="100">
        <f>IFERROR('2a'!L32/'2b'!$D32*100, "na")</f>
        <v>4.5307751183372584</v>
      </c>
      <c r="M32" s="87">
        <f>IFERROR('2a'!M32/'2b'!$D32*100, "na")</f>
        <v>25.171715970761845</v>
      </c>
    </row>
    <row r="33" spans="1:13">
      <c r="A33" s="16">
        <v>2009</v>
      </c>
      <c r="B33" s="37">
        <f>IFERROR('2a'!B33/'2b'!$B33*100, "na")</f>
        <v>6.4737331412858463</v>
      </c>
      <c r="C33" s="34">
        <f>IFERROR('2a'!C33/'2b'!$B33*100, "na")</f>
        <v>9.3305442800401561</v>
      </c>
      <c r="D33" s="34">
        <f>IFERROR('2a'!D33/'2b'!$B33*100, "na")</f>
        <v>1.1882109030596657</v>
      </c>
      <c r="E33" s="38">
        <f>IFERROR('2a'!E33/'2b'!$B33*100, "na")</f>
        <v>16.992488324385668</v>
      </c>
      <c r="F33" s="37">
        <f>IFERROR('2a'!F33/'2b'!$C33*100, "na")</f>
        <v>2.7646965110721675</v>
      </c>
      <c r="G33" s="34">
        <f>IFERROR('2a'!G33/'2b'!$C33*100, "na")</f>
        <v>13.908841803409272</v>
      </c>
      <c r="H33" s="34">
        <f>IFERROR('2a'!H33/'2b'!$C33*100, "na")</f>
        <v>0.32183367850884181</v>
      </c>
      <c r="I33" s="38">
        <f>IFERROR('2a'!I33/'2b'!$C33*100, "na")</f>
        <v>16.995371992990282</v>
      </c>
      <c r="J33" s="147">
        <f>IFERROR('2a'!J33/'2b'!$D33*100, "na")</f>
        <v>12.259120429862122</v>
      </c>
      <c r="K33" s="100">
        <f>IFERROR('2a'!K33/'2b'!$D33*100, "na")</f>
        <v>10.679945225325348</v>
      </c>
      <c r="L33" s="100">
        <f>IFERROR('2a'!L33/'2b'!$D33*100, "na")</f>
        <v>5.2197188828744796</v>
      </c>
      <c r="M33" s="87">
        <f>IFERROR('2a'!M33/'2b'!$D33*100, "na")</f>
        <v>28.158784538061948</v>
      </c>
    </row>
    <row r="34" spans="1:13">
      <c r="A34" s="16">
        <v>2010</v>
      </c>
      <c r="B34" s="37">
        <f>IFERROR('2a'!B34/'2b'!$B34*100, "na")</f>
        <v>8.4767923612234988</v>
      </c>
      <c r="C34" s="34">
        <f>IFERROR('2a'!C34/'2b'!$B34*100, "na")</f>
        <v>9.2739170308032577</v>
      </c>
      <c r="D34" s="34">
        <f>IFERROR('2a'!D34/'2b'!$B34*100, "na")</f>
        <v>1.8323137508766252</v>
      </c>
      <c r="E34" s="38">
        <f>IFERROR('2a'!E34/'2b'!$B34*100, "na")</f>
        <v>19.583023142903379</v>
      </c>
      <c r="F34" s="37">
        <f>IFERROR('2a'!F34/'2b'!$C34*100, "na")</f>
        <v>3.4778130511463847</v>
      </c>
      <c r="G34" s="34">
        <f>IFERROR('2a'!G34/'2b'!$C34*100, "na")</f>
        <v>10.735643738977071</v>
      </c>
      <c r="H34" s="34">
        <f>IFERROR('2a'!H34/'2b'!$C34*100, "na")</f>
        <v>0.47961787184009408</v>
      </c>
      <c r="I34" s="38">
        <f>IFERROR('2a'!I34/'2b'!$C34*100, "na")</f>
        <v>14.693074661963552</v>
      </c>
      <c r="J34" s="147">
        <f>IFERROR('2a'!J34/'2b'!$D34*100, "na")</f>
        <v>14.066372504856799</v>
      </c>
      <c r="K34" s="100">
        <f>IFERROR('2a'!K34/'2b'!$D34*100, "na")</f>
        <v>10.377233244110821</v>
      </c>
      <c r="L34" s="100">
        <f>IFERROR('2a'!L34/'2b'!$D34*100, "na")</f>
        <v>5.7491415449350427</v>
      </c>
      <c r="M34" s="87">
        <f>IFERROR('2a'!M34/'2b'!$D34*100, "na")</f>
        <v>30.192747293902659</v>
      </c>
    </row>
    <row r="35" spans="1:13">
      <c r="A35" s="17">
        <v>2011</v>
      </c>
      <c r="B35" s="39">
        <f>IFERROR('2a'!B35/'2b'!$B35*100, "na")</f>
        <v>9.8835683158164578</v>
      </c>
      <c r="C35" s="40">
        <f>IFERROR('2a'!C35/'2b'!$B35*100, "na")</f>
        <v>9.1951192002050757</v>
      </c>
      <c r="D35" s="40">
        <f>IFERROR('2a'!D35/'2b'!$B35*100, "na")</f>
        <v>1.9480492181491924</v>
      </c>
      <c r="E35" s="41">
        <f>IFERROR('2a'!E35/'2b'!$B35*100, "na")</f>
        <v>21.026736734170722</v>
      </c>
      <c r="F35" s="39">
        <f>IFERROR('2a'!F35/'2b'!$C35*100, "na")</f>
        <v>4.7873583815028908</v>
      </c>
      <c r="G35" s="40">
        <f>IFERROR('2a'!G35/'2b'!$C35*100, "na")</f>
        <v>10.766156069364161</v>
      </c>
      <c r="H35" s="40">
        <f>IFERROR('2a'!H35/'2b'!$C35*100, "na")</f>
        <v>0.57223121387283238</v>
      </c>
      <c r="I35" s="41">
        <f>IFERROR('2a'!I35/'2b'!$C35*100, "na")</f>
        <v>16.125745664739888</v>
      </c>
      <c r="J35" s="148">
        <f>IFERROR('2a'!J35/'2b'!$D35*100, "na")</f>
        <v>16.656406743803949</v>
      </c>
      <c r="K35" s="102">
        <f>IFERROR('2a'!K35/'2b'!$D35*100, "na")</f>
        <v>10.091320538776007</v>
      </c>
      <c r="L35" s="102">
        <f>IFERROR('2a'!L35/'2b'!$D35*100, "na")</f>
        <v>5.9996163366873168</v>
      </c>
      <c r="M35" s="90">
        <f>IFERROR('2a'!M35/'2b'!$D35*100, "na")</f>
        <v>32.747343619267269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(POWER(B14/B5,1/($A14-$A5))-1)*100</f>
        <v>-20.562119310846928</v>
      </c>
      <c r="C38" s="83">
        <f t="shared" ref="C38:M38" si="0">(POWER(C14/C5,1/($A14-$A5))-1)*100</f>
        <v>13.765377548914358</v>
      </c>
      <c r="D38" s="83">
        <f t="shared" si="0"/>
        <v>-10.202777797717932</v>
      </c>
      <c r="E38" s="84">
        <f t="shared" si="0"/>
        <v>-1.0358613914228432</v>
      </c>
      <c r="F38" s="82">
        <f>(POWER(F14/F5,1/($A14-$A5))-1)*100</f>
        <v>15.02288199217654</v>
      </c>
      <c r="G38" s="83">
        <f t="shared" si="0"/>
        <v>17.323100278722613</v>
      </c>
      <c r="H38" s="83">
        <f t="shared" si="0"/>
        <v>-8.342318326895926</v>
      </c>
      <c r="I38" s="84">
        <f t="shared" si="0"/>
        <v>3.2548299128155156</v>
      </c>
      <c r="J38" s="82">
        <f t="shared" si="0"/>
        <v>21.308470496257037</v>
      </c>
      <c r="K38" s="83">
        <f t="shared" si="0"/>
        <v>19.02990164238274</v>
      </c>
      <c r="L38" s="83">
        <f t="shared" si="0"/>
        <v>2.8899954818244034</v>
      </c>
      <c r="M38" s="84">
        <f t="shared" si="0"/>
        <v>8.1771842829640775</v>
      </c>
    </row>
    <row r="39" spans="1:13">
      <c r="A39" s="16" t="s">
        <v>71</v>
      </c>
      <c r="B39" s="37">
        <f>(POWER(B$24/B14,1/($A$24-$A$14))-1)*100</f>
        <v>59.46511067907123</v>
      </c>
      <c r="C39" s="34">
        <f t="shared" ref="C39:M39" si="1">(POWER(C$24/C14,1/($A$24-$A$14))-1)*100</f>
        <v>13.428303076317217</v>
      </c>
      <c r="D39" s="34">
        <f t="shared" si="1"/>
        <v>1.5205131076094336</v>
      </c>
      <c r="E39" s="38">
        <f t="shared" si="1"/>
        <v>11.249087474415287</v>
      </c>
      <c r="F39" s="37">
        <f t="shared" si="1"/>
        <v>24.414566905488755</v>
      </c>
      <c r="G39" s="34">
        <f t="shared" si="1"/>
        <v>15.588946465320031</v>
      </c>
      <c r="H39" s="34">
        <f t="shared" si="1"/>
        <v>4.6410944399207343</v>
      </c>
      <c r="I39" s="38">
        <f t="shared" si="1"/>
        <v>15.09445699601466</v>
      </c>
      <c r="J39" s="37">
        <f t="shared" si="1"/>
        <v>25.900402267656595</v>
      </c>
      <c r="K39" s="34">
        <f t="shared" si="1"/>
        <v>7.7052322584845845</v>
      </c>
      <c r="L39" s="34">
        <f t="shared" si="1"/>
        <v>3.4129917845953539</v>
      </c>
      <c r="M39" s="38">
        <f t="shared" si="1"/>
        <v>8.5354998535644988</v>
      </c>
    </row>
    <row r="40" spans="1:13">
      <c r="A40" s="16" t="s">
        <v>69</v>
      </c>
      <c r="B40" s="37">
        <f>(POWER(B$34/B24,1/($A$34-$A$24))-1)*100</f>
        <v>30.85600477075905</v>
      </c>
      <c r="C40" s="34">
        <f t="shared" ref="C40:M40" si="2">(POWER(C$34/C24,1/($A$34-$A$24))-1)*100</f>
        <v>1.5944654283209569</v>
      </c>
      <c r="D40" s="34">
        <f t="shared" si="2"/>
        <v>3.4386900249173458</v>
      </c>
      <c r="E40" s="38">
        <f t="shared" si="2"/>
        <v>7.1685513766899467</v>
      </c>
      <c r="F40" s="37">
        <f t="shared" si="2"/>
        <v>2.9658387593425539</v>
      </c>
      <c r="G40" s="34">
        <f t="shared" si="2"/>
        <v>4.3896562461944066</v>
      </c>
      <c r="H40" s="34">
        <f>(POWER(H$34/H24,1/($A$34-$A$24))-1)*100</f>
        <v>-7.6840592516179473</v>
      </c>
      <c r="I40" s="38">
        <f t="shared" si="2"/>
        <v>3.27076950059213</v>
      </c>
      <c r="J40" s="37">
        <f t="shared" si="2"/>
        <v>10.067362130382861</v>
      </c>
      <c r="K40" s="34">
        <f t="shared" si="2"/>
        <v>3.5890650938458446</v>
      </c>
      <c r="L40" s="34">
        <f t="shared" si="2"/>
        <v>-3.3106039109132013E-2</v>
      </c>
      <c r="M40" s="38">
        <f t="shared" si="2"/>
        <v>5.0475966101142689</v>
      </c>
    </row>
    <row r="41" spans="1:13">
      <c r="A41" s="17" t="s">
        <v>70</v>
      </c>
      <c r="B41" s="39">
        <f>(POWER(B34/B5,1/($A$34-$A$5))-1)*100</f>
        <v>19.986528809027206</v>
      </c>
      <c r="C41" s="40">
        <f t="shared" ref="C41:M41" si="3">(POWER(C34/C5,1/($A$34-$A$5))-1)*100</f>
        <v>9.3001836319692277</v>
      </c>
      <c r="D41" s="40">
        <f t="shared" si="3"/>
        <v>-1.6400218726595361</v>
      </c>
      <c r="E41" s="41">
        <f t="shared" si="3"/>
        <v>5.9080385152510573</v>
      </c>
      <c r="F41" s="39">
        <f t="shared" si="3"/>
        <v>13.751006021666502</v>
      </c>
      <c r="G41" s="40">
        <f t="shared" si="3"/>
        <v>12.114480030106778</v>
      </c>
      <c r="H41" s="40">
        <f t="shared" si="3"/>
        <v>-3.8211368179300487</v>
      </c>
      <c r="I41" s="41">
        <f t="shared" si="3"/>
        <v>7.1988323755859174</v>
      </c>
      <c r="J41" s="39">
        <f t="shared" si="3"/>
        <v>18.820754840787799</v>
      </c>
      <c r="K41" s="40">
        <f t="shared" si="3"/>
        <v>9.6165854700408957</v>
      </c>
      <c r="L41" s="40">
        <f t="shared" si="3"/>
        <v>2.0507623246995843</v>
      </c>
      <c r="M41" s="41">
        <f t="shared" si="3"/>
        <v>7.2098023996961302</v>
      </c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" t="s">
        <v>98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4">
    <mergeCell ref="B3:E3"/>
    <mergeCell ref="F3:I3"/>
    <mergeCell ref="J3:M3"/>
    <mergeCell ref="A37:M37"/>
  </mergeCells>
  <pageMargins left="0.7" right="0.7" top="0.75" bottom="0.75" header="0.3" footer="0.3"/>
  <pageSetup scale="7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M45"/>
  <sheetViews>
    <sheetView zoomScaleNormal="100" workbookViewId="0">
      <selection activeCell="B15" sqref="B15"/>
    </sheetView>
  </sheetViews>
  <sheetFormatPr defaultRowHeight="15"/>
  <cols>
    <col min="2" max="2" width="12.28515625" customWidth="1"/>
    <col min="4" max="4" width="18.140625" customWidth="1"/>
    <col min="5" max="5" width="13" customWidth="1"/>
    <col min="6" max="6" width="10.7109375" customWidth="1"/>
    <col min="8" max="8" width="17.7109375" customWidth="1"/>
    <col min="9" max="9" width="13.42578125" customWidth="1"/>
    <col min="10" max="10" width="12.140625" customWidth="1"/>
    <col min="12" max="12" width="18" customWidth="1"/>
    <col min="13" max="13" width="14.28515625" customWidth="1"/>
  </cols>
  <sheetData>
    <row r="1" spans="1:13">
      <c r="A1" s="78" t="s">
        <v>133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7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45">
      <c r="A4" s="18"/>
      <c r="B4" s="273" t="s">
        <v>0</v>
      </c>
      <c r="C4" s="274" t="s">
        <v>1</v>
      </c>
      <c r="D4" s="274" t="s">
        <v>2</v>
      </c>
      <c r="E4" s="275" t="s">
        <v>72</v>
      </c>
      <c r="F4" s="273" t="s">
        <v>0</v>
      </c>
      <c r="G4" s="274" t="s">
        <v>1</v>
      </c>
      <c r="H4" s="274" t="s">
        <v>2</v>
      </c>
      <c r="I4" s="275" t="s">
        <v>72</v>
      </c>
      <c r="J4" s="273" t="s">
        <v>39</v>
      </c>
      <c r="K4" s="274" t="s">
        <v>41</v>
      </c>
      <c r="L4" s="274" t="s">
        <v>40</v>
      </c>
      <c r="M4" s="275" t="s">
        <v>72</v>
      </c>
    </row>
    <row r="5" spans="1:13">
      <c r="A5" s="15">
        <v>1981</v>
      </c>
      <c r="B5" s="35">
        <f>IFERROR('2a'!B5/'2a'!$E5*100, "na")</f>
        <v>1.1599744689036495</v>
      </c>
      <c r="C5" s="30">
        <f>IFERROR('2a'!C5/'2a'!$E5*100, "na")</f>
        <v>18.980883737332817</v>
      </c>
      <c r="D5" s="30">
        <f>IFERROR('2a'!D5/'2a'!$E5*100, "na")</f>
        <v>79.859141793763541</v>
      </c>
      <c r="E5" s="36">
        <f>IFERROR('2a'!E5/'2a'!$E5*100, "na")</f>
        <v>100</v>
      </c>
      <c r="F5" s="35">
        <f>IFERROR('2a'!F5/'2a'!$I5*100, "na")</f>
        <v>4.2364589257648859</v>
      </c>
      <c r="G5" s="30">
        <f>IFERROR('2a'!G5/'2a'!$I5*100, "na")</f>
        <v>19.908452125415081</v>
      </c>
      <c r="H5" s="30">
        <f>IFERROR('2a'!H5/'2a'!$I5*100, "na")</f>
        <v>75.855088948820026</v>
      </c>
      <c r="I5" s="36">
        <f>IFERROR('2a'!I5/'2a'!$I5*100, "na")</f>
        <v>100</v>
      </c>
      <c r="J5" s="35">
        <f>IFERROR('2a'!J5/'2a'!$M5*100, "na")</f>
        <v>2.3615815632023804</v>
      </c>
      <c r="K5" s="99">
        <f>IFERROR('2a'!K5/'2a'!$M5*100, "na")</f>
        <v>18.053752888663773</v>
      </c>
      <c r="L5" s="99">
        <f>IFERROR('2a'!L5/'2a'!$M5*100, "na")</f>
        <v>79.584665548133842</v>
      </c>
      <c r="M5" s="84">
        <f>IFERROR('2a'!M5/'2a'!$M5*100, "na")</f>
        <v>100</v>
      </c>
    </row>
    <row r="6" spans="1:13">
      <c r="A6" s="16">
        <v>1982</v>
      </c>
      <c r="B6" s="37">
        <f>IFERROR('2a'!B6/'2a'!$E6*100, "na")</f>
        <v>1.1322646736307496</v>
      </c>
      <c r="C6" s="34">
        <f>IFERROR('2a'!C6/'2a'!$E6*100, "na")</f>
        <v>29.170153517631441</v>
      </c>
      <c r="D6" s="34">
        <f>IFERROR('2a'!D6/'2a'!$E6*100, "na")</f>
        <v>69.697581808737809</v>
      </c>
      <c r="E6" s="38">
        <f>IFERROR('2a'!E6/'2a'!$E6*100, "na")</f>
        <v>100</v>
      </c>
      <c r="F6" s="37">
        <f>IFERROR('2a'!F6/'2a'!$I6*100, "na")</f>
        <v>3.9407312784483319</v>
      </c>
      <c r="G6" s="34">
        <f>IFERROR('2a'!G6/'2a'!$I6*100, "na")</f>
        <v>33.120688262069024</v>
      </c>
      <c r="H6" s="34">
        <f>IFERROR('2a'!H6/'2a'!$I6*100, "na")</f>
        <v>62.938580459482651</v>
      </c>
      <c r="I6" s="38">
        <f>IFERROR('2a'!I6/'2a'!$I6*100, "na")</f>
        <v>100</v>
      </c>
      <c r="J6" s="147">
        <f>IFERROR('2a'!J6/'2a'!$M6*100, "na")</f>
        <v>2.2576751166356721</v>
      </c>
      <c r="K6" s="100">
        <f>IFERROR('2a'!K6/'2a'!$M6*100, "na")</f>
        <v>22.332060944178</v>
      </c>
      <c r="L6" s="100">
        <f>IFERROR('2a'!L6/'2a'!$M6*100, "na")</f>
        <v>75.410263939186322</v>
      </c>
      <c r="M6" s="87">
        <f>IFERROR('2a'!M6/'2a'!$M6*100, "na")</f>
        <v>100</v>
      </c>
    </row>
    <row r="7" spans="1:13">
      <c r="A7" s="16">
        <v>1983</v>
      </c>
      <c r="B7" s="37">
        <f>IFERROR('2a'!B7/'2a'!$E7*100, "na")</f>
        <v>1.6981084521064109</v>
      </c>
      <c r="C7" s="34">
        <f>IFERROR('2a'!C7/'2a'!$E7*100, "na")</f>
        <v>29.595184387063711</v>
      </c>
      <c r="D7" s="34">
        <f>IFERROR('2a'!D7/'2a'!$E7*100, "na")</f>
        <v>68.706707160829879</v>
      </c>
      <c r="E7" s="38">
        <f>IFERROR('2a'!E7/'2a'!$E7*100, "na")</f>
        <v>100</v>
      </c>
      <c r="F7" s="37">
        <f>IFERROR('2a'!F7/'2a'!$I7*100, "na")</f>
        <v>5.596298031865043</v>
      </c>
      <c r="G7" s="34">
        <f>IFERROR('2a'!G7/'2a'!$I7*100, "na")</f>
        <v>35.573258356763517</v>
      </c>
      <c r="H7" s="34">
        <f>IFERROR('2a'!H7/'2a'!$I7*100, "na")</f>
        <v>58.83044361137145</v>
      </c>
      <c r="I7" s="38">
        <f>IFERROR('2a'!I7/'2a'!$I7*100, "na")</f>
        <v>100</v>
      </c>
      <c r="J7" s="147">
        <f>IFERROR('2a'!J7/'2a'!$M7*100, "na")</f>
        <v>4.1455010479201446</v>
      </c>
      <c r="K7" s="100">
        <f>IFERROR('2a'!K7/'2a'!$M7*100, "na")</f>
        <v>28.940357358530775</v>
      </c>
      <c r="L7" s="100">
        <f>IFERROR('2a'!L7/'2a'!$M7*100, "na")</f>
        <v>66.914141593549076</v>
      </c>
      <c r="M7" s="87">
        <f>IFERROR('2a'!M7/'2a'!$M7*100, "na")</f>
        <v>100</v>
      </c>
    </row>
    <row r="8" spans="1:13">
      <c r="A8" s="16">
        <v>1984</v>
      </c>
      <c r="B8" s="37">
        <f>IFERROR('2a'!B8/'2a'!$E8*100, "na")</f>
        <v>1.7746917193018594</v>
      </c>
      <c r="C8" s="34">
        <f>IFERROR('2a'!C8/'2a'!$E8*100, "na")</f>
        <v>37.062355341008946</v>
      </c>
      <c r="D8" s="34">
        <f>IFERROR('2a'!D8/'2a'!$E8*100, "na")</f>
        <v>61.162952939689198</v>
      </c>
      <c r="E8" s="38">
        <f>IFERROR('2a'!E8/'2a'!$E8*100, "na")</f>
        <v>100</v>
      </c>
      <c r="F8" s="37">
        <f>IFERROR('2a'!F8/'2a'!$I8*100, "na")</f>
        <v>6.2061719176975005</v>
      </c>
      <c r="G8" s="34">
        <f>IFERROR('2a'!G8/'2a'!$I8*100, "na")</f>
        <v>38.228094618623523</v>
      </c>
      <c r="H8" s="34">
        <f>IFERROR('2a'!H8/'2a'!$I8*100, "na")</f>
        <v>55.565733463678981</v>
      </c>
      <c r="I8" s="38">
        <f>IFERROR('2a'!I8/'2a'!$I8*100, "na")</f>
        <v>100</v>
      </c>
      <c r="J8" s="147">
        <f>IFERROR('2a'!J8/'2a'!$M8*100, "na")</f>
        <v>4.6812970432241885</v>
      </c>
      <c r="K8" s="100">
        <f>IFERROR('2a'!K8/'2a'!$M8*100, "na")</f>
        <v>32.337155016355965</v>
      </c>
      <c r="L8" s="100">
        <f>IFERROR('2a'!L8/'2a'!$M8*100, "na")</f>
        <v>62.981547940419858</v>
      </c>
      <c r="M8" s="87">
        <f>IFERROR('2a'!M8/'2a'!$M8*100, "na")</f>
        <v>100</v>
      </c>
    </row>
    <row r="9" spans="1:13">
      <c r="A9" s="16">
        <v>1985</v>
      </c>
      <c r="B9" s="37">
        <f>IFERROR('2a'!B9/'2a'!$E9*100, "na")</f>
        <v>1.2586470711544686</v>
      </c>
      <c r="C9" s="34">
        <f>IFERROR('2a'!C9/'2a'!$E9*100, "na")</f>
        <v>6.7269971151474008</v>
      </c>
      <c r="D9" s="34">
        <f>IFERROR('2a'!D9/'2a'!$E9*100, "na")</f>
        <v>92.014355813698131</v>
      </c>
      <c r="E9" s="38">
        <f>IFERROR('2a'!E9/'2a'!$E9*100, "na")</f>
        <v>100</v>
      </c>
      <c r="F9" s="37">
        <f>IFERROR('2a'!F9/'2a'!$I9*100, "na")</f>
        <v>2.9402426148318632</v>
      </c>
      <c r="G9" s="34">
        <f>IFERROR('2a'!G9/'2a'!$I9*100, "na")</f>
        <v>25.144892859041839</v>
      </c>
      <c r="H9" s="34">
        <f>IFERROR('2a'!H9/'2a'!$I9*100, "na")</f>
        <v>71.91486452612628</v>
      </c>
      <c r="I9" s="38">
        <f>IFERROR('2a'!I9/'2a'!$I9*100, "na")</f>
        <v>100</v>
      </c>
      <c r="J9" s="147">
        <f>IFERROR('2a'!J9/'2a'!$M9*100, "na")</f>
        <v>5.566942934378992</v>
      </c>
      <c r="K9" s="100">
        <f>IFERROR('2a'!K9/'2a'!$M9*100, "na")</f>
        <v>35.445444553367203</v>
      </c>
      <c r="L9" s="100">
        <f>IFERROR('2a'!L9/'2a'!$M9*100, "na")</f>
        <v>58.987612512253804</v>
      </c>
      <c r="M9" s="87">
        <f>IFERROR('2a'!M9/'2a'!$M9*100, "na")</f>
        <v>100</v>
      </c>
    </row>
    <row r="10" spans="1:13">
      <c r="A10" s="16">
        <v>1986</v>
      </c>
      <c r="B10" s="37">
        <f>IFERROR('2a'!B10/'2a'!$E10*100, "na")</f>
        <v>2.4708289451097021</v>
      </c>
      <c r="C10" s="34">
        <f>IFERROR('2a'!C10/'2a'!$E10*100, "na")</f>
        <v>27.691229893429963</v>
      </c>
      <c r="D10" s="34">
        <f>IFERROR('2a'!D10/'2a'!$E10*100, "na")</f>
        <v>69.837941161460336</v>
      </c>
      <c r="E10" s="38">
        <f>IFERROR('2a'!E10/'2a'!$E10*100, "na")</f>
        <v>100</v>
      </c>
      <c r="F10" s="37">
        <f>IFERROR('2a'!F10/'2a'!$I10*100, "na")</f>
        <v>4.1980969783532007</v>
      </c>
      <c r="G10" s="34">
        <f>IFERROR('2a'!G10/'2a'!$I10*100, "na")</f>
        <v>28.662131257029355</v>
      </c>
      <c r="H10" s="34">
        <f>IFERROR('2a'!H10/'2a'!$I10*100, "na")</f>
        <v>67.13977176461745</v>
      </c>
      <c r="I10" s="38">
        <f>IFERROR('2a'!I10/'2a'!$I10*100, "na")</f>
        <v>100</v>
      </c>
      <c r="J10" s="147">
        <f>IFERROR('2a'!J10/'2a'!$M10*100, "na")</f>
        <v>6.0453916696552072</v>
      </c>
      <c r="K10" s="100">
        <f>IFERROR('2a'!K10/'2a'!$M10*100, "na")</f>
        <v>39.11061017470157</v>
      </c>
      <c r="L10" s="100">
        <f>IFERROR('2a'!L10/'2a'!$M10*100, "na")</f>
        <v>54.843998155643213</v>
      </c>
      <c r="M10" s="87">
        <f>IFERROR('2a'!M10/'2a'!$M10*100, "na")</f>
        <v>100</v>
      </c>
    </row>
    <row r="11" spans="1:13">
      <c r="A11" s="16">
        <v>1987</v>
      </c>
      <c r="B11" s="37">
        <f>IFERROR('2a'!B11/'2a'!$E11*100, "na")</f>
        <v>3.4303819070201911</v>
      </c>
      <c r="C11" s="34">
        <f>IFERROR('2a'!C11/'2a'!$E11*100, "na")</f>
        <v>40.958001005963936</v>
      </c>
      <c r="D11" s="34">
        <f>IFERROR('2a'!D11/'2a'!$E11*100, "na")</f>
        <v>55.611617087015873</v>
      </c>
      <c r="E11" s="38">
        <f>IFERROR('2a'!E11/'2a'!$E11*100, "na")</f>
        <v>100</v>
      </c>
      <c r="F11" s="37">
        <f>IFERROR('2a'!F11/'2a'!$I11*100, "na")</f>
        <v>8.9281613357970873</v>
      </c>
      <c r="G11" s="34">
        <f>IFERROR('2a'!G11/'2a'!$I11*100, "na")</f>
        <v>42.508576617191387</v>
      </c>
      <c r="H11" s="34">
        <f>IFERROR('2a'!H11/'2a'!$I11*100, "na")</f>
        <v>48.563262047011527</v>
      </c>
      <c r="I11" s="38">
        <f>IFERROR('2a'!I11/'2a'!$I11*100, "na")</f>
        <v>100</v>
      </c>
      <c r="J11" s="147">
        <f>IFERROR('2a'!J11/'2a'!$M11*100, "na")</f>
        <v>8.2158612906535335</v>
      </c>
      <c r="K11" s="100">
        <f>IFERROR('2a'!K11/'2a'!$M11*100, "na")</f>
        <v>37.022673643172254</v>
      </c>
      <c r="L11" s="100">
        <f>IFERROR('2a'!L11/'2a'!$M11*100, "na")</f>
        <v>54.76146506617421</v>
      </c>
      <c r="M11" s="87">
        <f>IFERROR('2a'!M11/'2a'!$M11*100, "na")</f>
        <v>100</v>
      </c>
    </row>
    <row r="12" spans="1:13">
      <c r="A12" s="16">
        <v>1988</v>
      </c>
      <c r="B12" s="37">
        <f>IFERROR('2a'!B12/'2a'!$E12*100, "na")</f>
        <v>3.6277364044329352</v>
      </c>
      <c r="C12" s="34">
        <f>IFERROR('2a'!C12/'2a'!$E12*100, "na")</f>
        <v>76.296343954576884</v>
      </c>
      <c r="D12" s="34">
        <f>IFERROR('2a'!D12/'2a'!$E12*100, "na")</f>
        <v>20.075919640990168</v>
      </c>
      <c r="E12" s="38">
        <f>IFERROR('2a'!E12/'2a'!$E12*100, "na")</f>
        <v>100</v>
      </c>
      <c r="F12" s="37">
        <f>IFERROR('2a'!F12/'2a'!$I12*100, "na")</f>
        <v>13.641145808426188</v>
      </c>
      <c r="G12" s="34">
        <f>IFERROR('2a'!G12/'2a'!$I12*100, "na")</f>
        <v>59.028740854095929</v>
      </c>
      <c r="H12" s="34">
        <f>IFERROR('2a'!H12/'2a'!$I12*100, "na")</f>
        <v>27.330113337477886</v>
      </c>
      <c r="I12" s="38">
        <f>IFERROR('2a'!I12/'2a'!$I12*100, "na")</f>
        <v>100</v>
      </c>
      <c r="J12" s="147">
        <f>IFERROR('2a'!J12/'2a'!$M12*100, "na")</f>
        <v>6.3725323059088277</v>
      </c>
      <c r="K12" s="100">
        <f>IFERROR('2a'!K12/'2a'!$M12*100, "na")</f>
        <v>39.602441269733028</v>
      </c>
      <c r="L12" s="100">
        <f>IFERROR('2a'!L12/'2a'!$M12*100, "na")</f>
        <v>54.025026424358146</v>
      </c>
      <c r="M12" s="87">
        <f>IFERROR('2a'!M12/'2a'!$M12*100, "na")</f>
        <v>100</v>
      </c>
    </row>
    <row r="13" spans="1:13">
      <c r="A13" s="16">
        <v>1989</v>
      </c>
      <c r="B13" s="37">
        <f>IFERROR('2a'!B13/'2a'!$E13*100, "na")</f>
        <v>3.8881435298450535</v>
      </c>
      <c r="C13" s="34">
        <f>IFERROR('2a'!C13/'2a'!$E13*100, "na")</f>
        <v>44.04717819207599</v>
      </c>
      <c r="D13" s="34">
        <f>IFERROR('2a'!D13/'2a'!$E13*100, "na")</f>
        <v>52.064678278078958</v>
      </c>
      <c r="E13" s="38">
        <f>IFERROR('2a'!E13/'2a'!$E13*100, "na")</f>
        <v>100</v>
      </c>
      <c r="F13" s="37">
        <f>IFERROR('2a'!F13/'2a'!$I13*100, "na")</f>
        <v>4.1938151539139978</v>
      </c>
      <c r="G13" s="34">
        <f>IFERROR('2a'!G13/'2a'!$I13*100, "na")</f>
        <v>22.478456361732764</v>
      </c>
      <c r="H13" s="34">
        <f>IFERROR('2a'!H13/'2a'!$I13*100, "na")</f>
        <v>73.327728484353244</v>
      </c>
      <c r="I13" s="38">
        <f>IFERROR('2a'!I13/'2a'!$I13*100, "na")</f>
        <v>100</v>
      </c>
      <c r="J13" s="147">
        <f>IFERROR('2a'!J13/'2a'!$M13*100, "na")</f>
        <v>7.287072215671718</v>
      </c>
      <c r="K13" s="100">
        <f>IFERROR('2a'!K13/'2a'!$M13*100, "na")</f>
        <v>40.239020626810486</v>
      </c>
      <c r="L13" s="100">
        <f>IFERROR('2a'!L13/'2a'!$M13*100, "na")</f>
        <v>52.473907157517793</v>
      </c>
      <c r="M13" s="87">
        <f>IFERROR('2a'!M13/'2a'!$M13*100, "na")</f>
        <v>100</v>
      </c>
    </row>
    <row r="14" spans="1:13">
      <c r="A14" s="16">
        <v>1990</v>
      </c>
      <c r="B14" s="37">
        <f>IFERROR('2a'!B14/'2a'!$E14*100, "na")</f>
        <v>0.16047102736597157</v>
      </c>
      <c r="C14" s="34">
        <f>IFERROR('2a'!C14/'2a'!$E14*100, "na")</f>
        <v>66.543677923065019</v>
      </c>
      <c r="D14" s="34">
        <f>IFERROR('2a'!D14/'2a'!$E14*100, "na")</f>
        <v>33.295851049569023</v>
      </c>
      <c r="E14" s="38">
        <f>IFERROR('2a'!E14/'2a'!$E14*100, "na")</f>
        <v>100</v>
      </c>
      <c r="F14" s="37">
        <f>IFERROR('2a'!F14/'2a'!$I14*100, "na")</f>
        <v>11.190972393158185</v>
      </c>
      <c r="G14" s="34">
        <f>IFERROR('2a'!G14/'2a'!$I14*100, "na")</f>
        <v>62.848640990717485</v>
      </c>
      <c r="H14" s="34">
        <f>IFERROR('2a'!H14/'2a'!$I14*100, "na")</f>
        <v>25.960386616124321</v>
      </c>
      <c r="I14" s="38">
        <f>IFERROR('2a'!I14/'2a'!$I14*100, "na")</f>
        <v>100</v>
      </c>
      <c r="J14" s="147">
        <f>IFERROR('2a'!J14/'2a'!$M14*100, "na")</f>
        <v>6.6221960630436199</v>
      </c>
      <c r="K14" s="100">
        <f>IFERROR('2a'!K14/'2a'!$M14*100, "na")</f>
        <v>42.682623765613762</v>
      </c>
      <c r="L14" s="100">
        <f>IFERROR('2a'!L14/'2a'!$M14*100, "na")</f>
        <v>50.695180171342628</v>
      </c>
      <c r="M14" s="87">
        <f>IFERROR('2a'!M14/'2a'!$M14*100, "na")</f>
        <v>100</v>
      </c>
    </row>
    <row r="15" spans="1:13">
      <c r="A15" s="16">
        <v>1991</v>
      </c>
      <c r="B15" s="37">
        <f>IFERROR('2a'!B15/'2a'!$E15*100, "na")</f>
        <v>1.6421595194846039</v>
      </c>
      <c r="C15" s="34">
        <f>IFERROR('2a'!C15/'2a'!$E15*100, "na")</f>
        <v>32.509158889043896</v>
      </c>
      <c r="D15" s="34">
        <f>IFERROR('2a'!D15/'2a'!$E15*100, "na")</f>
        <v>65.848681591471504</v>
      </c>
      <c r="E15" s="38">
        <f>IFERROR('2a'!E15/'2a'!$E15*100, "na")</f>
        <v>100</v>
      </c>
      <c r="F15" s="37">
        <f>IFERROR('2a'!F15/'2a'!$I15*100, "na")</f>
        <v>17.922269510189025</v>
      </c>
      <c r="G15" s="34">
        <f>IFERROR('2a'!G15/'2a'!$I15*100, "na")</f>
        <v>53.317800504621793</v>
      </c>
      <c r="H15" s="34">
        <f>IFERROR('2a'!H15/'2a'!$I15*100, "na")</f>
        <v>28.759929985189174</v>
      </c>
      <c r="I15" s="38">
        <f>IFERROR('2a'!I15/'2a'!$I15*100, "na")</f>
        <v>100</v>
      </c>
      <c r="J15" s="147">
        <f>IFERROR('2a'!J15/'2a'!$M15*100, "na")</f>
        <v>7.9909475105654062</v>
      </c>
      <c r="K15" s="100">
        <f>IFERROR('2a'!K15/'2a'!$M15*100, "na")</f>
        <v>43.45820100527645</v>
      </c>
      <c r="L15" s="100">
        <f>IFERROR('2a'!L15/'2a'!$M15*100, "na")</f>
        <v>48.550851484158144</v>
      </c>
      <c r="M15" s="87">
        <f>IFERROR('2a'!M15/'2a'!$M15*100, "na")</f>
        <v>100</v>
      </c>
    </row>
    <row r="16" spans="1:13">
      <c r="A16" s="16">
        <v>1992</v>
      </c>
      <c r="B16" s="37" t="str">
        <f>IFERROR('2a'!B16/'2a'!$E16*100, "na")</f>
        <v>na</v>
      </c>
      <c r="C16" s="34" t="str">
        <f>IFERROR('2a'!C16/'2a'!$E16*100, "na")</f>
        <v>na</v>
      </c>
      <c r="D16" s="34" t="str">
        <f>IFERROR('2a'!D16/'2a'!$E16*100, "na")</f>
        <v>na</v>
      </c>
      <c r="E16" s="34" t="str">
        <f>IFERROR('2a'!E16/'2a'!$E16*100, "na")</f>
        <v>na</v>
      </c>
      <c r="F16" s="37" t="str">
        <f>IFERROR('2a'!F16/'2a'!$I16*100, "na")</f>
        <v>na</v>
      </c>
      <c r="G16" s="34" t="str">
        <f>IFERROR('2a'!G16/'2a'!$I16*100, "na")</f>
        <v>na</v>
      </c>
      <c r="H16" s="34" t="str">
        <f>IFERROR('2a'!H16/'2a'!$I16*100, "na")</f>
        <v>na</v>
      </c>
      <c r="I16" s="34" t="str">
        <f>IFERROR('2a'!I16/'2a'!$I16*100, "na")</f>
        <v>na</v>
      </c>
      <c r="J16" s="147">
        <f>IFERROR('2a'!J16/'2a'!$M16*100, "na")</f>
        <v>9.9645075421472935</v>
      </c>
      <c r="K16" s="100">
        <f>IFERROR('2a'!K16/'2a'!$M16*100, "na")</f>
        <v>42.648624667258204</v>
      </c>
      <c r="L16" s="100">
        <f>IFERROR('2a'!L16/'2a'!$M16*100, "na")</f>
        <v>47.386867790594493</v>
      </c>
      <c r="M16" s="87">
        <f>IFERROR('2a'!M16/'2a'!$M16*100, "na")</f>
        <v>100</v>
      </c>
    </row>
    <row r="17" spans="1:13">
      <c r="A17" s="16">
        <v>1993</v>
      </c>
      <c r="B17" s="37" t="str">
        <f>IFERROR('2a'!B17/'2a'!$E17*100, "na")</f>
        <v>na</v>
      </c>
      <c r="C17" s="34" t="str">
        <f>IFERROR('2a'!C17/'2a'!$E17*100, "na")</f>
        <v>na</v>
      </c>
      <c r="D17" s="34" t="str">
        <f>IFERROR('2a'!D17/'2a'!$E17*100, "na")</f>
        <v>na</v>
      </c>
      <c r="E17" s="34" t="str">
        <f>IFERROR('2a'!E17/'2a'!$E17*100, "na")</f>
        <v>na</v>
      </c>
      <c r="F17" s="37" t="str">
        <f>IFERROR('2a'!F17/'2a'!$I17*100, "na")</f>
        <v>na</v>
      </c>
      <c r="G17" s="34" t="str">
        <f>IFERROR('2a'!G17/'2a'!$I17*100, "na")</f>
        <v>na</v>
      </c>
      <c r="H17" s="34" t="str">
        <f>IFERROR('2a'!H17/'2a'!$I17*100, "na")</f>
        <v>na</v>
      </c>
      <c r="I17" s="34" t="str">
        <f>IFERROR('2a'!I17/'2a'!$I17*100, "na")</f>
        <v>na</v>
      </c>
      <c r="J17" s="147">
        <f>IFERROR('2a'!J17/'2a'!$M17*100, "na")</f>
        <v>9.3065579566962704</v>
      </c>
      <c r="K17" s="100">
        <f>IFERROR('2a'!K17/'2a'!$M17*100, "na")</f>
        <v>49.762890243141506</v>
      </c>
      <c r="L17" s="100">
        <f>IFERROR('2a'!L17/'2a'!$M17*100, "na")</f>
        <v>40.930551800162242</v>
      </c>
      <c r="M17" s="87">
        <f>IFERROR('2a'!M17/'2a'!$M17*100, "na")</f>
        <v>100</v>
      </c>
    </row>
    <row r="18" spans="1:13">
      <c r="A18" s="16">
        <v>1994</v>
      </c>
      <c r="B18" s="37">
        <f>IFERROR('2a'!B18/'2a'!$E18*100, "na")</f>
        <v>0.62603730690133064</v>
      </c>
      <c r="C18" s="34">
        <f>IFERROR('2a'!C18/'2a'!$E18*100, "na")</f>
        <v>57.427771137988159</v>
      </c>
      <c r="D18" s="34">
        <f>IFERROR('2a'!D18/'2a'!$E18*100, "na")</f>
        <v>41.946191555110502</v>
      </c>
      <c r="E18" s="38">
        <f>IFERROR('2a'!E18/'2a'!$E18*100, "na")</f>
        <v>100</v>
      </c>
      <c r="F18" s="37" t="str">
        <f>IFERROR('2a'!F18/'2a'!$I18*100, "na")</f>
        <v>na</v>
      </c>
      <c r="G18" s="34" t="str">
        <f>IFERROR('2a'!G18/'2a'!$I18*100, "na")</f>
        <v>na</v>
      </c>
      <c r="H18" s="34" t="str">
        <f>IFERROR('2a'!H18/'2a'!$I18*100, "na")</f>
        <v>na</v>
      </c>
      <c r="I18" s="34" t="str">
        <f>IFERROR('2a'!I18/'2a'!$I18*100, "na")</f>
        <v>na</v>
      </c>
      <c r="J18" s="147">
        <f>IFERROR('2a'!J18/'2a'!$M18*100, "na")</f>
        <v>11.42964282366176</v>
      </c>
      <c r="K18" s="100">
        <f>IFERROR('2a'!K18/'2a'!$M18*100, "na")</f>
        <v>53.196775100778105</v>
      </c>
      <c r="L18" s="100">
        <f>IFERROR('2a'!L18/'2a'!$M18*100, "na")</f>
        <v>35.373582075560137</v>
      </c>
      <c r="M18" s="87">
        <f>IFERROR('2a'!M18/'2a'!$M18*100, "na")</f>
        <v>100</v>
      </c>
    </row>
    <row r="19" spans="1:13">
      <c r="A19" s="16">
        <v>1995</v>
      </c>
      <c r="B19" s="37" t="str">
        <f>IFERROR('2a'!B19/'2a'!$E19*100, "na")</f>
        <v>na</v>
      </c>
      <c r="C19" s="34" t="str">
        <f>IFERROR('2a'!C19/'2a'!$E19*100, "na")</f>
        <v>na</v>
      </c>
      <c r="D19" s="34" t="str">
        <f>IFERROR('2a'!D19/'2a'!$E19*100, "na")</f>
        <v>na</v>
      </c>
      <c r="E19" s="34" t="str">
        <f>IFERROR('2a'!E19/'2a'!$E19*100, "na")</f>
        <v>na</v>
      </c>
      <c r="F19" s="37" t="str">
        <f>IFERROR('2a'!F19/'2a'!$I19*100, "na")</f>
        <v>na</v>
      </c>
      <c r="G19" s="34" t="str">
        <f>IFERROR('2a'!G19/'2a'!$I19*100, "na")</f>
        <v>na</v>
      </c>
      <c r="H19" s="34" t="str">
        <f>IFERROR('2a'!H19/'2a'!$I19*100, "na")</f>
        <v>na</v>
      </c>
      <c r="I19" s="34" t="str">
        <f>IFERROR('2a'!I19/'2a'!$I19*100, "na")</f>
        <v>na</v>
      </c>
      <c r="J19" s="147">
        <f>IFERROR('2a'!J19/'2a'!$M19*100, "na")</f>
        <v>14.207408325732555</v>
      </c>
      <c r="K19" s="100">
        <f>IFERROR('2a'!K19/'2a'!$M19*100, "na")</f>
        <v>51.147201289328507</v>
      </c>
      <c r="L19" s="100">
        <f>IFERROR('2a'!L19/'2a'!$M19*100, "na")</f>
        <v>34.645390384938949</v>
      </c>
      <c r="M19" s="87">
        <f>IFERROR('2a'!M19/'2a'!$M19*100, "na")</f>
        <v>100</v>
      </c>
    </row>
    <row r="20" spans="1:13">
      <c r="A20" s="16">
        <v>1996</v>
      </c>
      <c r="B20" s="37">
        <f>IFERROR('2a'!B20/'2a'!$E20*100, "na")</f>
        <v>7.6978632331660499</v>
      </c>
      <c r="C20" s="34">
        <f>IFERROR('2a'!C20/'2a'!$E20*100, "na")</f>
        <v>44.185332843034807</v>
      </c>
      <c r="D20" s="34">
        <f>IFERROR('2a'!D20/'2a'!$E20*100, "na")</f>
        <v>48.116803923799139</v>
      </c>
      <c r="E20" s="38">
        <f>IFERROR('2a'!E20/'2a'!$E20*100, "na")</f>
        <v>100</v>
      </c>
      <c r="F20" s="37" t="str">
        <f>IFERROR('2a'!F20/'2a'!$I20*100, "na")</f>
        <v>na</v>
      </c>
      <c r="G20" s="34" t="str">
        <f>IFERROR('2a'!G20/'2a'!$I20*100, "na")</f>
        <v>na</v>
      </c>
      <c r="H20" s="34" t="str">
        <f>IFERROR('2a'!H20/'2a'!$I20*100, "na")</f>
        <v>na</v>
      </c>
      <c r="I20" s="34" t="str">
        <f>IFERROR('2a'!I20/'2a'!$I20*100, "na")</f>
        <v>na</v>
      </c>
      <c r="J20" s="147">
        <f>IFERROR('2a'!J20/'2a'!$M20*100, "na")</f>
        <v>16.456328876671247</v>
      </c>
      <c r="K20" s="100">
        <f>IFERROR('2a'!K20/'2a'!$M20*100, "na")</f>
        <v>51.829001624390855</v>
      </c>
      <c r="L20" s="100">
        <f>IFERROR('2a'!L20/'2a'!$M20*100, "na")</f>
        <v>31.714669498937898</v>
      </c>
      <c r="M20" s="87">
        <f>IFERROR('2a'!M20/'2a'!$M20*100, "na")</f>
        <v>100</v>
      </c>
    </row>
    <row r="21" spans="1:13">
      <c r="A21" s="16">
        <v>1997</v>
      </c>
      <c r="B21" s="37">
        <f>IFERROR('2a'!B21/'2a'!$E21*100, "na")</f>
        <v>8.9175554998922344</v>
      </c>
      <c r="C21" s="34">
        <f>IFERROR('2a'!C21/'2a'!$E21*100, "na")</f>
        <v>23.048880348914718</v>
      </c>
      <c r="D21" s="34">
        <f>IFERROR('2a'!D21/'2a'!$E21*100, "na")</f>
        <v>68.033564151193033</v>
      </c>
      <c r="E21" s="38">
        <f>IFERROR('2a'!E21/'2a'!$E21*100, "na")</f>
        <v>100</v>
      </c>
      <c r="F21" s="37">
        <f>IFERROR('2a'!F21/'2a'!$I21*100, "na")</f>
        <v>31.1508678335288</v>
      </c>
      <c r="G21" s="34">
        <f>IFERROR('2a'!G21/'2a'!$I21*100, "na")</f>
        <v>67.579308018513046</v>
      </c>
      <c r="H21" s="34">
        <f>IFERROR('2a'!H21/'2a'!$I21*100, "na")</f>
        <v>1.2698241479581434</v>
      </c>
      <c r="I21" s="38">
        <f>IFERROR('2a'!I21/'2a'!$I21*100, "na")</f>
        <v>100</v>
      </c>
      <c r="J21" s="147">
        <f>IFERROR('2a'!J21/'2a'!$M21*100, "na")</f>
        <v>17.465052900562046</v>
      </c>
      <c r="K21" s="100">
        <f>IFERROR('2a'!K21/'2a'!$M21*100, "na")</f>
        <v>48.783066784992727</v>
      </c>
      <c r="L21" s="100">
        <f>IFERROR('2a'!L21/'2a'!$M21*100, "na")</f>
        <v>33.751880314445224</v>
      </c>
      <c r="M21" s="87">
        <f>IFERROR('2a'!M21/'2a'!$M21*100, "na")</f>
        <v>100</v>
      </c>
    </row>
    <row r="22" spans="1:13">
      <c r="A22" s="16">
        <v>1998</v>
      </c>
      <c r="B22" s="37">
        <f>IFERROR('2a'!B22/'2a'!$E22*100, "na")</f>
        <v>23.889063766232898</v>
      </c>
      <c r="C22" s="34">
        <f>IFERROR('2a'!C22/'2a'!$E22*100, "na")</f>
        <v>47.28332843950934</v>
      </c>
      <c r="D22" s="34">
        <f>IFERROR('2a'!D22/'2a'!$E22*100, "na")</f>
        <v>28.827607794257766</v>
      </c>
      <c r="E22" s="38">
        <f>IFERROR('2a'!E22/'2a'!$E22*100, "na")</f>
        <v>100</v>
      </c>
      <c r="F22" s="37">
        <f>IFERROR('2a'!F22/'2a'!$I22*100, "na")</f>
        <v>47.418623411167069</v>
      </c>
      <c r="G22" s="34">
        <f>IFERROR('2a'!G22/'2a'!$I22*100, "na")</f>
        <v>48.820764383979771</v>
      </c>
      <c r="H22" s="34">
        <f>IFERROR('2a'!H22/'2a'!$I22*100, "na")</f>
        <v>3.7606122048531621</v>
      </c>
      <c r="I22" s="38">
        <f>IFERROR('2a'!I22/'2a'!$I22*100, "na")</f>
        <v>100</v>
      </c>
      <c r="J22" s="147">
        <f>IFERROR('2a'!J22/'2a'!$M22*100, "na")</f>
        <v>24.01006197358732</v>
      </c>
      <c r="K22" s="100">
        <f>IFERROR('2a'!K22/'2a'!$M22*100, "na")</f>
        <v>48.699522163754317</v>
      </c>
      <c r="L22" s="100">
        <f>IFERROR('2a'!L22/'2a'!$M22*100, "na")</f>
        <v>27.290415862658364</v>
      </c>
      <c r="M22" s="87">
        <f>IFERROR('2a'!M22/'2a'!$M22*100, "na")</f>
        <v>100</v>
      </c>
    </row>
    <row r="23" spans="1:13">
      <c r="A23" s="16">
        <v>1999</v>
      </c>
      <c r="B23" s="37">
        <f>IFERROR('2a'!B23/'2a'!$E23*100, "na")</f>
        <v>17.826735286320215</v>
      </c>
      <c r="C23" s="34">
        <f>IFERROR('2a'!C23/'2a'!$E23*100, "na")</f>
        <v>54.335704661973551</v>
      </c>
      <c r="D23" s="34">
        <f>IFERROR('2a'!D23/'2a'!$E23*100, "na")</f>
        <v>27.837560051706234</v>
      </c>
      <c r="E23" s="38">
        <f>IFERROR('2a'!E23/'2a'!$E23*100, "na")</f>
        <v>100</v>
      </c>
      <c r="F23" s="37">
        <f>IFERROR('2a'!F23/'2a'!$I23*100, "na")</f>
        <v>23.622112270991948</v>
      </c>
      <c r="G23" s="34">
        <f>IFERROR('2a'!G23/'2a'!$I23*100, "na")</f>
        <v>75.214610152056267</v>
      </c>
      <c r="H23" s="34">
        <f>IFERROR('2a'!H23/'2a'!$I23*100, "na")</f>
        <v>1.1632775769517751</v>
      </c>
      <c r="I23" s="38">
        <f>IFERROR('2a'!I23/'2a'!$I23*100, "na")</f>
        <v>100</v>
      </c>
      <c r="J23" s="147">
        <f>IFERROR('2a'!J23/'2a'!$M23*100, "na")</f>
        <v>27.385972520830837</v>
      </c>
      <c r="K23" s="100">
        <f>IFERROR('2a'!K23/'2a'!$M23*100, "na")</f>
        <v>44.159061758925198</v>
      </c>
      <c r="L23" s="100">
        <f>IFERROR('2a'!L23/'2a'!$M23*100, "na")</f>
        <v>28.454965720243976</v>
      </c>
      <c r="M23" s="87">
        <f>IFERROR('2a'!M23/'2a'!$M23*100, "na")</f>
        <v>100</v>
      </c>
    </row>
    <row r="24" spans="1:13">
      <c r="A24" s="16">
        <v>2000</v>
      </c>
      <c r="B24" s="37">
        <f>IFERROR('2a'!B24/'2a'!$E24*100, "na")</f>
        <v>5.8760955063801488</v>
      </c>
      <c r="C24" s="34">
        <f>IFERROR('2a'!C24/'2a'!$E24*100, "na")</f>
        <v>80.789808181589848</v>
      </c>
      <c r="D24" s="34">
        <f>IFERROR('2a'!D24/'2a'!$E24*100, "na")</f>
        <v>13.334096312029994</v>
      </c>
      <c r="E24" s="38">
        <f>IFERROR('2a'!E24/'2a'!$E24*100, "na")</f>
        <v>100</v>
      </c>
      <c r="F24" s="37">
        <f>IFERROR('2a'!F24/'2a'!$I24*100, "na")</f>
        <v>24.380132539940782</v>
      </c>
      <c r="G24" s="34">
        <f>IFERROR('2a'!G24/'2a'!$I24*100, "na")</f>
        <v>65.601664964545421</v>
      </c>
      <c r="H24" s="34">
        <f>IFERROR('2a'!H24/'2a'!$I24*100, "na")</f>
        <v>10.01820249551381</v>
      </c>
      <c r="I24" s="38">
        <f>IFERROR('2a'!I24/'2a'!$I24*100, "na")</f>
        <v>100</v>
      </c>
      <c r="J24" s="147">
        <f>IFERROR('2a'!J24/'2a'!$M24*100, "na")</f>
        <v>29.211583848950688</v>
      </c>
      <c r="K24" s="100">
        <f>IFERROR('2a'!K24/'2a'!$M24*100, "na")</f>
        <v>39.527651974229762</v>
      </c>
      <c r="L24" s="100">
        <f>IFERROR('2a'!L24/'2a'!$M24*100, "na")</f>
        <v>31.260764176819546</v>
      </c>
      <c r="M24" s="87">
        <f>IFERROR('2a'!M24/'2a'!$M24*100, "na")</f>
        <v>100</v>
      </c>
    </row>
    <row r="25" spans="1:13">
      <c r="A25" s="16">
        <v>2001</v>
      </c>
      <c r="B25" s="37">
        <f>IFERROR('2a'!B25/'2a'!$E25*100, "na")</f>
        <v>1.9448563758296029</v>
      </c>
      <c r="C25" s="34">
        <f>IFERROR('2a'!C25/'2a'!$E25*100, "na")</f>
        <v>97.967798735148747</v>
      </c>
      <c r="D25" s="34">
        <f>IFERROR('2a'!D25/'2a'!$E25*100, "na")</f>
        <v>8.7344889021633051E-2</v>
      </c>
      <c r="E25" s="38">
        <f>IFERROR('2a'!E25/'2a'!$E25*100, "na")</f>
        <v>100</v>
      </c>
      <c r="F25" s="37">
        <f>IFERROR('2a'!F25/'2a'!$I25*100, "na")</f>
        <v>0.2260422379946456</v>
      </c>
      <c r="G25" s="34">
        <f>IFERROR('2a'!G25/'2a'!$I25*100, "na")</f>
        <v>98.675650431448787</v>
      </c>
      <c r="H25" s="34">
        <f>IFERROR('2a'!H25/'2a'!$I25*100, "na")</f>
        <v>1.098307330556566</v>
      </c>
      <c r="I25" s="38">
        <f>IFERROR('2a'!I25/'2a'!$I25*100, "na")</f>
        <v>100</v>
      </c>
      <c r="J25" s="147">
        <f>IFERROR('2a'!J25/'2a'!$M25*100, "na")</f>
        <v>27.04344365900473</v>
      </c>
      <c r="K25" s="100">
        <f>IFERROR('2a'!K25/'2a'!$M25*100, "na")</f>
        <v>41.917903344100615</v>
      </c>
      <c r="L25" s="100">
        <f>IFERROR('2a'!L25/'2a'!$M25*100, "na")</f>
        <v>31.038652996894651</v>
      </c>
      <c r="M25" s="87">
        <f>IFERROR('2a'!M25/'2a'!$M25*100, "na")</f>
        <v>100</v>
      </c>
    </row>
    <row r="26" spans="1:13">
      <c r="A26" s="16">
        <v>2002</v>
      </c>
      <c r="B26" s="37">
        <f>IFERROR('2a'!B26/'2a'!$E26*100, "na")</f>
        <v>22.131904912672923</v>
      </c>
      <c r="C26" s="34">
        <f>IFERROR('2a'!C26/'2a'!$E26*100, "na")</f>
        <v>75.497373403203611</v>
      </c>
      <c r="D26" s="34">
        <f>IFERROR('2a'!D26/'2a'!$E26*100, "na")</f>
        <v>2.370721684123466</v>
      </c>
      <c r="E26" s="38">
        <f>IFERROR('2a'!E26/'2a'!$E26*100, "na")</f>
        <v>100</v>
      </c>
      <c r="F26" s="37">
        <f>IFERROR('2a'!F26/'2a'!$I26*100, "na")</f>
        <v>3.9815286722574874</v>
      </c>
      <c r="G26" s="34">
        <f>IFERROR('2a'!G26/'2a'!$I26*100, "na")</f>
        <v>91.721879874592659</v>
      </c>
      <c r="H26" s="34">
        <f>IFERROR('2a'!H26/'2a'!$I26*100, "na")</f>
        <v>4.2965914531498566</v>
      </c>
      <c r="I26" s="38">
        <f>IFERROR('2a'!I26/'2a'!$I26*100, "na")</f>
        <v>100</v>
      </c>
      <c r="J26" s="147">
        <f>IFERROR('2a'!J26/'2a'!$M26*100, "na")</f>
        <v>30.84070641311844</v>
      </c>
      <c r="K26" s="100">
        <f>IFERROR('2a'!K26/'2a'!$M26*100, "na")</f>
        <v>41.108085258905163</v>
      </c>
      <c r="L26" s="100">
        <f>IFERROR('2a'!L26/'2a'!$M26*100, "na")</f>
        <v>28.051208327976411</v>
      </c>
      <c r="M26" s="87">
        <f>IFERROR('2a'!M26/'2a'!$M26*100, "na")</f>
        <v>100</v>
      </c>
    </row>
    <row r="27" spans="1:13">
      <c r="A27" s="16">
        <v>2003</v>
      </c>
      <c r="B27" s="37">
        <f>IFERROR('2a'!B27/'2a'!$E27*100, "na")</f>
        <v>37.664631311206989</v>
      </c>
      <c r="C27" s="34">
        <f>IFERROR('2a'!C27/'2a'!$E27*100, "na")</f>
        <v>55.598595506796975</v>
      </c>
      <c r="D27" s="34">
        <f>IFERROR('2a'!D27/'2a'!$E27*100, "na")</f>
        <v>6.7367731819960364</v>
      </c>
      <c r="E27" s="38">
        <f>IFERROR('2a'!E27/'2a'!$E27*100, "na")</f>
        <v>100</v>
      </c>
      <c r="F27" s="37">
        <f>IFERROR('2a'!F27/'2a'!$I27*100, "na")</f>
        <v>19.824783209211187</v>
      </c>
      <c r="G27" s="34">
        <f>IFERROR('2a'!G27/'2a'!$I27*100, "na")</f>
        <v>76.080775268674969</v>
      </c>
      <c r="H27" s="34">
        <f>IFERROR('2a'!H27/'2a'!$I27*100, "na")</f>
        <v>4.094441522113839</v>
      </c>
      <c r="I27" s="38">
        <f>IFERROR('2a'!I27/'2a'!$I27*100, "na")</f>
        <v>100</v>
      </c>
      <c r="J27" s="147">
        <f>IFERROR('2a'!J27/'2a'!$M27*100, "na")</f>
        <v>33.815122541255079</v>
      </c>
      <c r="K27" s="100">
        <f>IFERROR('2a'!K27/'2a'!$M27*100, "na")</f>
        <v>40.448333957319363</v>
      </c>
      <c r="L27" s="100">
        <f>IFERROR('2a'!L27/'2a'!$M27*100, "na")</f>
        <v>25.736543501425569</v>
      </c>
      <c r="M27" s="87">
        <f>IFERROR('2a'!M27/'2a'!$M27*100, "na")</f>
        <v>100</v>
      </c>
    </row>
    <row r="28" spans="1:13">
      <c r="A28" s="16">
        <v>2004</v>
      </c>
      <c r="B28" s="37">
        <f>IFERROR('2a'!B28/'2a'!$E28*100, "na")</f>
        <v>36.297107230994754</v>
      </c>
      <c r="C28" s="34">
        <f>IFERROR('2a'!C28/'2a'!$E28*100, "na")</f>
        <v>57.721151169910755</v>
      </c>
      <c r="D28" s="34">
        <f>IFERROR('2a'!D28/'2a'!$E28*100, "na")</f>
        <v>5.9817415990945024</v>
      </c>
      <c r="E28" s="38">
        <f>IFERROR('2a'!E28/'2a'!$E28*100, "na")</f>
        <v>100</v>
      </c>
      <c r="F28" s="37">
        <f>IFERROR('2a'!F28/'2a'!$I28*100, "na")</f>
        <v>13.878177422505569</v>
      </c>
      <c r="G28" s="34">
        <f>IFERROR('2a'!G28/'2a'!$I28*100, "na")</f>
        <v>82.969654573379628</v>
      </c>
      <c r="H28" s="34">
        <f>IFERROR('2a'!H28/'2a'!$I28*100, "na")</f>
        <v>3.1521680041147961</v>
      </c>
      <c r="I28" s="38">
        <f>IFERROR('2a'!I28/'2a'!$I28*100, "na")</f>
        <v>100</v>
      </c>
      <c r="J28" s="147">
        <f>IFERROR('2a'!J28/'2a'!$M28*100, "na")</f>
        <v>38.165574457488873</v>
      </c>
      <c r="K28" s="100">
        <f>IFERROR('2a'!K28/'2a'!$M28*100, "na")</f>
        <v>38.611973203928315</v>
      </c>
      <c r="L28" s="100">
        <f>IFERROR('2a'!L28/'2a'!$M28*100, "na")</f>
        <v>23.222452338582823</v>
      </c>
      <c r="M28" s="87">
        <f>IFERROR('2a'!M28/'2a'!$M28*100, "na")</f>
        <v>100</v>
      </c>
    </row>
    <row r="29" spans="1:13">
      <c r="A29" s="16">
        <v>2005</v>
      </c>
      <c r="B29" s="37">
        <f>IFERROR('2a'!B29/'2a'!$E29*100, "na")</f>
        <v>36.48280608896016</v>
      </c>
      <c r="C29" s="34">
        <f>IFERROR('2a'!C29/'2a'!$E29*100, "na")</f>
        <v>59.299230616013254</v>
      </c>
      <c r="D29" s="34">
        <f>IFERROR('2a'!D29/'2a'!$E29*100, "na")</f>
        <v>4.2179632950265891</v>
      </c>
      <c r="E29" s="38">
        <f>IFERROR('2a'!E29/'2a'!$E29*100, "na")</f>
        <v>100</v>
      </c>
      <c r="F29" s="37">
        <f>IFERROR('2a'!F29/'2a'!$I29*100, "na")</f>
        <v>17.528945782851757</v>
      </c>
      <c r="G29" s="34">
        <f>IFERROR('2a'!G29/'2a'!$I29*100, "na")</f>
        <v>77.717869820880637</v>
      </c>
      <c r="H29" s="34">
        <f>IFERROR('2a'!H29/'2a'!$I29*100, "na")</f>
        <v>4.7531843962676197</v>
      </c>
      <c r="I29" s="38">
        <f>IFERROR('2a'!I29/'2a'!$I29*100, "na")</f>
        <v>100</v>
      </c>
      <c r="J29" s="147">
        <f>IFERROR('2a'!J29/'2a'!$M29*100, "na")</f>
        <v>40.903601861048664</v>
      </c>
      <c r="K29" s="100">
        <f>IFERROR('2a'!K29/'2a'!$M29*100, "na")</f>
        <v>38.470385278895918</v>
      </c>
      <c r="L29" s="100">
        <f>IFERROR('2a'!L29/'2a'!$M29*100, "na")</f>
        <v>20.626012860055415</v>
      </c>
      <c r="M29" s="87">
        <f>IFERROR('2a'!M29/'2a'!$M29*100, "na")</f>
        <v>100</v>
      </c>
    </row>
    <row r="30" spans="1:13">
      <c r="A30" s="16">
        <v>2006</v>
      </c>
      <c r="B30" s="37">
        <f>IFERROR('2a'!B30/'2a'!$E30*100, "na")</f>
        <v>36.002483534829111</v>
      </c>
      <c r="C30" s="34">
        <f>IFERROR('2a'!C30/'2a'!$E30*100, "na")</f>
        <v>57.553769790309858</v>
      </c>
      <c r="D30" s="34">
        <f>IFERROR('2a'!D30/'2a'!$E30*100, "na")</f>
        <v>6.443746674861031</v>
      </c>
      <c r="E30" s="38">
        <f>IFERROR('2a'!E30/'2a'!$E30*100, "na")</f>
        <v>100</v>
      </c>
      <c r="F30" s="37">
        <f>IFERROR('2a'!F30/'2a'!$I30*100, "na")</f>
        <v>20.854654493167022</v>
      </c>
      <c r="G30" s="34">
        <f>IFERROR('2a'!G30/'2a'!$I30*100, "na")</f>
        <v>74.361674518651881</v>
      </c>
      <c r="H30" s="34">
        <f>IFERROR('2a'!H30/'2a'!$I30*100, "na")</f>
        <v>4.7836709881811075</v>
      </c>
      <c r="I30" s="38">
        <f>IFERROR('2a'!I30/'2a'!$I30*100, "na")</f>
        <v>100</v>
      </c>
      <c r="J30" s="147">
        <f>IFERROR('2a'!J30/'2a'!$M30*100, "na")</f>
        <v>45.49356711829671</v>
      </c>
      <c r="K30" s="100">
        <f>IFERROR('2a'!K30/'2a'!$M30*100, "na")</f>
        <v>35.234657861778437</v>
      </c>
      <c r="L30" s="100">
        <f>IFERROR('2a'!L30/'2a'!$M30*100, "na")</f>
        <v>19.271775019924856</v>
      </c>
      <c r="M30" s="87">
        <f>IFERROR('2a'!M30/'2a'!$M30*100, "na")</f>
        <v>100</v>
      </c>
    </row>
    <row r="31" spans="1:13">
      <c r="A31" s="16">
        <v>2007</v>
      </c>
      <c r="B31" s="37">
        <f>IFERROR('2a'!B31/'2a'!$E31*100, "na")</f>
        <v>50.417332632298475</v>
      </c>
      <c r="C31" s="34">
        <f>IFERROR('2a'!C31/'2a'!$E31*100, "na")</f>
        <v>38.489227885655765</v>
      </c>
      <c r="D31" s="34">
        <f>IFERROR('2a'!D31/'2a'!$E31*100, "na")</f>
        <v>11.093439482045776</v>
      </c>
      <c r="E31" s="38">
        <f>IFERROR('2a'!E31/'2a'!$E31*100, "na")</f>
        <v>100</v>
      </c>
      <c r="F31" s="37">
        <f>IFERROR('2a'!F31/'2a'!$I31*100, "na")</f>
        <v>9.4098005644266127</v>
      </c>
      <c r="G31" s="34">
        <f>IFERROR('2a'!G31/'2a'!$I31*100, "na")</f>
        <v>88.013053272295949</v>
      </c>
      <c r="H31" s="34">
        <f>IFERROR('2a'!H31/'2a'!$I31*100, "na")</f>
        <v>2.5771461632774466</v>
      </c>
      <c r="I31" s="38">
        <f>IFERROR('2a'!I31/'2a'!$I31*100, "na")</f>
        <v>100</v>
      </c>
      <c r="J31" s="147">
        <f>IFERROR('2a'!J31/'2a'!$M31*100, "na")</f>
        <v>44.906795707973913</v>
      </c>
      <c r="K31" s="100">
        <f>IFERROR('2a'!K31/'2a'!$M31*100, "na")</f>
        <v>38.184725436566382</v>
      </c>
      <c r="L31" s="100">
        <f>IFERROR('2a'!L31/'2a'!$M31*100, "na")</f>
        <v>16.908478855459709</v>
      </c>
      <c r="M31" s="87">
        <f>IFERROR('2a'!M31/'2a'!$M31*100, "na")</f>
        <v>100</v>
      </c>
    </row>
    <row r="32" spans="1:13">
      <c r="A32" s="16">
        <v>2008</v>
      </c>
      <c r="B32" s="37">
        <f>IFERROR('2a'!B32/'2a'!$E32*100, "na")</f>
        <v>31.981937481440326</v>
      </c>
      <c r="C32" s="34">
        <f>IFERROR('2a'!C32/'2a'!$E32*100, "na")</f>
        <v>62.980088923704713</v>
      </c>
      <c r="D32" s="34">
        <f>IFERROR('2a'!D32/'2a'!$E32*100, "na")</f>
        <v>5.0379735948549529</v>
      </c>
      <c r="E32" s="38">
        <f>IFERROR('2a'!E32/'2a'!$E32*100, "na")</f>
        <v>100</v>
      </c>
      <c r="F32" s="37">
        <f>IFERROR('2a'!F32/'2a'!$I32*100, "na")</f>
        <v>11.03065698308777</v>
      </c>
      <c r="G32" s="34">
        <f>IFERROR('2a'!G32/'2a'!$I32*100, "na")</f>
        <v>85.140573245717647</v>
      </c>
      <c r="H32" s="34">
        <f>IFERROR('2a'!H32/'2a'!$I32*100, "na")</f>
        <v>3.8287697711945858</v>
      </c>
      <c r="I32" s="38">
        <f>IFERROR('2a'!I32/'2a'!$I32*100, "na")</f>
        <v>100</v>
      </c>
      <c r="J32" s="147">
        <f>IFERROR('2a'!J32/'2a'!$M32*100, "na")</f>
        <v>46.322190842624209</v>
      </c>
      <c r="K32" s="100">
        <f>IFERROR('2a'!K32/'2a'!$M32*100, "na")</f>
        <v>35.678340533147022</v>
      </c>
      <c r="L32" s="100">
        <f>IFERROR('2a'!L32/'2a'!$M32*100, "na")</f>
        <v>17.999468624228765</v>
      </c>
      <c r="M32" s="87">
        <f>IFERROR('2a'!M32/'2a'!$M32*100, "na")</f>
        <v>100</v>
      </c>
    </row>
    <row r="33" spans="1:13">
      <c r="A33" s="16">
        <v>2009</v>
      </c>
      <c r="B33" s="37">
        <f>IFERROR('2a'!B33/'2a'!$E33*100, "na")</f>
        <v>38.097617121769552</v>
      </c>
      <c r="C33" s="34">
        <f>IFERROR('2a'!C33/'2a'!$E33*100, "na")</f>
        <v>54.909817219942006</v>
      </c>
      <c r="D33" s="34">
        <f>IFERROR('2a'!D33/'2a'!$E33*100, "na")</f>
        <v>6.9925656582884441</v>
      </c>
      <c r="E33" s="38">
        <f>IFERROR('2a'!E33/'2a'!$E33*100, "na")</f>
        <v>100</v>
      </c>
      <c r="F33" s="37">
        <f>IFERROR('2a'!F33/'2a'!$I33*100, "na")</f>
        <v>16.267349206669106</v>
      </c>
      <c r="G33" s="34">
        <f>IFERROR('2a'!G33/'2a'!$I33*100, "na")</f>
        <v>81.838995987530922</v>
      </c>
      <c r="H33" s="34">
        <f>IFERROR('2a'!H33/'2a'!$I33*100, "na")</f>
        <v>1.8936548057999651</v>
      </c>
      <c r="I33" s="38">
        <f>IFERROR('2a'!I33/'2a'!$I33*100, "na")</f>
        <v>100</v>
      </c>
      <c r="J33" s="147">
        <f>IFERROR('2a'!J33/'2a'!$M33*100, "na")</f>
        <v>43.535687462971246</v>
      </c>
      <c r="K33" s="100">
        <f>IFERROR('2a'!K33/'2a'!$M33*100, "na")</f>
        <v>37.927578908419754</v>
      </c>
      <c r="L33" s="100">
        <f>IFERROR('2a'!L33/'2a'!$M33*100, "na")</f>
        <v>18.536733628608996</v>
      </c>
      <c r="M33" s="87">
        <f>IFERROR('2a'!M33/'2a'!$M33*100, "na")</f>
        <v>100</v>
      </c>
    </row>
    <row r="34" spans="1:13">
      <c r="A34" s="16">
        <v>2010</v>
      </c>
      <c r="B34" s="37">
        <f>IFERROR('2a'!B34/'2a'!$E34*100, "na")</f>
        <v>43.286433863483289</v>
      </c>
      <c r="C34" s="34">
        <f>IFERROR('2a'!C34/'2a'!$E34*100, "na")</f>
        <v>47.356922182691683</v>
      </c>
      <c r="D34" s="34">
        <f>IFERROR('2a'!D34/'2a'!$E34*100, "na")</f>
        <v>9.3566439538250279</v>
      </c>
      <c r="E34" s="38">
        <f>IFERROR('2a'!E34/'2a'!$E34*100, "na")</f>
        <v>100</v>
      </c>
      <c r="F34" s="37">
        <f>IFERROR('2a'!F34/'2a'!$I34*100, "na")</f>
        <v>23.669743271294433</v>
      </c>
      <c r="G34" s="34">
        <f>IFERROR('2a'!G34/'2a'!$I34*100, "na")</f>
        <v>73.066012294681855</v>
      </c>
      <c r="H34" s="34">
        <f>IFERROR('2a'!H34/'2a'!$I34*100, "na")</f>
        <v>3.2642444340237158</v>
      </c>
      <c r="I34" s="38">
        <f>IFERROR('2a'!I34/'2a'!$I34*100, "na")</f>
        <v>100</v>
      </c>
      <c r="J34" s="147">
        <f>IFERROR('2a'!J34/'2a'!$M34*100, "na")</f>
        <v>46.588580919555675</v>
      </c>
      <c r="K34" s="100">
        <f>IFERROR('2a'!K34/'2a'!$M34*100, "na")</f>
        <v>34.369953628587062</v>
      </c>
      <c r="L34" s="100">
        <f>IFERROR('2a'!L34/'2a'!$M34*100, "na")</f>
        <v>19.04146545185726</v>
      </c>
      <c r="M34" s="87">
        <f>IFERROR('2a'!M34/'2a'!$M34*100, "na")</f>
        <v>100</v>
      </c>
    </row>
    <row r="35" spans="1:13">
      <c r="A35" s="17">
        <v>2011</v>
      </c>
      <c r="B35" s="39">
        <f>IFERROR('2a'!B35/'2a'!$E35*100, "na")</f>
        <v>47.004765602807922</v>
      </c>
      <c r="C35" s="40">
        <f>IFERROR('2a'!C35/'2a'!$E35*100, "na")</f>
        <v>43.73060506941151</v>
      </c>
      <c r="D35" s="40">
        <f>IFERROR('2a'!D35/'2a'!$E35*100, "na")</f>
        <v>9.2646293277805754</v>
      </c>
      <c r="E35" s="41">
        <f>IFERROR('2a'!E35/'2a'!$E35*100, "na")</f>
        <v>100</v>
      </c>
      <c r="F35" s="39">
        <f>IFERROR('2a'!F35/'2a'!$I35*100, "na")</f>
        <v>29.687671386079202</v>
      </c>
      <c r="G35" s="40">
        <f>IFERROR('2a'!G35/'2a'!$I35*100, "na")</f>
        <v>66.763772002836092</v>
      </c>
      <c r="H35" s="40">
        <f>IFERROR('2a'!H35/'2a'!$I35*100, "na")</f>
        <v>3.5485566110847051</v>
      </c>
      <c r="I35" s="41">
        <f>IFERROR('2a'!I35/'2a'!$I35*100, "na")</f>
        <v>100</v>
      </c>
      <c r="J35" s="148">
        <f>IFERROR('2a'!J35/'2a'!$M35*100, "na")</f>
        <v>50.863382805816229</v>
      </c>
      <c r="K35" s="102">
        <f>IFERROR('2a'!K35/'2a'!$M35*100, "na")</f>
        <v>30.815691972153321</v>
      </c>
      <c r="L35" s="102">
        <f>IFERROR('2a'!L35/'2a'!$M35*100, "na")</f>
        <v>18.32092522203045</v>
      </c>
      <c r="M35" s="90">
        <f>IFERROR('2a'!M35/'2a'!$M35*100, "na")</f>
        <v>100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(POWER(B14/B5,1/($A14-$A5))-1)*100</f>
        <v>-19.730640001480047</v>
      </c>
      <c r="C38" s="83">
        <f t="shared" ref="C38:L38" si="0">(POWER(C14/C5,1/($A14-$A5))-1)*100</f>
        <v>14.956164069571765</v>
      </c>
      <c r="D38" s="83">
        <f t="shared" si="0"/>
        <v>-9.2628668679187509</v>
      </c>
      <c r="E38" s="84"/>
      <c r="F38" s="82">
        <f>(POWER(F14/F5,1/($A14-$A5))-1)*100</f>
        <v>11.397095989889806</v>
      </c>
      <c r="G38" s="83">
        <f t="shared" si="0"/>
        <v>13.624806101357034</v>
      </c>
      <c r="H38" s="83">
        <f t="shared" si="0"/>
        <v>-11.231579432655714</v>
      </c>
      <c r="I38" s="84"/>
      <c r="J38" s="82">
        <f t="shared" si="0"/>
        <v>12.138683679309725</v>
      </c>
      <c r="K38" s="83">
        <f t="shared" si="0"/>
        <v>10.032353338972765</v>
      </c>
      <c r="L38" s="83">
        <f t="shared" si="0"/>
        <v>-4.8875267332802119</v>
      </c>
      <c r="M38" s="84"/>
    </row>
    <row r="39" spans="1:13">
      <c r="A39" s="16" t="s">
        <v>71</v>
      </c>
      <c r="B39" s="37">
        <f>(POWER(B$24/B14,1/($A$24-$A$14))-1)*100</f>
        <v>43.340601077509497</v>
      </c>
      <c r="C39" s="34">
        <f t="shared" ref="C39:L39" si="1">(POWER(C$24/C14,1/($A$24-$A$14))-1)*100</f>
        <v>1.9588615523728148</v>
      </c>
      <c r="D39" s="34">
        <f t="shared" si="1"/>
        <v>-8.7448576771860793</v>
      </c>
      <c r="E39" s="38"/>
      <c r="F39" s="37">
        <f t="shared" si="1"/>
        <v>8.0977921550095431</v>
      </c>
      <c r="G39" s="34">
        <f t="shared" si="1"/>
        <v>0.42963795321828702</v>
      </c>
      <c r="H39" s="34">
        <f t="shared" si="1"/>
        <v>-9.0824204995865863</v>
      </c>
      <c r="I39" s="38"/>
      <c r="J39" s="37">
        <f t="shared" si="1"/>
        <v>15.999283586956082</v>
      </c>
      <c r="K39" s="34">
        <f t="shared" si="1"/>
        <v>-0.764973300164562</v>
      </c>
      <c r="L39" s="34">
        <f t="shared" si="1"/>
        <v>-4.7196613788856308</v>
      </c>
      <c r="M39" s="38"/>
    </row>
    <row r="40" spans="1:13">
      <c r="A40" s="16" t="s">
        <v>69</v>
      </c>
      <c r="B40" s="37">
        <f>(POWER(B$34/B24,1/($A$34-$A$24))-1)*100</f>
        <v>22.10298925363783</v>
      </c>
      <c r="C40" s="34">
        <f t="shared" ref="C40:L40" si="2">(POWER(C$34/C24,1/($A$34-$A$24))-1)*100</f>
        <v>-5.2012328959980758</v>
      </c>
      <c r="D40" s="34">
        <f t="shared" si="2"/>
        <v>-3.4803692910454709</v>
      </c>
      <c r="E40" s="38"/>
      <c r="F40" s="37">
        <f t="shared" si="2"/>
        <v>-0.29527304069117966</v>
      </c>
      <c r="G40" s="34">
        <f t="shared" si="2"/>
        <v>1.0834496063243382</v>
      </c>
      <c r="H40" s="34">
        <f>(POWER(H$34/H24,1/($A$34-$A$24))-1)*100</f>
        <v>-10.607869782695145</v>
      </c>
      <c r="I40" s="38"/>
      <c r="J40" s="37">
        <f t="shared" si="2"/>
        <v>4.7785629393307438</v>
      </c>
      <c r="K40" s="34">
        <f t="shared" si="2"/>
        <v>-1.3884482494937789</v>
      </c>
      <c r="L40" s="34">
        <f t="shared" si="2"/>
        <v>-4.836572004669959</v>
      </c>
      <c r="M40" s="38"/>
    </row>
    <row r="41" spans="1:13">
      <c r="A41" s="17" t="s">
        <v>70</v>
      </c>
      <c r="B41" s="39">
        <f>(POWER(B34/B5,1/($A$34-$A$5))-1)*100</f>
        <v>13.293127217863464</v>
      </c>
      <c r="C41" s="40">
        <f t="shared" ref="C41:L41" si="3">(POWER(C34/C5,1/($A$34-$A$5))-1)*100</f>
        <v>3.2029156278158277</v>
      </c>
      <c r="D41" s="40">
        <f t="shared" si="3"/>
        <v>-7.1269947906963171</v>
      </c>
      <c r="E41" s="41"/>
      <c r="F41" s="39">
        <f t="shared" si="3"/>
        <v>6.1121688556496023</v>
      </c>
      <c r="G41" s="40">
        <f t="shared" si="3"/>
        <v>4.5855421608494984</v>
      </c>
      <c r="H41" s="40">
        <f t="shared" si="3"/>
        <v>-10.279933978110867</v>
      </c>
      <c r="I41" s="41"/>
      <c r="J41" s="39">
        <f t="shared" si="3"/>
        <v>10.830122042202905</v>
      </c>
      <c r="K41" s="40">
        <f t="shared" si="3"/>
        <v>2.2449281842455537</v>
      </c>
      <c r="L41" s="40">
        <f t="shared" si="3"/>
        <v>-4.8120973637865605</v>
      </c>
      <c r="M41" s="41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" t="s">
        <v>98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4">
    <mergeCell ref="B3:E3"/>
    <mergeCell ref="F3:I3"/>
    <mergeCell ref="J3:M3"/>
    <mergeCell ref="A37:M37"/>
  </mergeCells>
  <pageMargins left="0.7" right="0.7" top="0.75" bottom="0.75" header="0.3" footer="0.3"/>
  <pageSetup scale="67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M37"/>
  <sheetViews>
    <sheetView zoomScaleNormal="100" workbookViewId="0">
      <selection activeCell="B15" sqref="B15"/>
    </sheetView>
  </sheetViews>
  <sheetFormatPr defaultRowHeight="15"/>
  <cols>
    <col min="2" max="2" width="11.7109375" customWidth="1"/>
    <col min="4" max="4" width="18.140625" customWidth="1"/>
    <col min="6" max="6" width="11.140625" customWidth="1"/>
    <col min="8" max="8" width="18.42578125" customWidth="1"/>
    <col min="10" max="10" width="11.28515625" customWidth="1"/>
    <col min="12" max="12" width="19.28515625" customWidth="1"/>
    <col min="13" max="13" width="14" customWidth="1"/>
  </cols>
  <sheetData>
    <row r="1" spans="1:13">
      <c r="A1" s="387" t="s">
        <v>246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77" t="s">
        <v>42</v>
      </c>
      <c r="K4" s="375"/>
      <c r="L4" s="375"/>
      <c r="M4" s="376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273" t="s">
        <v>39</v>
      </c>
      <c r="K5" s="274" t="s">
        <v>41</v>
      </c>
      <c r="L5" s="274" t="s">
        <v>40</v>
      </c>
      <c r="M5" s="275" t="s">
        <v>72</v>
      </c>
    </row>
    <row r="6" spans="1:13">
      <c r="A6" s="184">
        <v>1981</v>
      </c>
      <c r="B6" s="82" t="str">
        <f>IFERROR('2i'!B6/'2i'!J6*100, "na")</f>
        <v>na</v>
      </c>
      <c r="C6" s="83" t="str">
        <f>IFERROR('2i'!C6/'2i'!K6*100, "na")</f>
        <v>na</v>
      </c>
      <c r="D6" s="83" t="str">
        <f>IFERROR('2i'!D6/'2i'!L6*100, "na")</f>
        <v>na</v>
      </c>
      <c r="E6" s="84" t="str">
        <f>IFERROR('2i'!E6/'2i'!M6*100, "na")</f>
        <v>na</v>
      </c>
      <c r="F6" s="82" t="str">
        <f>IFERROR('2i'!F6/'2i'!J6*100, "na")</f>
        <v>na</v>
      </c>
      <c r="G6" s="83" t="str">
        <f>IFERROR('2i'!G6/'2i'!K6*100, "na")</f>
        <v>na</v>
      </c>
      <c r="H6" s="83" t="str">
        <f>IFERROR('2i'!H6/'2i'!L6*100, "na")</f>
        <v>na</v>
      </c>
      <c r="I6" s="84" t="str">
        <f>IFERROR('2i'!I6/'2i'!M6*100, "na")</f>
        <v>na</v>
      </c>
      <c r="J6" s="82" t="str">
        <f>IFERROR('2i'!J6/'2i'!J6*100,"na")</f>
        <v>na</v>
      </c>
      <c r="K6" s="83" t="str">
        <f>IFERROR('2i'!K6/'2i'!K6*100,"na")</f>
        <v>na</v>
      </c>
      <c r="L6" s="83" t="str">
        <f>IFERROR('2i'!L6/'2i'!L6*100,"na")</f>
        <v>na</v>
      </c>
      <c r="M6" s="84" t="str">
        <f>IFERROR('2i'!M6/'2i'!M6*100,"na")</f>
        <v>na</v>
      </c>
    </row>
    <row r="7" spans="1:13">
      <c r="A7" s="185">
        <v>1982</v>
      </c>
      <c r="B7" s="85" t="str">
        <f>IFERROR('2i'!B7/'2i'!J7*100, "na")</f>
        <v>na</v>
      </c>
      <c r="C7" s="86" t="str">
        <f>IFERROR('2i'!C7/'2i'!K7*100, "na")</f>
        <v>na</v>
      </c>
      <c r="D7" s="86" t="str">
        <f>IFERROR('2i'!D7/'2i'!L7*100, "na")</f>
        <v>na</v>
      </c>
      <c r="E7" s="87" t="str">
        <f>IFERROR('2i'!E7/'2i'!M7*100, "na")</f>
        <v>na</v>
      </c>
      <c r="F7" s="85" t="str">
        <f>IFERROR('2i'!F7/'2i'!J7*100, "na")</f>
        <v>na</v>
      </c>
      <c r="G7" s="86" t="str">
        <f>IFERROR('2i'!G7/'2i'!K7*100, "na")</f>
        <v>na</v>
      </c>
      <c r="H7" s="86" t="str">
        <f>IFERROR('2i'!H7/'2i'!L7*100, "na")</f>
        <v>na</v>
      </c>
      <c r="I7" s="87" t="str">
        <f>IFERROR('2i'!I7/'2i'!M7*100, "na")</f>
        <v>na</v>
      </c>
      <c r="J7" s="85" t="str">
        <f>IFERROR('2i'!J7/'2i'!J7*100,"na")</f>
        <v>na</v>
      </c>
      <c r="K7" s="86" t="str">
        <f>IFERROR('2i'!K7/'2i'!K7*100,"na")</f>
        <v>na</v>
      </c>
      <c r="L7" s="86" t="str">
        <f>IFERROR('2i'!L7/'2i'!L7*100,"na")</f>
        <v>na</v>
      </c>
      <c r="M7" s="87" t="str">
        <f>IFERROR('2i'!M7/'2i'!M7*100,"na")</f>
        <v>na</v>
      </c>
    </row>
    <row r="8" spans="1:13">
      <c r="A8" s="185">
        <v>1983</v>
      </c>
      <c r="B8" s="85" t="str">
        <f>IFERROR('2i'!B8/'2i'!J8*100, "na")</f>
        <v>na</v>
      </c>
      <c r="C8" s="86" t="str">
        <f>IFERROR('2i'!C8/'2i'!K8*100, "na")</f>
        <v>na</v>
      </c>
      <c r="D8" s="86" t="str">
        <f>IFERROR('2i'!D8/'2i'!L8*100, "na")</f>
        <v>na</v>
      </c>
      <c r="E8" s="87" t="str">
        <f>IFERROR('2i'!E8/'2i'!M8*100, "na")</f>
        <v>na</v>
      </c>
      <c r="F8" s="85" t="str">
        <f>IFERROR('2i'!F8/'2i'!J8*100, "na")</f>
        <v>na</v>
      </c>
      <c r="G8" s="86" t="str">
        <f>IFERROR('2i'!G8/'2i'!K8*100, "na")</f>
        <v>na</v>
      </c>
      <c r="H8" s="86" t="str">
        <f>IFERROR('2i'!H8/'2i'!L8*100, "na")</f>
        <v>na</v>
      </c>
      <c r="I8" s="87" t="str">
        <f>IFERROR('2i'!I8/'2i'!M8*100, "na")</f>
        <v>na</v>
      </c>
      <c r="J8" s="85" t="str">
        <f>IFERROR('2i'!J8/'2i'!J8*100,"na")</f>
        <v>na</v>
      </c>
      <c r="K8" s="86" t="str">
        <f>IFERROR('2i'!K8/'2i'!K8*100,"na")</f>
        <v>na</v>
      </c>
      <c r="L8" s="86" t="str">
        <f>IFERROR('2i'!L8/'2i'!L8*100,"na")</f>
        <v>na</v>
      </c>
      <c r="M8" s="87" t="str">
        <f>IFERROR('2i'!M8/'2i'!M8*100,"na")</f>
        <v>na</v>
      </c>
    </row>
    <row r="9" spans="1:13">
      <c r="A9" s="185">
        <v>1984</v>
      </c>
      <c r="B9" s="85" t="str">
        <f>IFERROR('2i'!B9/'2i'!J9*100, "na")</f>
        <v>na</v>
      </c>
      <c r="C9" s="86" t="str">
        <f>IFERROR('2i'!C9/'2i'!K9*100, "na")</f>
        <v>na</v>
      </c>
      <c r="D9" s="86" t="str">
        <f>IFERROR('2i'!D9/'2i'!L9*100, "na")</f>
        <v>na</v>
      </c>
      <c r="E9" s="87" t="str">
        <f>IFERROR('2i'!E9/'2i'!M9*100, "na")</f>
        <v>na</v>
      </c>
      <c r="F9" s="85" t="str">
        <f>IFERROR('2i'!F9/'2i'!J9*100, "na")</f>
        <v>na</v>
      </c>
      <c r="G9" s="86" t="str">
        <f>IFERROR('2i'!G9/'2i'!K9*100, "na")</f>
        <v>na</v>
      </c>
      <c r="H9" s="86" t="str">
        <f>IFERROR('2i'!H9/'2i'!L9*100, "na")</f>
        <v>na</v>
      </c>
      <c r="I9" s="87" t="str">
        <f>IFERROR('2i'!I9/'2i'!M9*100, "na")</f>
        <v>na</v>
      </c>
      <c r="J9" s="85" t="str">
        <f>IFERROR('2i'!J9/'2i'!J9*100,"na")</f>
        <v>na</v>
      </c>
      <c r="K9" s="86" t="str">
        <f>IFERROR('2i'!K9/'2i'!K9*100,"na")</f>
        <v>na</v>
      </c>
      <c r="L9" s="86" t="str">
        <f>IFERROR('2i'!L9/'2i'!L9*100,"na")</f>
        <v>na</v>
      </c>
      <c r="M9" s="87" t="str">
        <f>IFERROR('2i'!M9/'2i'!M9*100,"na")</f>
        <v>na</v>
      </c>
    </row>
    <row r="10" spans="1:13">
      <c r="A10" s="185">
        <v>1985</v>
      </c>
      <c r="B10" s="85" t="str">
        <f>IFERROR('2i'!B10/'2i'!J10*100, "na")</f>
        <v>na</v>
      </c>
      <c r="C10" s="86" t="str">
        <f>IFERROR('2i'!C10/'2i'!K10*100, "na")</f>
        <v>na</v>
      </c>
      <c r="D10" s="86" t="str">
        <f>IFERROR('2i'!D10/'2i'!L10*100, "na")</f>
        <v>na</v>
      </c>
      <c r="E10" s="87" t="str">
        <f>IFERROR('2i'!E10/'2i'!M10*100, "na")</f>
        <v>na</v>
      </c>
      <c r="F10" s="85" t="str">
        <f>IFERROR('2i'!F10/'2i'!J10*100, "na")</f>
        <v>na</v>
      </c>
      <c r="G10" s="86" t="str">
        <f>IFERROR('2i'!G10/'2i'!K10*100, "na")</f>
        <v>na</v>
      </c>
      <c r="H10" s="86" t="str">
        <f>IFERROR('2i'!H10/'2i'!L10*100, "na")</f>
        <v>na</v>
      </c>
      <c r="I10" s="87" t="str">
        <f>IFERROR('2i'!I10/'2i'!M10*100, "na")</f>
        <v>na</v>
      </c>
      <c r="J10" s="85" t="str">
        <f>IFERROR('2i'!J10/'2i'!J10*100,"na")</f>
        <v>na</v>
      </c>
      <c r="K10" s="86" t="str">
        <f>IFERROR('2i'!K10/'2i'!K10*100,"na")</f>
        <v>na</v>
      </c>
      <c r="L10" s="86" t="str">
        <f>IFERROR('2i'!L10/'2i'!L10*100,"na")</f>
        <v>na</v>
      </c>
      <c r="M10" s="87" t="str">
        <f>IFERROR('2i'!M10/'2i'!M10*100,"na")</f>
        <v>na</v>
      </c>
    </row>
    <row r="11" spans="1:13">
      <c r="A11" s="185">
        <v>1986</v>
      </c>
      <c r="B11" s="85" t="str">
        <f>IFERROR('2i'!B11/'2i'!J11*100, "na")</f>
        <v>na</v>
      </c>
      <c r="C11" s="86" t="str">
        <f>IFERROR('2i'!C11/'2i'!K11*100, "na")</f>
        <v>na</v>
      </c>
      <c r="D11" s="86" t="str">
        <f>IFERROR('2i'!D11/'2i'!L11*100, "na")</f>
        <v>na</v>
      </c>
      <c r="E11" s="87" t="str">
        <f>IFERROR('2i'!E11/'2i'!M11*100, "na")</f>
        <v>na</v>
      </c>
      <c r="F11" s="85" t="str">
        <f>IFERROR('2i'!F11/'2i'!J11*100, "na")</f>
        <v>na</v>
      </c>
      <c r="G11" s="86" t="str">
        <f>IFERROR('2i'!G11/'2i'!K11*100, "na")</f>
        <v>na</v>
      </c>
      <c r="H11" s="86" t="str">
        <f>IFERROR('2i'!H11/'2i'!L11*100, "na")</f>
        <v>na</v>
      </c>
      <c r="I11" s="87" t="str">
        <f>IFERROR('2i'!I11/'2i'!M11*100, "na")</f>
        <v>na</v>
      </c>
      <c r="J11" s="85" t="str">
        <f>IFERROR('2i'!J11/'2i'!J11*100,"na")</f>
        <v>na</v>
      </c>
      <c r="K11" s="86" t="str">
        <f>IFERROR('2i'!K11/'2i'!K11*100,"na")</f>
        <v>na</v>
      </c>
      <c r="L11" s="86" t="str">
        <f>IFERROR('2i'!L11/'2i'!L11*100,"na")</f>
        <v>na</v>
      </c>
      <c r="M11" s="87" t="str">
        <f>IFERROR('2i'!M11/'2i'!M11*100,"na")</f>
        <v>na</v>
      </c>
    </row>
    <row r="12" spans="1:13">
      <c r="A12" s="185">
        <v>1987</v>
      </c>
      <c r="B12" s="85" t="str">
        <f>IFERROR('2i'!B12/'2i'!J12*100, "na")</f>
        <v>na</v>
      </c>
      <c r="C12" s="86" t="str">
        <f>IFERROR('2i'!C12/'2i'!K12*100, "na")</f>
        <v>na</v>
      </c>
      <c r="D12" s="86" t="str">
        <f>IFERROR('2i'!D12/'2i'!L12*100, "na")</f>
        <v>na</v>
      </c>
      <c r="E12" s="87" t="str">
        <f>IFERROR('2i'!E12/'2i'!M12*100, "na")</f>
        <v>na</v>
      </c>
      <c r="F12" s="85" t="str">
        <f>IFERROR('2i'!F12/'2i'!J12*100, "na")</f>
        <v>na</v>
      </c>
      <c r="G12" s="86" t="str">
        <f>IFERROR('2i'!G12/'2i'!K12*100, "na")</f>
        <v>na</v>
      </c>
      <c r="H12" s="86" t="str">
        <f>IFERROR('2i'!H12/'2i'!L12*100, "na")</f>
        <v>na</v>
      </c>
      <c r="I12" s="87" t="str">
        <f>IFERROR('2i'!I12/'2i'!M12*100, "na")</f>
        <v>na</v>
      </c>
      <c r="J12" s="85" t="str">
        <f>IFERROR('2i'!J12/'2i'!J12*100,"na")</f>
        <v>na</v>
      </c>
      <c r="K12" s="86" t="str">
        <f>IFERROR('2i'!K12/'2i'!K12*100,"na")</f>
        <v>na</v>
      </c>
      <c r="L12" s="86" t="str">
        <f>IFERROR('2i'!L12/'2i'!L12*100,"na")</f>
        <v>na</v>
      </c>
      <c r="M12" s="87" t="str">
        <f>IFERROR('2i'!M12/'2i'!M12*100,"na")</f>
        <v>na</v>
      </c>
    </row>
    <row r="13" spans="1:13">
      <c r="A13" s="185">
        <v>1988</v>
      </c>
      <c r="B13" s="85" t="str">
        <f>IFERROR('2i'!B13/'2i'!J13*100, "na")</f>
        <v>na</v>
      </c>
      <c r="C13" s="86" t="str">
        <f>IFERROR('2i'!C13/'2i'!K13*100, "na")</f>
        <v>na</v>
      </c>
      <c r="D13" s="86" t="str">
        <f>IFERROR('2i'!D13/'2i'!L13*100, "na")</f>
        <v>na</v>
      </c>
      <c r="E13" s="87" t="str">
        <f>IFERROR('2i'!E13/'2i'!M13*100, "na")</f>
        <v>na</v>
      </c>
      <c r="F13" s="85" t="str">
        <f>IFERROR('2i'!F13/'2i'!J13*100, "na")</f>
        <v>na</v>
      </c>
      <c r="G13" s="86" t="str">
        <f>IFERROR('2i'!G13/'2i'!K13*100, "na")</f>
        <v>na</v>
      </c>
      <c r="H13" s="86" t="str">
        <f>IFERROR('2i'!H13/'2i'!L13*100, "na")</f>
        <v>na</v>
      </c>
      <c r="I13" s="87" t="str">
        <f>IFERROR('2i'!I13/'2i'!M13*100, "na")</f>
        <v>na</v>
      </c>
      <c r="J13" s="85" t="str">
        <f>IFERROR('2i'!J13/'2i'!J13*100,"na")</f>
        <v>na</v>
      </c>
      <c r="K13" s="86" t="str">
        <f>IFERROR('2i'!K13/'2i'!K13*100,"na")</f>
        <v>na</v>
      </c>
      <c r="L13" s="86" t="str">
        <f>IFERROR('2i'!L13/'2i'!L13*100,"na")</f>
        <v>na</v>
      </c>
      <c r="M13" s="87" t="str">
        <f>IFERROR('2i'!M13/'2i'!M13*100,"na")</f>
        <v>na</v>
      </c>
    </row>
    <row r="14" spans="1:13">
      <c r="A14" s="185">
        <v>1989</v>
      </c>
      <c r="B14" s="85" t="str">
        <f>IFERROR('2i'!B14/'2i'!J14*100, "na")</f>
        <v>na</v>
      </c>
      <c r="C14" s="86" t="str">
        <f>IFERROR('2i'!C14/'2i'!K14*100, "na")</f>
        <v>na</v>
      </c>
      <c r="D14" s="86" t="str">
        <f>IFERROR('2i'!D14/'2i'!L14*100, "na")</f>
        <v>na</v>
      </c>
      <c r="E14" s="87" t="str">
        <f>IFERROR('2i'!E14/'2i'!M14*100, "na")</f>
        <v>na</v>
      </c>
      <c r="F14" s="85" t="str">
        <f>IFERROR('2i'!F14/'2i'!J14*100, "na")</f>
        <v>na</v>
      </c>
      <c r="G14" s="86" t="str">
        <f>IFERROR('2i'!G14/'2i'!K14*100, "na")</f>
        <v>na</v>
      </c>
      <c r="H14" s="86" t="str">
        <f>IFERROR('2i'!H14/'2i'!L14*100, "na")</f>
        <v>na</v>
      </c>
      <c r="I14" s="87" t="str">
        <f>IFERROR('2i'!I14/'2i'!M14*100, "na")</f>
        <v>na</v>
      </c>
      <c r="J14" s="85" t="str">
        <f>IFERROR('2i'!J14/'2i'!J14*100,"na")</f>
        <v>na</v>
      </c>
      <c r="K14" s="86" t="str">
        <f>IFERROR('2i'!K14/'2i'!K14*100,"na")</f>
        <v>na</v>
      </c>
      <c r="L14" s="86" t="str">
        <f>IFERROR('2i'!L14/'2i'!L14*100,"na")</f>
        <v>na</v>
      </c>
      <c r="M14" s="87" t="str">
        <f>IFERROR('2i'!M14/'2i'!M14*100,"na")</f>
        <v>na</v>
      </c>
    </row>
    <row r="15" spans="1:13">
      <c r="A15" s="185">
        <v>1990</v>
      </c>
      <c r="B15" s="85" t="str">
        <f>IFERROR('2i'!B15/'2i'!J15*100, "na")</f>
        <v>na</v>
      </c>
      <c r="C15" s="86" t="str">
        <f>IFERROR('2i'!C15/'2i'!K15*100, "na")</f>
        <v>na</v>
      </c>
      <c r="D15" s="86" t="str">
        <f>IFERROR('2i'!D15/'2i'!L15*100, "na")</f>
        <v>na</v>
      </c>
      <c r="E15" s="87" t="str">
        <f>IFERROR('2i'!E15/'2i'!M15*100, "na")</f>
        <v>na</v>
      </c>
      <c r="F15" s="85" t="str">
        <f>IFERROR('2i'!F15/'2i'!J15*100, "na")</f>
        <v>na</v>
      </c>
      <c r="G15" s="86" t="str">
        <f>IFERROR('2i'!G15/'2i'!K15*100, "na")</f>
        <v>na</v>
      </c>
      <c r="H15" s="86" t="str">
        <f>IFERROR('2i'!H15/'2i'!L15*100, "na")</f>
        <v>na</v>
      </c>
      <c r="I15" s="87" t="str">
        <f>IFERROR('2i'!I15/'2i'!M15*100, "na")</f>
        <v>na</v>
      </c>
      <c r="J15" s="85" t="str">
        <f>IFERROR('2i'!J15/'2i'!J15*100,"na")</f>
        <v>na</v>
      </c>
      <c r="K15" s="86" t="str">
        <f>IFERROR('2i'!K15/'2i'!K15*100,"na")</f>
        <v>na</v>
      </c>
      <c r="L15" s="86" t="str">
        <f>IFERROR('2i'!L15/'2i'!L15*100,"na")</f>
        <v>na</v>
      </c>
      <c r="M15" s="87" t="str">
        <f>IFERROR('2i'!M15/'2i'!M15*100,"na")</f>
        <v>na</v>
      </c>
    </row>
    <row r="16" spans="1:13">
      <c r="A16" s="185">
        <v>1991</v>
      </c>
      <c r="B16" s="85" t="str">
        <f>IFERROR('2i'!B16/'2i'!J16*100, "na")</f>
        <v>na</v>
      </c>
      <c r="C16" s="86" t="str">
        <f>IFERROR('2i'!C16/'2i'!K16*100, "na")</f>
        <v>na</v>
      </c>
      <c r="D16" s="86" t="str">
        <f>IFERROR('2i'!D16/'2i'!L16*100, "na")</f>
        <v>na</v>
      </c>
      <c r="E16" s="87" t="str">
        <f>IFERROR('2i'!E16/'2i'!M16*100, "na")</f>
        <v>na</v>
      </c>
      <c r="F16" s="85" t="str">
        <f>IFERROR('2i'!F16/'2i'!J16*100, "na")</f>
        <v>na</v>
      </c>
      <c r="G16" s="86" t="str">
        <f>IFERROR('2i'!G16/'2i'!K16*100, "na")</f>
        <v>na</v>
      </c>
      <c r="H16" s="86" t="str">
        <f>IFERROR('2i'!H16/'2i'!L16*100, "na")</f>
        <v>na</v>
      </c>
      <c r="I16" s="87" t="str">
        <f>IFERROR('2i'!I16/'2i'!M16*100, "na")</f>
        <v>na</v>
      </c>
      <c r="J16" s="85" t="str">
        <f>IFERROR('2i'!J16/'2i'!J16*100,"na")</f>
        <v>na</v>
      </c>
      <c r="K16" s="86" t="str">
        <f>IFERROR('2i'!K16/'2i'!K16*100,"na")</f>
        <v>na</v>
      </c>
      <c r="L16" s="86" t="str">
        <f>IFERROR('2i'!L16/'2i'!L16*100,"na")</f>
        <v>na</v>
      </c>
      <c r="M16" s="87" t="str">
        <f>IFERROR('2i'!M16/'2i'!M16*100,"na")</f>
        <v>na</v>
      </c>
    </row>
    <row r="17" spans="1:13">
      <c r="A17" s="185">
        <v>1992</v>
      </c>
      <c r="B17" s="85" t="str">
        <f>IFERROR('2i'!B17/'2i'!J17*100, "na")</f>
        <v>na</v>
      </c>
      <c r="C17" s="86" t="str">
        <f>IFERROR('2i'!C17/'2i'!K17*100, "na")</f>
        <v>na</v>
      </c>
      <c r="D17" s="86" t="str">
        <f>IFERROR('2i'!D17/'2i'!L17*100, "na")</f>
        <v>na</v>
      </c>
      <c r="E17" s="87" t="str">
        <f>IFERROR('2i'!E17/'2i'!M17*100, "na")</f>
        <v>na</v>
      </c>
      <c r="F17" s="85" t="str">
        <f>IFERROR('2i'!F17/'2i'!J17*100, "na")</f>
        <v>na</v>
      </c>
      <c r="G17" s="86" t="str">
        <f>IFERROR('2i'!G17/'2i'!K17*100, "na")</f>
        <v>na</v>
      </c>
      <c r="H17" s="86" t="str">
        <f>IFERROR('2i'!H17/'2i'!L17*100, "na")</f>
        <v>na</v>
      </c>
      <c r="I17" s="87" t="str">
        <f>IFERROR('2i'!I17/'2i'!M17*100, "na")</f>
        <v>na</v>
      </c>
      <c r="J17" s="85" t="str">
        <f>IFERROR('2i'!J17/'2i'!J17*100,"na")</f>
        <v>na</v>
      </c>
      <c r="K17" s="86" t="str">
        <f>IFERROR('2i'!K17/'2i'!K17*100,"na")</f>
        <v>na</v>
      </c>
      <c r="L17" s="86" t="str">
        <f>IFERROR('2i'!L17/'2i'!L17*100,"na")</f>
        <v>na</v>
      </c>
      <c r="M17" s="87" t="str">
        <f>IFERROR('2i'!M17/'2i'!M17*100,"na")</f>
        <v>na</v>
      </c>
    </row>
    <row r="18" spans="1:13">
      <c r="A18" s="185">
        <v>1993</v>
      </c>
      <c r="B18" s="85" t="str">
        <f>IFERROR('2i'!B18/'2i'!J18*100, "na")</f>
        <v>na</v>
      </c>
      <c r="C18" s="86" t="str">
        <f>IFERROR('2i'!C18/'2i'!K18*100, "na")</f>
        <v>na</v>
      </c>
      <c r="D18" s="86" t="str">
        <f>IFERROR('2i'!D18/'2i'!L18*100, "na")</f>
        <v>na</v>
      </c>
      <c r="E18" s="87" t="str">
        <f>IFERROR('2i'!E18/'2i'!M18*100, "na")</f>
        <v>na</v>
      </c>
      <c r="F18" s="85" t="str">
        <f>IFERROR('2i'!F18/'2i'!J18*100, "na")</f>
        <v>na</v>
      </c>
      <c r="G18" s="86" t="str">
        <f>IFERROR('2i'!G18/'2i'!K18*100, "na")</f>
        <v>na</v>
      </c>
      <c r="H18" s="86" t="str">
        <f>IFERROR('2i'!H18/'2i'!L18*100, "na")</f>
        <v>na</v>
      </c>
      <c r="I18" s="87" t="str">
        <f>IFERROR('2i'!I18/'2i'!M18*100, "na")</f>
        <v>na</v>
      </c>
      <c r="J18" s="85" t="str">
        <f>IFERROR('2i'!J18/'2i'!J18*100,"na")</f>
        <v>na</v>
      </c>
      <c r="K18" s="86" t="str">
        <f>IFERROR('2i'!K18/'2i'!K18*100,"na")</f>
        <v>na</v>
      </c>
      <c r="L18" s="86" t="str">
        <f>IFERROR('2i'!L18/'2i'!L18*100,"na")</f>
        <v>na</v>
      </c>
      <c r="M18" s="87" t="str">
        <f>IFERROR('2i'!M18/'2i'!M18*100,"na")</f>
        <v>na</v>
      </c>
    </row>
    <row r="19" spans="1:13">
      <c r="A19" s="185">
        <v>1994</v>
      </c>
      <c r="B19" s="85" t="str">
        <f>IFERROR('2i'!B19/'2i'!J19*100, "na")</f>
        <v>na</v>
      </c>
      <c r="C19" s="86" t="str">
        <f>IFERROR('2i'!C19/'2i'!K19*100, "na")</f>
        <v>na</v>
      </c>
      <c r="D19" s="86" t="str">
        <f>IFERROR('2i'!D19/'2i'!L19*100, "na")</f>
        <v>na</v>
      </c>
      <c r="E19" s="87" t="str">
        <f>IFERROR('2i'!E19/'2i'!M19*100, "na")</f>
        <v>na</v>
      </c>
      <c r="F19" s="85" t="str">
        <f>IFERROR('2i'!F19/'2i'!J19*100, "na")</f>
        <v>na</v>
      </c>
      <c r="G19" s="86" t="str">
        <f>IFERROR('2i'!G19/'2i'!K19*100, "na")</f>
        <v>na</v>
      </c>
      <c r="H19" s="86" t="str">
        <f>IFERROR('2i'!H19/'2i'!L19*100, "na")</f>
        <v>na</v>
      </c>
      <c r="I19" s="87" t="str">
        <f>IFERROR('2i'!I19/'2i'!M19*100, "na")</f>
        <v>na</v>
      </c>
      <c r="J19" s="85" t="str">
        <f>IFERROR('2i'!J19/'2i'!J19*100,"na")</f>
        <v>na</v>
      </c>
      <c r="K19" s="86" t="str">
        <f>IFERROR('2i'!K19/'2i'!K19*100,"na")</f>
        <v>na</v>
      </c>
      <c r="L19" s="86" t="str">
        <f>IFERROR('2i'!L19/'2i'!L19*100,"na")</f>
        <v>na</v>
      </c>
      <c r="M19" s="87" t="str">
        <f>IFERROR('2i'!M19/'2i'!M19*100,"na")</f>
        <v>na</v>
      </c>
    </row>
    <row r="20" spans="1:13">
      <c r="A20" s="185">
        <v>1995</v>
      </c>
      <c r="B20" s="85" t="str">
        <f>IFERROR('2i'!B20/'2i'!J20*100, "na")</f>
        <v>na</v>
      </c>
      <c r="C20" s="86" t="str">
        <f>IFERROR('2i'!C20/'2i'!K20*100, "na")</f>
        <v>na</v>
      </c>
      <c r="D20" s="86" t="str">
        <f>IFERROR('2i'!D20/'2i'!L20*100, "na")</f>
        <v>na</v>
      </c>
      <c r="E20" s="87" t="str">
        <f>IFERROR('2i'!E20/'2i'!M20*100, "na")</f>
        <v>na</v>
      </c>
      <c r="F20" s="85" t="str">
        <f>IFERROR('2i'!F20/'2i'!J20*100, "na")</f>
        <v>na</v>
      </c>
      <c r="G20" s="86" t="str">
        <f>IFERROR('2i'!G20/'2i'!K20*100, "na")</f>
        <v>na</v>
      </c>
      <c r="H20" s="86" t="str">
        <f>IFERROR('2i'!H20/'2i'!L20*100, "na")</f>
        <v>na</v>
      </c>
      <c r="I20" s="87" t="str">
        <f>IFERROR('2i'!I20/'2i'!M20*100, "na")</f>
        <v>na</v>
      </c>
      <c r="J20" s="85" t="str">
        <f>IFERROR('2i'!J20/'2i'!J20*100,"na")</f>
        <v>na</v>
      </c>
      <c r="K20" s="86" t="str">
        <f>IFERROR('2i'!K20/'2i'!K20*100,"na")</f>
        <v>na</v>
      </c>
      <c r="L20" s="86" t="str">
        <f>IFERROR('2i'!L20/'2i'!L20*100,"na")</f>
        <v>na</v>
      </c>
      <c r="M20" s="87" t="str">
        <f>IFERROR('2i'!M20/'2i'!M20*100,"na")</f>
        <v>na</v>
      </c>
    </row>
    <row r="21" spans="1:13">
      <c r="A21" s="185">
        <v>1996</v>
      </c>
      <c r="B21" s="85" t="str">
        <f>IFERROR('2i'!B21/'2i'!J21*100, "na")</f>
        <v>na</v>
      </c>
      <c r="C21" s="86" t="str">
        <f>IFERROR('2i'!C21/'2i'!K21*100, "na")</f>
        <v>na</v>
      </c>
      <c r="D21" s="86" t="str">
        <f>IFERROR('2i'!D21/'2i'!L21*100, "na")</f>
        <v>na</v>
      </c>
      <c r="E21" s="87" t="str">
        <f>IFERROR('2i'!E21/'2i'!M21*100, "na")</f>
        <v>na</v>
      </c>
      <c r="F21" s="85" t="str">
        <f>IFERROR('2i'!F21/'2i'!J21*100, "na")</f>
        <v>na</v>
      </c>
      <c r="G21" s="86" t="str">
        <f>IFERROR('2i'!G21/'2i'!K21*100, "na")</f>
        <v>na</v>
      </c>
      <c r="H21" s="86" t="str">
        <f>IFERROR('2i'!H21/'2i'!L21*100, "na")</f>
        <v>na</v>
      </c>
      <c r="I21" s="87" t="str">
        <f>IFERROR('2i'!I21/'2i'!M21*100, "na")</f>
        <v>na</v>
      </c>
      <c r="J21" s="85" t="str">
        <f>IFERROR('2i'!J21/'2i'!J21*100,"na")</f>
        <v>na</v>
      </c>
      <c r="K21" s="86" t="str">
        <f>IFERROR('2i'!K21/'2i'!K21*100,"na")</f>
        <v>na</v>
      </c>
      <c r="L21" s="86" t="str">
        <f>IFERROR('2i'!L21/'2i'!L21*100,"na")</f>
        <v>na</v>
      </c>
      <c r="M21" s="87" t="str">
        <f>IFERROR('2i'!M21/'2i'!M21*100,"na")</f>
        <v>na</v>
      </c>
    </row>
    <row r="22" spans="1:13">
      <c r="A22" s="185">
        <v>1997</v>
      </c>
      <c r="B22" s="85">
        <f>IFERROR('2i'!B22/'2i'!J22*100, "na")</f>
        <v>288.81003756568731</v>
      </c>
      <c r="C22" s="86">
        <f>IFERROR('2i'!C22/'2i'!K22*100, "na")</f>
        <v>267.24962337386512</v>
      </c>
      <c r="D22" s="86">
        <f>IFERROR('2i'!D22/'2i'!L22*100, "na")</f>
        <v>1140.149020822276</v>
      </c>
      <c r="E22" s="87">
        <f>IFERROR('2i'!E22/'2i'!M22*100, "na")</f>
        <v>565.63512101034826</v>
      </c>
      <c r="F22" s="85">
        <f>IFERROR('2i'!F22/'2i'!J22*100, "na")</f>
        <v>269.48965485989959</v>
      </c>
      <c r="G22" s="86">
        <f>IFERROR('2i'!G22/'2i'!K22*100, "na")</f>
        <v>209.30832141674833</v>
      </c>
      <c r="H22" s="86">
        <f>IFERROR('2i'!H22/'2i'!L22*100, "na")</f>
        <v>5.6844370675811735</v>
      </c>
      <c r="I22" s="87">
        <f>IFERROR('2i'!I22/'2i'!M22*100, "na")</f>
        <v>151.09213340170305</v>
      </c>
      <c r="J22" s="85">
        <f>IFERROR('2i'!J22/'2i'!J22*100,"na")</f>
        <v>100</v>
      </c>
      <c r="K22" s="86">
        <f>IFERROR('2i'!K22/'2i'!K22*100,"na")</f>
        <v>100</v>
      </c>
      <c r="L22" s="86">
        <f>IFERROR('2i'!L22/'2i'!L22*100,"na")</f>
        <v>100</v>
      </c>
      <c r="M22" s="87">
        <f>IFERROR('2i'!M22/'2i'!M22*100,"na")</f>
        <v>100</v>
      </c>
    </row>
    <row r="23" spans="1:13">
      <c r="A23" s="185">
        <v>1998</v>
      </c>
      <c r="B23" s="85">
        <f>IFERROR('2i'!B23/'2i'!J23*100, "na")</f>
        <v>269.68695423867797</v>
      </c>
      <c r="C23" s="86">
        <f>IFERROR('2i'!C23/'2i'!K23*100, "na")</f>
        <v>263.17063620315992</v>
      </c>
      <c r="D23" s="86">
        <f>IFERROR('2i'!D23/'2i'!L23*100, "na")</f>
        <v>286.32056405220646</v>
      </c>
      <c r="E23" s="87">
        <f>IFERROR('2i'!E23/'2i'!M23*100, "na")</f>
        <v>271.05291978379398</v>
      </c>
      <c r="F23" s="85">
        <f>IFERROR('2i'!F23/'2i'!J23*100, "na")</f>
        <v>468.91676504727508</v>
      </c>
      <c r="G23" s="86">
        <f>IFERROR('2i'!G23/'2i'!K23*100, "na")</f>
        <v>238.02357518236192</v>
      </c>
      <c r="H23" s="86">
        <f>IFERROR('2i'!H23/'2i'!L23*100, "na")</f>
        <v>32.718131739143281</v>
      </c>
      <c r="I23" s="87">
        <f>IFERROR('2i'!I23/'2i'!M23*100, "na")</f>
        <v>237.43246385739093</v>
      </c>
      <c r="J23" s="85">
        <f>IFERROR('2i'!J23/'2i'!J23*100,"na")</f>
        <v>100</v>
      </c>
      <c r="K23" s="86">
        <f>IFERROR('2i'!K23/'2i'!K23*100,"na")</f>
        <v>100</v>
      </c>
      <c r="L23" s="86">
        <f>IFERROR('2i'!L23/'2i'!L23*100,"na")</f>
        <v>100</v>
      </c>
      <c r="M23" s="87">
        <f>IFERROR('2i'!M23/'2i'!M23*100,"na")</f>
        <v>100</v>
      </c>
    </row>
    <row r="24" spans="1:13">
      <c r="A24" s="185">
        <v>1999</v>
      </c>
      <c r="B24" s="85">
        <f>IFERROR('2i'!B24/'2i'!J24*100, "na")</f>
        <v>198.61363606396131</v>
      </c>
      <c r="C24" s="86">
        <f>IFERROR('2i'!C24/'2i'!K24*100, "na")</f>
        <v>375.43164892686457</v>
      </c>
      <c r="D24" s="86">
        <f>IFERROR('2i'!D24/'2i'!L24*100, "na")</f>
        <v>298.49599937990899</v>
      </c>
      <c r="E24" s="87">
        <f>IFERROR('2i'!E24/'2i'!M24*100, "na")</f>
        <v>305.1163038071175</v>
      </c>
      <c r="F24" s="85">
        <f>IFERROR('2i'!F24/'2i'!J24*100, "na")</f>
        <v>59.559104027857337</v>
      </c>
      <c r="G24" s="86">
        <f>IFERROR('2i'!G24/'2i'!K24*100, "na")</f>
        <v>117.60883988284017</v>
      </c>
      <c r="H24" s="86">
        <f>IFERROR('2i'!H24/'2i'!L24*100, "na")</f>
        <v>2.8228180428557188</v>
      </c>
      <c r="I24" s="87">
        <f>IFERROR('2i'!I24/'2i'!M24*100, "na")</f>
        <v>69.049032006980354</v>
      </c>
      <c r="J24" s="85">
        <f>IFERROR('2i'!J24/'2i'!J24*100,"na")</f>
        <v>100</v>
      </c>
      <c r="K24" s="86">
        <f>IFERROR('2i'!K24/'2i'!K24*100,"na")</f>
        <v>100</v>
      </c>
      <c r="L24" s="86">
        <f>IFERROR('2i'!L24/'2i'!L24*100,"na")</f>
        <v>100</v>
      </c>
      <c r="M24" s="87">
        <f>IFERROR('2i'!M24/'2i'!M24*100,"na")</f>
        <v>100</v>
      </c>
    </row>
    <row r="25" spans="1:13">
      <c r="A25" s="185">
        <v>2000</v>
      </c>
      <c r="B25" s="85">
        <f>IFERROR('2i'!B25/'2i'!J25*100, "na")</f>
        <v>42.355205000205459</v>
      </c>
      <c r="C25" s="86">
        <f>IFERROR('2i'!C25/'2i'!K25*100, "na")</f>
        <v>430.35673804528614</v>
      </c>
      <c r="D25" s="86">
        <f>IFERROR('2i'!D25/'2i'!L25*100, "na")</f>
        <v>89.812553591601571</v>
      </c>
      <c r="E25" s="87">
        <f>IFERROR('2i'!E25/'2i'!M25*100, "na")</f>
        <v>210.55863046466854</v>
      </c>
      <c r="F25" s="85">
        <f>IFERROR('2i'!F25/'2i'!J25*100, "na")</f>
        <v>129.74932210271166</v>
      </c>
      <c r="G25" s="86">
        <f>IFERROR('2i'!G25/'2i'!K25*100, "na")</f>
        <v>258.01085918804108</v>
      </c>
      <c r="H25" s="86">
        <f>IFERROR('2i'!H25/'2i'!L25*100, "na")</f>
        <v>49.821219719555209</v>
      </c>
      <c r="I25" s="87">
        <f>IFERROR('2i'!I25/'2i'!M25*100, "na")</f>
        <v>155.46196050159287</v>
      </c>
      <c r="J25" s="85">
        <f>IFERROR('2i'!J25/'2i'!J25*100,"na")</f>
        <v>100</v>
      </c>
      <c r="K25" s="86">
        <f>IFERROR('2i'!K25/'2i'!K25*100,"na")</f>
        <v>100</v>
      </c>
      <c r="L25" s="86">
        <f>IFERROR('2i'!L25/'2i'!L25*100,"na")</f>
        <v>100</v>
      </c>
      <c r="M25" s="87">
        <f>IFERROR('2i'!M25/'2i'!M25*100,"na")</f>
        <v>100</v>
      </c>
    </row>
    <row r="26" spans="1:13">
      <c r="A26" s="185">
        <v>2001</v>
      </c>
      <c r="B26" s="85">
        <f>IFERROR('2i'!B26/'2i'!J26*100, "na")</f>
        <v>8.9223260646318394</v>
      </c>
      <c r="C26" s="86">
        <f>IFERROR('2i'!C26/'2i'!K26*100, "na")</f>
        <v>289.95883514683624</v>
      </c>
      <c r="D26" s="86">
        <f>IFERROR('2i'!D26/'2i'!L26*100, "na")</f>
        <v>0.34913000941151789</v>
      </c>
      <c r="E26" s="87">
        <f>IFERROR('2i'!E26/'2i'!M26*100, "na")</f>
        <v>124.06593372902157</v>
      </c>
      <c r="F26" s="85">
        <f>IFERROR('2i'!F26/'2i'!J26*100, "na")</f>
        <v>0.60514813746334717</v>
      </c>
      <c r="G26" s="86">
        <f>IFERROR('2i'!G26/'2i'!K26*100, "na")</f>
        <v>170.42941030061195</v>
      </c>
      <c r="H26" s="86">
        <f>IFERROR('2i'!H26/'2i'!L26*100, "na")</f>
        <v>2.5618583438025309</v>
      </c>
      <c r="I26" s="87">
        <f>IFERROR('2i'!I26/'2i'!M26*100, "na")</f>
        <v>72.399254696944453</v>
      </c>
      <c r="J26" s="85">
        <f>IFERROR('2i'!J26/'2i'!J26*100,"na")</f>
        <v>100</v>
      </c>
      <c r="K26" s="86">
        <f>IFERROR('2i'!K26/'2i'!K26*100,"na")</f>
        <v>100</v>
      </c>
      <c r="L26" s="86">
        <f>IFERROR('2i'!L26/'2i'!L26*100,"na")</f>
        <v>100</v>
      </c>
      <c r="M26" s="87">
        <f>IFERROR('2i'!M26/'2i'!M26*100,"na")</f>
        <v>100</v>
      </c>
    </row>
    <row r="27" spans="1:13">
      <c r="A27" s="185">
        <v>2002</v>
      </c>
      <c r="B27" s="85">
        <f>IFERROR('2i'!B27/'2i'!J27*100, "na")</f>
        <v>84.889130700010725</v>
      </c>
      <c r="C27" s="86">
        <f>IFERROR('2i'!C27/'2i'!K27*100, "na")</f>
        <v>217.25120884075068</v>
      </c>
      <c r="D27" s="86">
        <f>IFERROR('2i'!D27/'2i'!L27*100, "na")</f>
        <v>9.9973893517391534</v>
      </c>
      <c r="E27" s="87">
        <f>IFERROR('2i'!E27/'2i'!M27*100, "na")</f>
        <v>118.29260824651189</v>
      </c>
      <c r="F27" s="85">
        <f>IFERROR('2i'!F27/'2i'!J27*100, "na")</f>
        <v>8.1589885057547988</v>
      </c>
      <c r="G27" s="86">
        <f>IFERROR('2i'!G27/'2i'!K27*100, "na")</f>
        <v>141.0121354329693</v>
      </c>
      <c r="H27" s="86">
        <f>IFERROR('2i'!H27/'2i'!L27*100, "na")</f>
        <v>9.6801765343094193</v>
      </c>
      <c r="I27" s="87">
        <f>IFERROR('2i'!I27/'2i'!M27*100, "na")</f>
        <v>63.199085036682781</v>
      </c>
      <c r="J27" s="85">
        <f>IFERROR('2i'!J27/'2i'!J27*100,"na")</f>
        <v>100</v>
      </c>
      <c r="K27" s="86">
        <f>IFERROR('2i'!K27/'2i'!K27*100,"na")</f>
        <v>100</v>
      </c>
      <c r="L27" s="86">
        <f>IFERROR('2i'!L27/'2i'!L27*100,"na")</f>
        <v>100</v>
      </c>
      <c r="M27" s="87">
        <f>IFERROR('2i'!M27/'2i'!M27*100,"na")</f>
        <v>100</v>
      </c>
    </row>
    <row r="28" spans="1:13">
      <c r="A28" s="185">
        <v>2003</v>
      </c>
      <c r="B28" s="85">
        <f>IFERROR('2i'!B28/'2i'!J28*100, "na")</f>
        <v>168.51323822100917</v>
      </c>
      <c r="C28" s="86">
        <f>IFERROR('2i'!C28/'2i'!K28*100, "na")</f>
        <v>207.95743501899224</v>
      </c>
      <c r="D28" s="86">
        <f>IFERROR('2i'!D28/'2i'!L28*100, "na")</f>
        <v>39.601622116801593</v>
      </c>
      <c r="E28" s="87">
        <f>IFERROR('2i'!E28/'2i'!M28*100, "na")</f>
        <v>151.29036451158956</v>
      </c>
      <c r="F28" s="85">
        <f>IFERROR('2i'!F28/'2i'!J28*100, "na")</f>
        <v>51.224507296744129</v>
      </c>
      <c r="G28" s="86">
        <f>IFERROR('2i'!G28/'2i'!K28*100, "na")</f>
        <v>164.34428262927008</v>
      </c>
      <c r="H28" s="86">
        <f>IFERROR('2i'!H28/'2i'!L28*100, "na")</f>
        <v>13.900318837739489</v>
      </c>
      <c r="I28" s="87">
        <f>IFERROR('2i'!I28/'2i'!M28*100, "na")</f>
        <v>87.373615795707821</v>
      </c>
      <c r="J28" s="85">
        <f>IFERROR('2i'!J28/'2i'!J28*100,"na")</f>
        <v>100</v>
      </c>
      <c r="K28" s="86">
        <f>IFERROR('2i'!K28/'2i'!K28*100,"na")</f>
        <v>100</v>
      </c>
      <c r="L28" s="86">
        <f>IFERROR('2i'!L28/'2i'!L28*100,"na")</f>
        <v>100</v>
      </c>
      <c r="M28" s="87">
        <f>IFERROR('2i'!M28/'2i'!M28*100,"na")</f>
        <v>100</v>
      </c>
    </row>
    <row r="29" spans="1:13">
      <c r="A29" s="185">
        <v>2004</v>
      </c>
      <c r="B29" s="85">
        <f>IFERROR('2i'!B29/'2i'!J29*100, "na")</f>
        <v>187.42156013941505</v>
      </c>
      <c r="C29" s="86">
        <f>IFERROR('2i'!C29/'2i'!K29*100, "na")</f>
        <v>294.59971726170016</v>
      </c>
      <c r="D29" s="86">
        <f>IFERROR('2i'!D29/'2i'!L29*100, "na")</f>
        <v>50.76202118541309</v>
      </c>
      <c r="E29" s="87">
        <f>IFERROR('2i'!E29/'2i'!M29*100, "na")</f>
        <v>197.06946514821581</v>
      </c>
      <c r="F29" s="85">
        <f>IFERROR('2i'!F29/'2i'!J29*100, "na")</f>
        <v>50.640397654396111</v>
      </c>
      <c r="G29" s="86">
        <f>IFERROR('2i'!G29/'2i'!K29*100, "na")</f>
        <v>299.24972606020719</v>
      </c>
      <c r="H29" s="86">
        <f>IFERROR('2i'!H29/'2i'!L29*100, "na")</f>
        <v>18.903305446062543</v>
      </c>
      <c r="I29" s="87">
        <f>IFERROR('2i'!I29/'2i'!M29*100, "na")</f>
        <v>139.26323380918168</v>
      </c>
      <c r="J29" s="85">
        <f>IFERROR('2i'!J29/'2i'!J29*100,"na")</f>
        <v>100</v>
      </c>
      <c r="K29" s="86">
        <f>IFERROR('2i'!K29/'2i'!K29*100,"na")</f>
        <v>100</v>
      </c>
      <c r="L29" s="86">
        <f>IFERROR('2i'!L29/'2i'!L29*100,"na")</f>
        <v>100</v>
      </c>
      <c r="M29" s="87">
        <f>IFERROR('2i'!M29/'2i'!M29*100,"na")</f>
        <v>100</v>
      </c>
    </row>
    <row r="30" spans="1:13">
      <c r="A30" s="185">
        <v>2005</v>
      </c>
      <c r="B30" s="85">
        <f>IFERROR('2i'!B30/'2i'!J30*100, "na")</f>
        <v>215.46061493231377</v>
      </c>
      <c r="C30" s="86">
        <f>IFERROR('2i'!C30/'2i'!K30*100, "na")</f>
        <v>372.36061203662928</v>
      </c>
      <c r="D30" s="86">
        <f>IFERROR('2i'!D30/'2i'!L30*100, "na")</f>
        <v>49.400201979812614</v>
      </c>
      <c r="E30" s="87">
        <f>IFERROR('2i'!E30/'2i'!M30*100, "na")</f>
        <v>241.56900618987643</v>
      </c>
      <c r="F30" s="85">
        <f>IFERROR('2i'!F30/'2i'!J30*100, "na")</f>
        <v>79.453630549737909</v>
      </c>
      <c r="G30" s="86">
        <f>IFERROR('2i'!G30/'2i'!K30*100, "na")</f>
        <v>374.55349515425382</v>
      </c>
      <c r="H30" s="86">
        <f>IFERROR('2i'!H30/'2i'!L30*100, "na")</f>
        <v>42.725669814751306</v>
      </c>
      <c r="I30" s="87">
        <f>IFERROR('2i'!I30/'2i'!M30*100, "na")</f>
        <v>185.40417151616094</v>
      </c>
      <c r="J30" s="85">
        <f>IFERROR('2i'!J30/'2i'!J30*100,"na")</f>
        <v>100</v>
      </c>
      <c r="K30" s="86">
        <f>IFERROR('2i'!K30/'2i'!K30*100,"na")</f>
        <v>100</v>
      </c>
      <c r="L30" s="86">
        <f>IFERROR('2i'!L30/'2i'!L30*100,"na")</f>
        <v>100</v>
      </c>
      <c r="M30" s="87">
        <f>IFERROR('2i'!M30/'2i'!M30*100,"na")</f>
        <v>100</v>
      </c>
    </row>
    <row r="31" spans="1:13">
      <c r="A31" s="185">
        <v>2006</v>
      </c>
      <c r="B31" s="85">
        <f>IFERROR('2i'!B31/'2i'!J31*100, "na")</f>
        <v>146.88346882846983</v>
      </c>
      <c r="C31" s="86">
        <f>IFERROR('2i'!C31/'2i'!K31*100, "na")</f>
        <v>303.17554531363578</v>
      </c>
      <c r="D31" s="86">
        <f>IFERROR('2i'!D31/'2i'!L31*100, "na")</f>
        <v>62.059345677788066</v>
      </c>
      <c r="E31" s="87">
        <f>IFERROR('2i'!E31/'2i'!M31*100, "na")</f>
        <v>185.60533306686375</v>
      </c>
      <c r="F31" s="85">
        <f>IFERROR('2i'!F31/'2i'!J31*100, "na")</f>
        <v>65.811439682343178</v>
      </c>
      <c r="G31" s="86">
        <f>IFERROR('2i'!G31/'2i'!K31*100, "na")</f>
        <v>302.98943509686848</v>
      </c>
      <c r="H31" s="86">
        <f>IFERROR('2i'!H31/'2i'!L31*100, "na")</f>
        <v>35.635919421732616</v>
      </c>
      <c r="I31" s="87">
        <f>IFERROR('2i'!I31/'2i'!M31*100, "na")</f>
        <v>143.564936514359</v>
      </c>
      <c r="J31" s="85">
        <f>IFERROR('2i'!J31/'2i'!J31*100,"na")</f>
        <v>100</v>
      </c>
      <c r="K31" s="86">
        <f>IFERROR('2i'!K31/'2i'!K31*100,"na")</f>
        <v>100</v>
      </c>
      <c r="L31" s="86">
        <f>IFERROR('2i'!L31/'2i'!L31*100,"na")</f>
        <v>100</v>
      </c>
      <c r="M31" s="87">
        <f>IFERROR('2i'!M31/'2i'!M31*100,"na")</f>
        <v>100</v>
      </c>
    </row>
    <row r="32" spans="1:13">
      <c r="A32" s="185">
        <v>2007</v>
      </c>
      <c r="B32" s="85">
        <f>IFERROR('2i'!B32/'2i'!J32*100, "na")</f>
        <v>312.1332367923207</v>
      </c>
      <c r="C32" s="86">
        <f>IFERROR('2i'!C32/'2i'!K32*100, "na")</f>
        <v>280.23459302864092</v>
      </c>
      <c r="D32" s="86">
        <f>IFERROR('2i'!D32/'2i'!L32*100, "na")</f>
        <v>182.40380679755404</v>
      </c>
      <c r="E32" s="87">
        <f>IFERROR('2i'!E32/'2i'!M32*100, "na")</f>
        <v>278.01755401319753</v>
      </c>
      <c r="F32" s="85">
        <f>IFERROR('2i'!F32/'2i'!J32*100, "na")</f>
        <v>31.595214758295793</v>
      </c>
      <c r="G32" s="86">
        <f>IFERROR('2i'!G32/'2i'!K32*100, "na")</f>
        <v>347.54446427749832</v>
      </c>
      <c r="H32" s="86">
        <f>IFERROR('2i'!H32/'2i'!L32*100, "na")</f>
        <v>22.981981556840065</v>
      </c>
      <c r="I32" s="87">
        <f>IFERROR('2i'!I32/'2i'!M32*100, "na")</f>
        <v>150.78320149145571</v>
      </c>
      <c r="J32" s="85">
        <f>IFERROR('2i'!J32/'2i'!J32*100,"na")</f>
        <v>100</v>
      </c>
      <c r="K32" s="86">
        <f>IFERROR('2i'!K32/'2i'!K32*100,"na")</f>
        <v>100</v>
      </c>
      <c r="L32" s="86">
        <f>IFERROR('2i'!L32/'2i'!L32*100,"na")</f>
        <v>100</v>
      </c>
      <c r="M32" s="87">
        <f>IFERROR('2i'!M32/'2i'!M32*100,"na")</f>
        <v>100</v>
      </c>
    </row>
    <row r="33" spans="1:13">
      <c r="A33" s="185">
        <v>2008</v>
      </c>
      <c r="B33" s="85" t="str">
        <f>IFERROR('2i'!B33/'2i'!J33*100, "na")</f>
        <v>na</v>
      </c>
      <c r="C33" s="86" t="str">
        <f>IFERROR('2i'!C33/'2i'!K33*100, "na")</f>
        <v>na</v>
      </c>
      <c r="D33" s="86" t="str">
        <f>IFERROR('2i'!D33/'2i'!L33*100, "na")</f>
        <v>na</v>
      </c>
      <c r="E33" s="87" t="str">
        <f>IFERROR('2i'!E33/'2i'!M33*100, "na")</f>
        <v>na</v>
      </c>
      <c r="F33" s="85" t="str">
        <f>IFERROR('2i'!F33/'2i'!J33*100, "na")</f>
        <v>na</v>
      </c>
      <c r="G33" s="86" t="str">
        <f>IFERROR('2i'!G33/'2i'!K33*100, "na")</f>
        <v>na</v>
      </c>
      <c r="H33" s="86" t="str">
        <f>IFERROR('2i'!H33/'2i'!L33*100, "na")</f>
        <v>na</v>
      </c>
      <c r="I33" s="87" t="str">
        <f>IFERROR('2i'!I33/'2i'!M33*100, "na")</f>
        <v>na</v>
      </c>
      <c r="J33" s="85">
        <f>IFERROR('2i'!J33/'2i'!J33*100,"na")</f>
        <v>100</v>
      </c>
      <c r="K33" s="86">
        <f>IFERROR('2i'!K33/'2i'!K33*100,"na")</f>
        <v>100</v>
      </c>
      <c r="L33" s="86">
        <f>IFERROR('2i'!L33/'2i'!L33*100,"na")</f>
        <v>100</v>
      </c>
      <c r="M33" s="87">
        <f>IFERROR('2i'!M33/'2i'!M33*100,"na")</f>
        <v>100</v>
      </c>
    </row>
    <row r="34" spans="1:13">
      <c r="A34" s="57">
        <f>A33+1</f>
        <v>2009</v>
      </c>
      <c r="B34" s="85" t="str">
        <f>IFERROR('2i'!B34/'2i'!J34*100, "na")</f>
        <v>na</v>
      </c>
      <c r="C34" s="86" t="str">
        <f>IFERROR('2i'!C34/'2i'!K34*100, "na")</f>
        <v>na</v>
      </c>
      <c r="D34" s="86" t="str">
        <f>IFERROR('2i'!D34/'2i'!L34*100, "na")</f>
        <v>na</v>
      </c>
      <c r="E34" s="87" t="str">
        <f>IFERROR('2i'!E34/'2i'!M34*100, "na")</f>
        <v>na</v>
      </c>
      <c r="F34" s="85" t="str">
        <f>IFERROR('2i'!F34/'2i'!J34*100, "na")</f>
        <v>na</v>
      </c>
      <c r="G34" s="86" t="str">
        <f>IFERROR('2i'!G34/'2i'!K34*100, "na")</f>
        <v>na</v>
      </c>
      <c r="H34" s="86" t="str">
        <f>IFERROR('2i'!H34/'2i'!L34*100, "na")</f>
        <v>na</v>
      </c>
      <c r="I34" s="87" t="str">
        <f>IFERROR('2i'!I34/'2i'!M34*100, "na")</f>
        <v>na</v>
      </c>
      <c r="J34" s="85">
        <f>IFERROR('2i'!J34/'2i'!J34*100,"na")</f>
        <v>100</v>
      </c>
      <c r="K34" s="86">
        <f>IFERROR('2i'!K34/'2i'!K34*100,"na")</f>
        <v>100</v>
      </c>
      <c r="L34" s="86">
        <f>IFERROR('2i'!L34/'2i'!L34*100,"na")</f>
        <v>100</v>
      </c>
      <c r="M34" s="87">
        <f>IFERROR('2i'!M34/'2i'!M34*100,"na")</f>
        <v>100</v>
      </c>
    </row>
    <row r="35" spans="1:13">
      <c r="A35" s="58">
        <f t="shared" ref="A35" si="0">A34+1</f>
        <v>2010</v>
      </c>
      <c r="B35" s="88" t="str">
        <f>IFERROR('2i'!B35/'2i'!J35*100, "na")</f>
        <v>na</v>
      </c>
      <c r="C35" s="89" t="str">
        <f>IFERROR('2i'!C35/'2i'!K35*100, "na")</f>
        <v>na</v>
      </c>
      <c r="D35" s="89" t="str">
        <f>IFERROR('2i'!D35/'2i'!L35*100, "na")</f>
        <v>na</v>
      </c>
      <c r="E35" s="90" t="str">
        <f>IFERROR('2i'!E35/'2i'!M35*100, "na")</f>
        <v>na</v>
      </c>
      <c r="F35" s="88" t="str">
        <f>IFERROR('2i'!F35/'2i'!J35*100, "na")</f>
        <v>na</v>
      </c>
      <c r="G35" s="89" t="str">
        <f>IFERROR('2i'!G35/'2i'!K35*100, "na")</f>
        <v>na</v>
      </c>
      <c r="H35" s="89" t="str">
        <f>IFERROR('2i'!H35/'2i'!L35*100, "na")</f>
        <v>na</v>
      </c>
      <c r="I35" s="90" t="str">
        <f>IFERROR('2i'!I35/'2i'!M35*100, "na")</f>
        <v>na</v>
      </c>
      <c r="J35" s="88">
        <f>IFERROR('2i'!J35/'2i'!J35*100,"na")</f>
        <v>100</v>
      </c>
      <c r="K35" s="89">
        <f>IFERROR('2i'!K35/'2i'!K35*100,"na")</f>
        <v>100</v>
      </c>
      <c r="L35" s="89">
        <f>IFERROR('2i'!L35/'2i'!L35*100,"na")</f>
        <v>100</v>
      </c>
      <c r="M35" s="90">
        <f>IFERROR('2i'!M35/'2i'!M35*100,"na")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242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7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M47"/>
  <sheetViews>
    <sheetView topLeftCell="A13" zoomScaleNormal="100" workbookViewId="0">
      <selection activeCell="A48" sqref="A48"/>
    </sheetView>
  </sheetViews>
  <sheetFormatPr defaultRowHeight="15"/>
  <cols>
    <col min="1" max="1" width="9.140625" style="1"/>
    <col min="2" max="2" width="12.42578125" style="1" customWidth="1"/>
    <col min="3" max="3" width="9.140625" style="1"/>
    <col min="4" max="4" width="17.42578125" style="1" customWidth="1"/>
    <col min="5" max="5" width="14.5703125" style="1" customWidth="1"/>
    <col min="6" max="6" width="14.42578125" style="1" customWidth="1"/>
    <col min="7" max="7" width="9.140625" style="1"/>
    <col min="8" max="8" width="19" style="1" customWidth="1"/>
    <col min="9" max="9" width="14.7109375" style="1" customWidth="1"/>
    <col min="10" max="10" width="10" style="1" customWidth="1"/>
    <col min="11" max="11" width="9.140625" style="1"/>
    <col min="12" max="12" width="18.28515625" style="1" customWidth="1"/>
    <col min="13" max="13" width="12.140625" style="1" customWidth="1"/>
    <col min="14" max="16384" width="9.140625" style="1"/>
  </cols>
  <sheetData>
    <row r="1" spans="1:13">
      <c r="A1" s="2" t="s">
        <v>179</v>
      </c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45">
      <c r="A4" s="18"/>
      <c r="B4" s="258" t="s">
        <v>0</v>
      </c>
      <c r="C4" s="259" t="s">
        <v>1</v>
      </c>
      <c r="D4" s="259" t="s">
        <v>2</v>
      </c>
      <c r="E4" s="257" t="s">
        <v>72</v>
      </c>
      <c r="F4" s="258" t="s">
        <v>0</v>
      </c>
      <c r="G4" s="259" t="s">
        <v>1</v>
      </c>
      <c r="H4" s="259" t="s">
        <v>2</v>
      </c>
      <c r="I4" s="257" t="s">
        <v>72</v>
      </c>
      <c r="J4" s="258" t="s">
        <v>39</v>
      </c>
      <c r="K4" s="259" t="s">
        <v>41</v>
      </c>
      <c r="L4" s="259" t="s">
        <v>40</v>
      </c>
      <c r="M4" s="257" t="s">
        <v>72</v>
      </c>
    </row>
    <row r="5" spans="1:13">
      <c r="A5" s="15">
        <v>1981</v>
      </c>
      <c r="B5" s="35">
        <f>IFERROR('1a'!B6/'2a'!B5*100, "na")</f>
        <v>2925</v>
      </c>
      <c r="C5" s="30">
        <f>IFERROR('1a'!C6/'2a'!C5*100, "na")</f>
        <v>121.21979869636317</v>
      </c>
      <c r="D5" s="30">
        <f>IFERROR('1a'!D6/'2a'!D5*100, "na")</f>
        <v>6.1641098445104205</v>
      </c>
      <c r="E5" s="36">
        <f>IFERROR('1a'!E6/'2a'!E5*100, "na")</f>
        <v>61.860447493668232</v>
      </c>
      <c r="F5" s="35">
        <f>IFERROR('1a'!F6/'2a'!F5*100, "na")</f>
        <v>2927.1021291952366</v>
      </c>
      <c r="G5" s="30">
        <f>IFERROR('1a'!G6/'2a'!G5*100, "na")</f>
        <v>129.45982890230229</v>
      </c>
      <c r="H5" s="30">
        <f>IFERROR('1a'!H6/'2a'!H5*100, "na")</f>
        <v>16.309386563903288</v>
      </c>
      <c r="I5" s="36">
        <f>IFERROR('1a'!I6/'2a'!I5*100, "na")</f>
        <v>162.15042716226051</v>
      </c>
      <c r="J5" s="278">
        <f>IFERROR('1a'!J6/'2a'!J5*100, "na")</f>
        <v>2930.2949061662202</v>
      </c>
      <c r="K5" s="279">
        <f>IFERROR('1a'!K6/'2a'!K5*100, "na")</f>
        <v>139.71593897948449</v>
      </c>
      <c r="L5" s="279">
        <f>IFERROR('1a'!L6/'2a'!L5*100, "na")</f>
        <v>77.653142402545754</v>
      </c>
      <c r="M5" s="122">
        <f>IFERROR('1a'!M6/'2a'!M5*100, "na")</f>
        <v>156.22526828959445</v>
      </c>
    </row>
    <row r="6" spans="1:13">
      <c r="A6" s="16">
        <v>1982</v>
      </c>
      <c r="B6" s="37">
        <f>IFERROR('1a'!B7/'2a'!B6*100, "na")</f>
        <v>2827.6521185090796</v>
      </c>
      <c r="C6" s="34">
        <f>IFERROR('1a'!C7/'2a'!C6*100, "na")</f>
        <v>127.93530277362153</v>
      </c>
      <c r="D6" s="34">
        <f>IFERROR('1a'!D7/'2a'!D6*100, "na")</f>
        <v>6.8107481472280877</v>
      </c>
      <c r="E6" s="38">
        <f>IFERROR('1a'!E7/'2a'!E6*100, "na")</f>
        <v>74.082357015063195</v>
      </c>
      <c r="F6" s="37">
        <f>IFERROR('1a'!F7/'2a'!F6*100, "na")</f>
        <v>2830.4042179261864</v>
      </c>
      <c r="G6" s="34">
        <f>IFERROR('1a'!G7/'2a'!G6*100, "na")</f>
        <v>136.47610971062139</v>
      </c>
      <c r="H6" s="34">
        <f>IFERROR('1a'!H7/'2a'!H6*100, "na")</f>
        <v>18.021983396300236</v>
      </c>
      <c r="I6" s="38">
        <f>IFERROR('1a'!I7/'2a'!I6*100, "na")</f>
        <v>168.08323169206736</v>
      </c>
      <c r="J6" s="280">
        <f>IFERROR('1a'!J7/'2a'!J6*100, "na")</f>
        <v>2839.3063583815028</v>
      </c>
      <c r="K6" s="281">
        <f>IFERROR('1a'!K7/'2a'!K6*100, "na")</f>
        <v>146.2381300219138</v>
      </c>
      <c r="L6" s="281">
        <f>IFERROR('1a'!L7/'2a'!L6*100, "na")</f>
        <v>85.805139742147603</v>
      </c>
      <c r="M6" s="125">
        <f>IFERROR('1a'!M7/'2a'!M6*100, "na")</f>
        <v>161.46618381129488</v>
      </c>
    </row>
    <row r="7" spans="1:13">
      <c r="A7" s="16">
        <v>1983</v>
      </c>
      <c r="B7" s="37">
        <f>IFERROR('1a'!B8/'2a'!B7*100, "na")</f>
        <v>1975.8812615955471</v>
      </c>
      <c r="C7" s="34">
        <f>IFERROR('1a'!C8/'2a'!C7*100, "na")</f>
        <v>128.60873761603318</v>
      </c>
      <c r="D7" s="34">
        <f>IFERROR('1a'!D8/'2a'!D7*100, "na")</f>
        <v>7.2510508215513942</v>
      </c>
      <c r="E7" s="38">
        <f>IFERROR('1a'!E8/'2a'!E7*100, "na")</f>
        <v>76.596557996127018</v>
      </c>
      <c r="F7" s="37">
        <f>IFERROR('1a'!F8/'2a'!F7*100, "na")</f>
        <v>1976.9032168027352</v>
      </c>
      <c r="G7" s="34">
        <f>IFERROR('1a'!G8/'2a'!G7*100, "na")</f>
        <v>137.14103802581892</v>
      </c>
      <c r="H7" s="34">
        <f>IFERROR('1a'!H8/'2a'!H7*100, "na")</f>
        <v>19.189793764478637</v>
      </c>
      <c r="I7" s="38">
        <f>IFERROR('1a'!I8/'2a'!I7*100, "na")</f>
        <v>170.70837238363012</v>
      </c>
      <c r="J7" s="280">
        <f>IFERROR('1a'!J8/'2a'!J7*100, "na")</f>
        <v>1977.0351328191944</v>
      </c>
      <c r="K7" s="281">
        <f>IFERROR('1a'!K8/'2a'!K7*100, "na")</f>
        <v>145.52596047624891</v>
      </c>
      <c r="L7" s="281">
        <f>IFERROR('1a'!L8/'2a'!L7*100, "na")</f>
        <v>91.368052237617448</v>
      </c>
      <c r="M7" s="125">
        <f>IFERROR('1a'!M8/'2a'!M7*100, "na")</f>
        <v>185.21189300557702</v>
      </c>
    </row>
    <row r="8" spans="1:13">
      <c r="A8" s="16">
        <v>1984</v>
      </c>
      <c r="B8" s="37">
        <f>IFERROR('1a'!B9/'2a'!B8*100, "na")</f>
        <v>1689.7370503913469</v>
      </c>
      <c r="C8" s="34">
        <f>IFERROR('1a'!C9/'2a'!C8*100, "na")</f>
        <v>129.3931865077694</v>
      </c>
      <c r="D8" s="34">
        <f>IFERROR('1a'!D9/'2a'!D8*100, "na")</f>
        <v>7.5378294929699665</v>
      </c>
      <c r="E8" s="38">
        <f>IFERROR('1a'!E9/'2a'!E8*100, "na")</f>
        <v>82.554145187293898</v>
      </c>
      <c r="F8" s="37">
        <f>IFERROR('1a'!F9/'2a'!F8*100, "na")</f>
        <v>1691.2248062015503</v>
      </c>
      <c r="G8" s="34">
        <f>IFERROR('1a'!G9/'2a'!G8*100, "na")</f>
        <v>137.74981122577395</v>
      </c>
      <c r="H8" s="34">
        <f>IFERROR('1a'!H9/'2a'!H8*100, "na")</f>
        <v>19.948466461640759</v>
      </c>
      <c r="I8" s="38">
        <f>IFERROR('1a'!I9/'2a'!I8*100, "na")</f>
        <v>168.70395886414548</v>
      </c>
      <c r="J8" s="280">
        <f>IFERROR('1a'!J9/'2a'!J8*100, "na")</f>
        <v>1692.8086838534596</v>
      </c>
      <c r="K8" s="281">
        <f>IFERROR('1a'!K9/'2a'!K8*100, "na")</f>
        <v>144.6179532508348</v>
      </c>
      <c r="L8" s="281">
        <f>IFERROR('1a'!L9/'2a'!L8*100, "na")</f>
        <v>94.982602995310373</v>
      </c>
      <c r="M8" s="125">
        <f>IFERROR('1a'!M9/'2a'!M8*100, "na")</f>
        <v>185.83224822942802</v>
      </c>
    </row>
    <row r="9" spans="1:13">
      <c r="A9" s="16">
        <v>1985</v>
      </c>
      <c r="B9" s="37">
        <f>IFERROR('1a'!B10/'2a'!B9*100, "na")</f>
        <v>1386.7440872397679</v>
      </c>
      <c r="C9" s="34">
        <f>IFERROR('1a'!C10/'2a'!C9*100, "na")</f>
        <v>131.45761346532973</v>
      </c>
      <c r="D9" s="34">
        <f>IFERROR('1a'!D10/'2a'!D9*100, "na")</f>
        <v>7.7326647550037793</v>
      </c>
      <c r="E9" s="38">
        <f>IFERROR('1a'!E10/'2a'!E9*100, "na")</f>
        <v>33.412525365455068</v>
      </c>
      <c r="F9" s="37">
        <f>IFERROR('1a'!F10/'2a'!F9*100, "na")</f>
        <v>1389.7385553373979</v>
      </c>
      <c r="G9" s="34">
        <f>IFERROR('1a'!G10/'2a'!G9*100, "na")</f>
        <v>139.86043561006559</v>
      </c>
      <c r="H9" s="34">
        <f>IFERROR('1a'!H10/'2a'!H9*100, "na")</f>
        <v>20.461535861556143</v>
      </c>
      <c r="I9" s="38">
        <f>IFERROR('1a'!I10/'2a'!I9*100, "na")</f>
        <v>90.744327719921912</v>
      </c>
      <c r="J9" s="280">
        <f>IFERROR('1a'!J10/'2a'!J9*100, "na")</f>
        <v>1387.3532550693703</v>
      </c>
      <c r="K9" s="281">
        <f>IFERROR('1a'!K10/'2a'!K9*100, "na")</f>
        <v>145.45759302715388</v>
      </c>
      <c r="L9" s="281">
        <f>IFERROR('1a'!L10/'2a'!L9*100, "na")</f>
        <v>97.436672206274864</v>
      </c>
      <c r="M9" s="125">
        <f>IFERROR('1a'!M10/'2a'!M9*100, "na")</f>
        <v>186.26682113893591</v>
      </c>
    </row>
    <row r="10" spans="1:13">
      <c r="A10" s="16">
        <v>1986</v>
      </c>
      <c r="B10" s="37">
        <f>IFERROR('1a'!B11/'2a'!B10*100, "na")</f>
        <v>1147.9269941415052</v>
      </c>
      <c r="C10" s="34">
        <f>IFERROR('1a'!C11/'2a'!C10*100, "na")</f>
        <v>127.32091935381182</v>
      </c>
      <c r="D10" s="34">
        <f>IFERROR('1a'!D11/'2a'!D10*100, "na")</f>
        <v>7.9639668367346941</v>
      </c>
      <c r="E10" s="38">
        <f>IFERROR('1a'!E11/'2a'!E10*100, "na")</f>
        <v>69.181911394225651</v>
      </c>
      <c r="F10" s="37">
        <f>IFERROR('1a'!F11/'2a'!F10*100, "na")</f>
        <v>1153.1680440771349</v>
      </c>
      <c r="G10" s="34">
        <f>IFERROR('1a'!G11/'2a'!G10*100, "na")</f>
        <v>135.39249904170114</v>
      </c>
      <c r="H10" s="34">
        <f>IFERROR('1a'!H11/'2a'!H10*100, "na")</f>
        <v>21.079421403256433</v>
      </c>
      <c r="I10" s="38">
        <f>IFERROR('1a'!I11/'2a'!I10*100, "na")</f>
        <v>101.37016402068978</v>
      </c>
      <c r="J10" s="280">
        <f>IFERROR('1a'!J11/'2a'!J10*100, "na")</f>
        <v>1150.4237288135594</v>
      </c>
      <c r="K10" s="281">
        <f>IFERROR('1a'!K11/'2a'!K10*100, "na")</f>
        <v>139.38302331674089</v>
      </c>
      <c r="L10" s="281">
        <f>IFERROR('1a'!L11/'2a'!L10*100, "na")</f>
        <v>100.37365716954693</v>
      </c>
      <c r="M10" s="125">
        <f>IFERROR('1a'!M11/'2a'!M10*100, "na")</f>
        <v>179.11009785337365</v>
      </c>
    </row>
    <row r="11" spans="1:13">
      <c r="A11" s="16">
        <v>1987</v>
      </c>
      <c r="B11" s="37">
        <f>IFERROR('1a'!B12/'2a'!B11*100, "na")</f>
        <v>947.30640832624204</v>
      </c>
      <c r="C11" s="34">
        <f>IFERROR('1a'!C12/'2a'!C11*100, "na")</f>
        <v>126.96541742505644</v>
      </c>
      <c r="D11" s="34">
        <f>IFERROR('1a'!D12/'2a'!D11*100, "na")</f>
        <v>8.063376442989064</v>
      </c>
      <c r="E11" s="38">
        <f>IFERROR('1a'!E12/'2a'!E11*100, "na")</f>
        <v>88.982898613206871</v>
      </c>
      <c r="F11" s="37">
        <f>IFERROR('1a'!F12/'2a'!F11*100, "na")</f>
        <v>945.03363672338742</v>
      </c>
      <c r="G11" s="34">
        <f>IFERROR('1a'!G12/'2a'!G11*100, "na")</f>
        <v>134.68811037692723</v>
      </c>
      <c r="H11" s="34">
        <f>IFERROR('1a'!H12/'2a'!H11*100, "na")</f>
        <v>21.309257049733723</v>
      </c>
      <c r="I11" s="38">
        <f>IFERROR('1a'!I12/'2a'!I11*100, "na")</f>
        <v>151.97659669937147</v>
      </c>
      <c r="J11" s="280">
        <f>IFERROR('1a'!J12/'2a'!J11*100, "na")</f>
        <v>944.0809190809191</v>
      </c>
      <c r="K11" s="281">
        <f>IFERROR('1a'!K12/'2a'!K11*100, "na")</f>
        <v>137.8041345674223</v>
      </c>
      <c r="L11" s="281">
        <f>IFERROR('1a'!L12/'2a'!L11*100, "na")</f>
        <v>101.45383693045562</v>
      </c>
      <c r="M11" s="125">
        <f>IFERROR('1a'!M12/'2a'!M11*100, "na")</f>
        <v>184.14076125987484</v>
      </c>
    </row>
    <row r="12" spans="1:13">
      <c r="A12" s="16">
        <v>1988</v>
      </c>
      <c r="B12" s="37">
        <f>IFERROR('1a'!B13/'2a'!B12*100, "na")</f>
        <v>849.02899707368977</v>
      </c>
      <c r="C12" s="34">
        <f>IFERROR('1a'!C13/'2a'!C12*100, "na")</f>
        <v>124.61472945680543</v>
      </c>
      <c r="D12" s="34">
        <f>IFERROR('1a'!D13/'2a'!D12*100, "na")</f>
        <v>8.0039098178088999</v>
      </c>
      <c r="E12" s="38">
        <f>IFERROR('1a'!E13/'2a'!E12*100, "na")</f>
        <v>127.48387511862443</v>
      </c>
      <c r="F12" s="37">
        <f>IFERROR('1a'!F13/'2a'!F12*100, "na")</f>
        <v>849.82471516213855</v>
      </c>
      <c r="G12" s="34">
        <f>IFERROR('1a'!G13/'2a'!G12*100, "na")</f>
        <v>131.9621663223559</v>
      </c>
      <c r="H12" s="34">
        <f>IFERROR('1a'!H13/'2a'!H12*100, "na")</f>
        <v>21.128608923884514</v>
      </c>
      <c r="I12" s="38">
        <f>IFERROR('1a'!I13/'2a'!I12*100, "na")</f>
        <v>199.59590646071445</v>
      </c>
      <c r="J12" s="280">
        <f>IFERROR('1a'!J13/'2a'!J12*100, "na")</f>
        <v>848.50187265917589</v>
      </c>
      <c r="K12" s="281">
        <f>IFERROR('1a'!K13/'2a'!K12*100, "na")</f>
        <v>133.51269909599654</v>
      </c>
      <c r="L12" s="281">
        <f>IFERROR('1a'!L13/'2a'!L12*100, "na")</f>
        <v>100.68160302934679</v>
      </c>
      <c r="M12" s="125">
        <f>IFERROR('1a'!M13/'2a'!M12*100, "na")</f>
        <v>161.33860683964676</v>
      </c>
    </row>
    <row r="13" spans="1:13">
      <c r="A13" s="16">
        <v>1989</v>
      </c>
      <c r="B13" s="37">
        <f>IFERROR('1a'!B14/'2a'!B13*100, "na")</f>
        <v>697.53825335692716</v>
      </c>
      <c r="C13" s="34">
        <f>IFERROR('1a'!C14/'2a'!C13*100, "na")</f>
        <v>120.30964659400234</v>
      </c>
      <c r="D13" s="34">
        <f>IFERROR('1a'!D14/'2a'!D13*100, "na")</f>
        <v>7.771461886022446</v>
      </c>
      <c r="E13" s="38">
        <f>IFERROR('1a'!E14/'2a'!E13*100, "na")</f>
        <v>84.16047951206977</v>
      </c>
      <c r="F13" s="37">
        <f>IFERROR('1a'!F14/'2a'!F13*100, "na")</f>
        <v>697.93911007025747</v>
      </c>
      <c r="G13" s="34">
        <f>IFERROR('1a'!G14/'2a'!G13*100, "na")</f>
        <v>127.10383277697188</v>
      </c>
      <c r="H13" s="34">
        <f>IFERROR('1a'!H14/'2a'!H13*100, "na")</f>
        <v>20.509028955341428</v>
      </c>
      <c r="I13" s="38">
        <f>IFERROR('1a'!I14/'2a'!I13*100, "na")</f>
        <v>72.880060815230507</v>
      </c>
      <c r="J13" s="280">
        <f>IFERROR('1a'!J14/'2a'!J13*100, "na")</f>
        <v>697.68278066320408</v>
      </c>
      <c r="K13" s="281">
        <f>IFERROR('1a'!K14/'2a'!K13*100, "na")</f>
        <v>126.43345512426292</v>
      </c>
      <c r="L13" s="281">
        <f>IFERROR('1a'!L14/'2a'!L13*100, "na")</f>
        <v>97.775188637372395</v>
      </c>
      <c r="M13" s="125">
        <f>IFERROR('1a'!M14/'2a'!M13*100, "na")</f>
        <v>153.02269385853822</v>
      </c>
    </row>
    <row r="14" spans="1:13">
      <c r="A14" s="16">
        <v>1990</v>
      </c>
      <c r="B14" s="37">
        <f>IFERROR('1a'!B15/'2a'!B14*100, "na")</f>
        <v>621.24898621248997</v>
      </c>
      <c r="C14" s="34">
        <f>IFERROR('1a'!C15/'2a'!C14*100, "na")</f>
        <v>117.06307684183557</v>
      </c>
      <c r="D14" s="34">
        <f>IFERROR('1a'!D15/'2a'!D14*100, "na")</f>
        <v>7.8019645628202765</v>
      </c>
      <c r="E14" s="38">
        <f>IFERROR('1a'!E15/'2a'!E14*100, "na")</f>
        <v>81.492731950913836</v>
      </c>
      <c r="F14" s="37">
        <f>IFERROR('1a'!F15/'2a'!F14*100, "na")</f>
        <v>621.68238916858104</v>
      </c>
      <c r="G14" s="34">
        <f>IFERROR('1a'!G15/'2a'!G14*100, "na")</f>
        <v>123.1701161029783</v>
      </c>
      <c r="H14" s="34">
        <f>IFERROR('1a'!H15/'2a'!H14*100, "na")</f>
        <v>20.585756426464389</v>
      </c>
      <c r="I14" s="38">
        <f>IFERROR('1a'!I15/'2a'!I14*100, "na")</f>
        <v>152.32719057855667</v>
      </c>
      <c r="J14" s="280">
        <f>IFERROR('1a'!J15/'2a'!J14*100, "na")</f>
        <v>621.41023108828756</v>
      </c>
      <c r="K14" s="281">
        <f>IFERROR('1a'!K15/'2a'!K14*100, "na")</f>
        <v>121.4751938222045</v>
      </c>
      <c r="L14" s="281">
        <f>IFERROR('1a'!L15/'2a'!L14*100, "na")</f>
        <v>98.201707990402227</v>
      </c>
      <c r="M14" s="125">
        <f>IFERROR('1a'!M15/'2a'!M14*100, "na")</f>
        <v>142.78333660323065</v>
      </c>
    </row>
    <row r="15" spans="1:13">
      <c r="A15" s="16">
        <v>1991</v>
      </c>
      <c r="B15" s="37">
        <f>IFERROR('1a'!B16/'2a'!B15*100, "na")</f>
        <v>461.63864551266869</v>
      </c>
      <c r="C15" s="34">
        <f>IFERROR('1a'!C16/'2a'!C15*100, "na")</f>
        <v>114.78032559419147</v>
      </c>
      <c r="D15" s="34">
        <f>IFERROR('1a'!D16/'2a'!D15*100, "na")</f>
        <v>7.3750700340075541</v>
      </c>
      <c r="E15" s="38">
        <f>IFERROR('1a'!E16/'2a'!E15*100, "na")</f>
        <v>49.75134776752536</v>
      </c>
      <c r="F15" s="37">
        <f>IFERROR('1a'!F16/'2a'!F15*100, "na")</f>
        <v>462.19173607708643</v>
      </c>
      <c r="G15" s="34">
        <f>IFERROR('1a'!G16/'2a'!G15*100, "na")</f>
        <v>120.54502733920376</v>
      </c>
      <c r="H15" s="34">
        <f>IFERROR('1a'!H16/'2a'!H15*100, "na")</f>
        <v>19.459371437876566</v>
      </c>
      <c r="I15" s="38">
        <f>IFERROR('1a'!I16/'2a'!I15*100, "na")</f>
        <v>152.70370738960665</v>
      </c>
      <c r="J15" s="280">
        <f>IFERROR('1a'!J16/'2a'!J15*100, "na")</f>
        <v>461.61790017211695</v>
      </c>
      <c r="K15" s="281">
        <f>IFERROR('1a'!K16/'2a'!K15*100, "na")</f>
        <v>118.67249762637742</v>
      </c>
      <c r="L15" s="281">
        <f>IFERROR('1a'!L16/'2a'!L15*100, "na")</f>
        <v>92.835436518156072</v>
      </c>
      <c r="M15" s="125">
        <f>IFERROR('1a'!M16/'2a'!M15*100, "na")</f>
        <v>133.53297156718099</v>
      </c>
    </row>
    <row r="16" spans="1:13">
      <c r="A16" s="16">
        <v>1992</v>
      </c>
      <c r="B16" s="37">
        <f>IFERROR('1a'!B17/'2a'!B16*100, "na")</f>
        <v>405.50460725985823</v>
      </c>
      <c r="C16" s="34">
        <f>IFERROR('1a'!C17/'2a'!C16*100, "na")</f>
        <v>107.85292220080625</v>
      </c>
      <c r="D16" s="34" t="str">
        <f>IFERROR('1a'!D17/'2a'!D16*100, "na")</f>
        <v>na</v>
      </c>
      <c r="E16" s="34" t="str">
        <f>IFERROR('1a'!E17/'2a'!E16*100, "na")</f>
        <v>na</v>
      </c>
      <c r="F16" s="37">
        <f>IFERROR('1a'!F17/'2a'!F16*100, "na")</f>
        <v>405.43665052335569</v>
      </c>
      <c r="G16" s="34">
        <f>IFERROR('1a'!G17/'2a'!G16*100, "na")</f>
        <v>112.61889826277316</v>
      </c>
      <c r="H16" s="34" t="str">
        <f>IFERROR('1a'!H17/'2a'!H16*100, "na")</f>
        <v>na</v>
      </c>
      <c r="I16" s="34" t="str">
        <f>IFERROR('1a'!I17/'2a'!I16*100, "na")</f>
        <v>na</v>
      </c>
      <c r="J16" s="280">
        <f>IFERROR('1a'!J17/'2a'!J16*100, "na")</f>
        <v>405.53205699020481</v>
      </c>
      <c r="K16" s="281">
        <f>IFERROR('1a'!K17/'2a'!K16*100, "na")</f>
        <v>109.74721730989285</v>
      </c>
      <c r="L16" s="281">
        <f>IFERROR('1a'!L17/'2a'!L16*100, "na")</f>
        <v>93.575039790281821</v>
      </c>
      <c r="M16" s="125">
        <f>IFERROR('1a'!M17/'2a'!M16*100, "na")</f>
        <v>131.55723158828749</v>
      </c>
    </row>
    <row r="17" spans="1:13">
      <c r="A17" s="16">
        <v>1993</v>
      </c>
      <c r="B17" s="37">
        <f>IFERROR('1a'!B18/'2a'!B17*100, "na")</f>
        <v>387.73719031170282</v>
      </c>
      <c r="C17" s="34">
        <f>IFERROR('1a'!C18/'2a'!C17*100, "na")</f>
        <v>106.77740135167113</v>
      </c>
      <c r="D17" s="34" t="str">
        <f>IFERROR('1a'!D18/'2a'!D17*100, "na")</f>
        <v>na</v>
      </c>
      <c r="E17" s="34" t="str">
        <f>IFERROR('1a'!E18/'2a'!E17*100, "na")</f>
        <v>na</v>
      </c>
      <c r="F17" s="37">
        <f>IFERROR('1a'!F18/'2a'!F17*100, "na")</f>
        <v>387.76709009472057</v>
      </c>
      <c r="G17" s="34">
        <f>IFERROR('1a'!G18/'2a'!G17*100, "na")</f>
        <v>111.59515951595158</v>
      </c>
      <c r="H17" s="34" t="str">
        <f>IFERROR('1a'!H18/'2a'!H17*100, "na")</f>
        <v>na</v>
      </c>
      <c r="I17" s="34" t="str">
        <f>IFERROR('1a'!I18/'2a'!I17*100, "na")</f>
        <v>na</v>
      </c>
      <c r="J17" s="280">
        <f>IFERROR('1a'!J18/'2a'!J17*100, "na")</f>
        <v>387.70812381271651</v>
      </c>
      <c r="K17" s="281">
        <f>IFERROR('1a'!K18/'2a'!K17*100, "na")</f>
        <v>108.46168314141815</v>
      </c>
      <c r="L17" s="281">
        <f>IFERROR('1a'!L18/'2a'!L17*100, "na")</f>
        <v>94.128258549723043</v>
      </c>
      <c r="M17" s="125">
        <f>IFERROR('1a'!M18/'2a'!M17*100, "na")</f>
        <v>128.58316520726305</v>
      </c>
    </row>
    <row r="18" spans="1:13">
      <c r="A18" s="16">
        <v>1994</v>
      </c>
      <c r="B18" s="37">
        <f>IFERROR('1a'!B19/'2a'!B18*100, "na")</f>
        <v>355.5282555282555</v>
      </c>
      <c r="C18" s="34">
        <f>IFERROR('1a'!C19/'2a'!C18*100, "na")</f>
        <v>105.5363599839293</v>
      </c>
      <c r="D18" s="34">
        <f>IFERROR('1a'!D19/'2a'!D18*100, "na")</f>
        <v>7.3303728259155658</v>
      </c>
      <c r="E18" s="38">
        <f>IFERROR('1a'!E19/'2a'!E18*100, "na")</f>
        <v>65.907731022378911</v>
      </c>
      <c r="F18" s="37">
        <f>IFERROR('1a'!F19/'2a'!F18*100, "na")</f>
        <v>355.33699568787284</v>
      </c>
      <c r="G18" s="34">
        <f>IFERROR('1a'!G19/'2a'!G18*100, "na")</f>
        <v>110.34010683703326</v>
      </c>
      <c r="H18" s="34" t="str">
        <f>IFERROR('1a'!H19/'2a'!H18*100, "na")</f>
        <v>na</v>
      </c>
      <c r="I18" s="34" t="str">
        <f>IFERROR('1a'!I19/'2a'!I18*100, "na")</f>
        <v>na</v>
      </c>
      <c r="J18" s="280">
        <f>IFERROR('1a'!J19/'2a'!J18*100, "na")</f>
        <v>355.42979002624668</v>
      </c>
      <c r="K18" s="281">
        <f>IFERROR('1a'!K19/'2a'!K18*100, "na")</f>
        <v>106.5979381443299</v>
      </c>
      <c r="L18" s="281">
        <f>IFERROR('1a'!L19/'2a'!L18*100, "na")</f>
        <v>92.253465136617805</v>
      </c>
      <c r="M18" s="125">
        <f>IFERROR('1a'!M19/'2a'!M18*100, "na")</f>
        <v>129.96437611324646</v>
      </c>
    </row>
    <row r="19" spans="1:13">
      <c r="A19" s="16">
        <v>1995</v>
      </c>
      <c r="B19" s="37">
        <f>IFERROR('1a'!B20/'2a'!B19*100, "na")</f>
        <v>307.69230769230774</v>
      </c>
      <c r="C19" s="34">
        <f>IFERROR('1a'!C20/'2a'!C19*100, "na")</f>
        <v>103.07488098683619</v>
      </c>
      <c r="D19" s="34" t="str">
        <f>IFERROR('1a'!D20/'2a'!D19*100, "na")</f>
        <v>na</v>
      </c>
      <c r="E19" s="34" t="str">
        <f>IFERROR('1a'!E20/'2a'!E19*100, "na")</f>
        <v>na</v>
      </c>
      <c r="F19" s="37">
        <f>IFERROR('1a'!F20/'2a'!F19*100, "na")</f>
        <v>307.62640141264484</v>
      </c>
      <c r="G19" s="34">
        <f>IFERROR('1a'!G20/'2a'!G19*100, "na")</f>
        <v>107.4827321565618</v>
      </c>
      <c r="H19" s="34" t="str">
        <f>IFERROR('1a'!H20/'2a'!H19*100, "na")</f>
        <v>na</v>
      </c>
      <c r="I19" s="34" t="str">
        <f>IFERROR('1a'!I20/'2a'!I19*100, "na")</f>
        <v>na</v>
      </c>
      <c r="J19" s="280">
        <f>IFERROR('1a'!J20/'2a'!J19*100, "na")</f>
        <v>307.74744452754919</v>
      </c>
      <c r="K19" s="281">
        <f>IFERROR('1a'!K20/'2a'!K19*100, "na")</f>
        <v>104.60361155837185</v>
      </c>
      <c r="L19" s="281">
        <f>IFERROR('1a'!L20/'2a'!L19*100, "na")</f>
        <v>88.569675902259476</v>
      </c>
      <c r="M19" s="125">
        <f>IFERROR('1a'!M20/'2a'!M19*100, "na")</f>
        <v>127.91006579471696</v>
      </c>
    </row>
    <row r="20" spans="1:13">
      <c r="A20" s="16">
        <v>1996</v>
      </c>
      <c r="B20" s="37">
        <f>IFERROR('1a'!B21/'2a'!B20*100, "na")</f>
        <v>240.58927303136522</v>
      </c>
      <c r="C20" s="34">
        <f>IFERROR('1a'!C21/'2a'!C20*100, "na")</f>
        <v>102.543991474126</v>
      </c>
      <c r="D20" s="34">
        <f>IFERROR('1a'!D21/'2a'!D20*100, "na")</f>
        <v>7.3234294762538354</v>
      </c>
      <c r="E20" s="38">
        <f>IFERROR('1a'!E21/'2a'!E20*100, "na")</f>
        <v>67.353437336585515</v>
      </c>
      <c r="F20" s="37">
        <f>IFERROR('1a'!F21/'2a'!F20*100, "na")</f>
        <v>240.50964000261555</v>
      </c>
      <c r="G20" s="34">
        <f>IFERROR('1a'!G21/'2a'!G20*100, "na")</f>
        <v>106.32216472128837</v>
      </c>
      <c r="H20" s="34" t="str">
        <f>IFERROR('1a'!H21/'2a'!H20*100, "na")</f>
        <v>na</v>
      </c>
      <c r="I20" s="34" t="str">
        <f>IFERROR('1a'!I21/'2a'!I20*100, "na")</f>
        <v>na</v>
      </c>
      <c r="J20" s="280">
        <f>IFERROR('1a'!J21/'2a'!J20*100, "na")</f>
        <v>240.58466211085806</v>
      </c>
      <c r="K20" s="281">
        <f>IFERROR('1a'!K21/'2a'!K20*100, "na")</f>
        <v>103.24714462224634</v>
      </c>
      <c r="L20" s="281">
        <f>IFERROR('1a'!L21/'2a'!L20*100, "na")</f>
        <v>92.29007633587787</v>
      </c>
      <c r="M20" s="125">
        <f>IFERROR('1a'!M21/'2a'!M20*100, "na")</f>
        <v>122.37286017743347</v>
      </c>
    </row>
    <row r="21" spans="1:13">
      <c r="A21" s="16">
        <v>1997</v>
      </c>
      <c r="B21" s="37">
        <f>IFERROR('1a'!B22/'2a'!B21*100, "na")</f>
        <v>213.2195465637671</v>
      </c>
      <c r="C21" s="34">
        <f>IFERROR('1a'!C22/'2a'!C21*100, "na")</f>
        <v>100.67019591383584</v>
      </c>
      <c r="D21" s="34">
        <f>IFERROR('1a'!D22/'2a'!D21*100, "na")</f>
        <v>7.5696764035199591</v>
      </c>
      <c r="E21" s="38">
        <f>IFERROR('1a'!E22/'2a'!E21*100, "na")</f>
        <v>47.367245056667016</v>
      </c>
      <c r="F21" s="37">
        <f>IFERROR('1a'!F22/'2a'!F21*100, "na")</f>
        <v>218.20353377214477</v>
      </c>
      <c r="G21" s="34">
        <f>IFERROR('1a'!G22/'2a'!G21*100, "na")</f>
        <v>104.40285091664624</v>
      </c>
      <c r="H21" s="34">
        <f>IFERROR('1a'!H22/'2a'!H21*100, "na")</f>
        <v>85.810956734576351</v>
      </c>
      <c r="I21" s="38">
        <f>IFERROR('1a'!I22/'2a'!I21*100, "na")</f>
        <v>139.6166668647291</v>
      </c>
      <c r="J21" s="280">
        <f>IFERROR('1a'!J22/'2a'!J21*100, "na")</f>
        <v>212.19503405528127</v>
      </c>
      <c r="K21" s="281">
        <f>IFERROR('1a'!K22/'2a'!K21*100, "na")</f>
        <v>101.12375496722919</v>
      </c>
      <c r="L21" s="281">
        <f>IFERROR('1a'!L22/'2a'!L21*100, "na")</f>
        <v>95.054637675754279</v>
      </c>
      <c r="M21" s="125">
        <f>IFERROR('1a'!M22/'2a'!M21*100, "na")</f>
        <v>118.47397141292649</v>
      </c>
    </row>
    <row r="22" spans="1:13">
      <c r="A22" s="16">
        <v>1998</v>
      </c>
      <c r="B22" s="37">
        <f>IFERROR('1a'!B23/'2a'!B22*100, "na")</f>
        <v>179.41570964614709</v>
      </c>
      <c r="C22" s="34">
        <f>IFERROR('1a'!C23/'2a'!C22*100, "na")</f>
        <v>98.729298448991159</v>
      </c>
      <c r="D22" s="34">
        <f>IFERROR('1a'!D23/'2a'!D22*100, "na")</f>
        <v>7.8819974737501113</v>
      </c>
      <c r="E22" s="38">
        <f>IFERROR('1a'!E23/'2a'!E22*100, "na")</f>
        <v>91.815423053753236</v>
      </c>
      <c r="F22" s="37">
        <f>IFERROR('1a'!F23/'2a'!F22*100, "na")</f>
        <v>175.06149566656705</v>
      </c>
      <c r="G22" s="34">
        <f>IFERROR('1a'!G23/'2a'!G22*100, "na")</f>
        <v>99.028161956930433</v>
      </c>
      <c r="H22" s="34">
        <f>IFERROR('1a'!H23/'2a'!H22*100, "na")</f>
        <v>88.678632716478816</v>
      </c>
      <c r="I22" s="38">
        <f>IFERROR('1a'!I23/'2a'!I22*100, "na")</f>
        <v>134.6929164758977</v>
      </c>
      <c r="J22" s="280">
        <f>IFERROR('1a'!J23/'2a'!J22*100, "na")</f>
        <v>178.70158943362438</v>
      </c>
      <c r="K22" s="281">
        <f>IFERROR('1a'!K23/'2a'!K22*100, "na")</f>
        <v>98.899607081365076</v>
      </c>
      <c r="L22" s="281">
        <f>IFERROR('1a'!L23/'2a'!L22*100, "na")</f>
        <v>98.733578870659599</v>
      </c>
      <c r="M22" s="125">
        <f>IFERROR('1a'!M23/'2a'!M22*100, "na")</f>
        <v>118.01480271114289</v>
      </c>
    </row>
    <row r="23" spans="1:13">
      <c r="A23" s="16">
        <v>1999</v>
      </c>
      <c r="B23" s="37">
        <f>IFERROR('1a'!B24/'2a'!B23*100, "na")</f>
        <v>142.46839221197206</v>
      </c>
      <c r="C23" s="34">
        <f>IFERROR('1a'!C24/'2a'!C23*100, "na")</f>
        <v>98.110168382268185</v>
      </c>
      <c r="D23" s="34">
        <f>IFERROR('1a'!D24/'2a'!D23*100, "na")</f>
        <v>7.7923464553117414</v>
      </c>
      <c r="E23" s="38">
        <f>IFERROR('1a'!E24/'2a'!E23*100, "na")</f>
        <v>80.875513605793302</v>
      </c>
      <c r="F23" s="37">
        <f>IFERROR('1a'!F24/'2a'!F23*100, "na")</f>
        <v>142.73710293729798</v>
      </c>
      <c r="G23" s="34">
        <f>IFERROR('1a'!G24/'2a'!G23*100, "na")</f>
        <v>98.182553671010425</v>
      </c>
      <c r="H23" s="34">
        <f>IFERROR('1a'!H24/'2a'!H23*100, "na")</f>
        <v>87.68215219828123</v>
      </c>
      <c r="I23" s="38">
        <f>IFERROR('1a'!I24/'2a'!I23*100, "na")</f>
        <v>108.58513050470511</v>
      </c>
      <c r="J23" s="280">
        <f>IFERROR('1a'!J24/'2a'!J23*100, "na")</f>
        <v>142.70191044172645</v>
      </c>
      <c r="K23" s="281">
        <f>IFERROR('1a'!K24/'2a'!K23*100, "na")</f>
        <v>98.127736044215524</v>
      </c>
      <c r="L23" s="281">
        <f>IFERROR('1a'!L24/'2a'!L23*100, "na")</f>
        <v>97.809485204702057</v>
      </c>
      <c r="M23" s="125">
        <f>IFERROR('1a'!M24/'2a'!M23*100, "na")</f>
        <v>110.24424902881715</v>
      </c>
    </row>
    <row r="24" spans="1:13">
      <c r="A24" s="16">
        <v>2000</v>
      </c>
      <c r="B24" s="37">
        <f>IFERROR('1a'!B25/'2a'!B24*100, "na")</f>
        <v>122.54321572341938</v>
      </c>
      <c r="C24" s="34">
        <f>IFERROR('1a'!C25/'2a'!C24*100, "na")</f>
        <v>100.65133438078455</v>
      </c>
      <c r="D24" s="34">
        <f>IFERROR('1a'!D25/'2a'!D24*100, "na")</f>
        <v>7.7142819873993975</v>
      </c>
      <c r="E24" s="38">
        <f>IFERROR('1a'!E25/'2a'!E24*100, "na")</f>
        <v>89.545406160925438</v>
      </c>
      <c r="F24" s="37">
        <f>IFERROR('1a'!F25/'2a'!F24*100, "na")</f>
        <v>124.85199906970846</v>
      </c>
      <c r="G24" s="34">
        <f>IFERROR('1a'!G25/'2a'!G24*100, "na")</f>
        <v>100.77121933587918</v>
      </c>
      <c r="H24" s="34">
        <f>IFERROR('1a'!H25/'2a'!H24*100, "na")</f>
        <v>86.795171114155423</v>
      </c>
      <c r="I24" s="38">
        <f>IFERROR('1a'!I25/'2a'!I24*100, "na")</f>
        <v>105.24199653991502</v>
      </c>
      <c r="J24" s="280">
        <f>IFERROR('1a'!J25/'2a'!J24*100, "na")</f>
        <v>124.29577464788733</v>
      </c>
      <c r="K24" s="281">
        <f>IFERROR('1a'!K25/'2a'!K24*100, "na")</f>
        <v>100.69895509743012</v>
      </c>
      <c r="L24" s="281">
        <f>IFERROR('1a'!L25/'2a'!L24*100, "na")</f>
        <v>96.815538437994192</v>
      </c>
      <c r="M24" s="125">
        <f>IFERROR('1a'!M25/'2a'!M24*100, "na")</f>
        <v>106.37797410218792</v>
      </c>
    </row>
    <row r="25" spans="1:13">
      <c r="A25" s="16">
        <v>2001</v>
      </c>
      <c r="B25" s="37">
        <f>IFERROR('1a'!B26/'2a'!B25*100, "na")</f>
        <v>108.8988095238095</v>
      </c>
      <c r="C25" s="34">
        <f>IFERROR('1a'!C26/'2a'!C25*100, "na")</f>
        <v>101.3928893221666</v>
      </c>
      <c r="D25" s="34">
        <f>IFERROR('1a'!D26/'2a'!D25*100, "na")</f>
        <v>7.9522862823061633</v>
      </c>
      <c r="E25" s="38">
        <f>IFERROR('1a'!E26/'2a'!E25*100, "na")</f>
        <v>101.45725309874661</v>
      </c>
      <c r="F25" s="37">
        <f>IFERROR('1a'!F26/'2a'!F25*100, "na")</f>
        <v>108.7087087087087</v>
      </c>
      <c r="G25" s="34">
        <f>IFERROR('1a'!G26/'2a'!G25*100, "na")</f>
        <v>101.53639144067481</v>
      </c>
      <c r="H25" s="34">
        <f>IFERROR('1a'!H26/'2a'!H25*100, "na")</f>
        <v>89.493201483312731</v>
      </c>
      <c r="I25" s="38">
        <f>IFERROR('1a'!I26/'2a'!I25*100, "na")</f>
        <v>101.420332669009</v>
      </c>
      <c r="J25" s="280">
        <f>IFERROR('1a'!J26/'2a'!J25*100, "na")</f>
        <v>111.47992671773343</v>
      </c>
      <c r="K25" s="281">
        <f>IFERROR('1a'!K26/'2a'!K25*100, "na")</f>
        <v>101.92463401241521</v>
      </c>
      <c r="L25" s="281">
        <f>IFERROR('1a'!L26/'2a'!L25*100, "na")</f>
        <v>99.808954023277437</v>
      </c>
      <c r="M25" s="125">
        <f>IFERROR('1a'!M26/'2a'!M25*100, "na")</f>
        <v>103.85203564127772</v>
      </c>
    </row>
    <row r="26" spans="1:13">
      <c r="A26" s="16">
        <v>2002</v>
      </c>
      <c r="B26" s="37">
        <f>IFERROR('1a'!B27/'2a'!B26*100, "na")</f>
        <v>100.00000000000003</v>
      </c>
      <c r="C26" s="34">
        <f>IFERROR('1a'!C27/'2a'!C26*100, "na")</f>
        <v>99.999999999999986</v>
      </c>
      <c r="D26" s="34">
        <f>IFERROR('1a'!D27/'2a'!D26*100, "na")</f>
        <v>100.00000000000003</v>
      </c>
      <c r="E26" s="38">
        <f>IFERROR('1a'!E27/'2a'!E26*100, "na")</f>
        <v>100</v>
      </c>
      <c r="F26" s="37">
        <f>IFERROR('1a'!F27/'2a'!F26*100, "na")</f>
        <v>99.999999999999972</v>
      </c>
      <c r="G26" s="34">
        <f>IFERROR('1a'!G27/'2a'!G26*100, "na")</f>
        <v>100.00000000000003</v>
      </c>
      <c r="H26" s="34">
        <f>IFERROR('1a'!H27/'2a'!H26*100, "na")</f>
        <v>100</v>
      </c>
      <c r="I26" s="38">
        <f>IFERROR('1a'!I27/'2a'!I26*100, "na")</f>
        <v>100.00000000000003</v>
      </c>
      <c r="J26" s="280">
        <f>IFERROR('1a'!J27/'2a'!J26*100, "na")</f>
        <v>100</v>
      </c>
      <c r="K26" s="281">
        <f>IFERROR('1a'!K27/'2a'!K26*100, "na")</f>
        <v>100</v>
      </c>
      <c r="L26" s="281">
        <f>IFERROR('1a'!L27/'2a'!L26*100, "na")</f>
        <v>100</v>
      </c>
      <c r="M26" s="125">
        <f>IFERROR('1a'!M27/'2a'!M26*100, "na")</f>
        <v>100</v>
      </c>
    </row>
    <row r="27" spans="1:13">
      <c r="A27" s="16">
        <v>2003</v>
      </c>
      <c r="B27" s="37">
        <f>IFERROR('1a'!B28/'2a'!B27*100, "na")</f>
        <v>85.66320137489042</v>
      </c>
      <c r="C27" s="34">
        <f>IFERROR('1a'!C28/'2a'!C27*100, "na")</f>
        <v>90.293487806780703</v>
      </c>
      <c r="D27" s="34">
        <f>IFERROR('1a'!D28/'2a'!D27*100, "na")</f>
        <v>87.003475154720519</v>
      </c>
      <c r="E27" s="38">
        <f>IFERROR('1a'!E28/'2a'!E27*100, "na")</f>
        <v>88.327866803528124</v>
      </c>
      <c r="F27" s="37">
        <f>IFERROR('1a'!F28/'2a'!F27*100, "na")</f>
        <v>87.462048918749787</v>
      </c>
      <c r="G27" s="34">
        <f>IFERROR('1a'!G28/'2a'!G27*100, "na")</f>
        <v>88.590347140140466</v>
      </c>
      <c r="H27" s="34">
        <f>IFERROR('1a'!H28/'2a'!H27*100, "na")</f>
        <v>88.803185494978848</v>
      </c>
      <c r="I27" s="38">
        <f>IFERROR('1a'!I28/'2a'!I27*100, "na")</f>
        <v>88.375379005771862</v>
      </c>
      <c r="J27" s="280">
        <f>IFERROR('1a'!J28/'2a'!J27*100, "na")</f>
        <v>87.798750172995668</v>
      </c>
      <c r="K27" s="281">
        <f>IFERROR('1a'!K28/'2a'!K27*100, "na")</f>
        <v>94.132201247786114</v>
      </c>
      <c r="L27" s="281">
        <f>IFERROR('1a'!L28/'2a'!L27*100, "na")</f>
        <v>89.037934314328879</v>
      </c>
      <c r="M27" s="125">
        <f>IFERROR('1a'!M28/'2a'!M27*100, "na")</f>
        <v>90.679448780347343</v>
      </c>
    </row>
    <row r="28" spans="1:13">
      <c r="A28" s="16">
        <v>2004</v>
      </c>
      <c r="B28" s="37">
        <f>IFERROR('1a'!B29/'2a'!B28*100, "na")</f>
        <v>73.01141010960248</v>
      </c>
      <c r="C28" s="34">
        <f>IFERROR('1a'!C29/'2a'!C28*100, "na")</f>
        <v>86.168487118606805</v>
      </c>
      <c r="D28" s="34">
        <f>IFERROR('1a'!D29/'2a'!D28*100, "na")</f>
        <v>78.219707544653104</v>
      </c>
      <c r="E28" s="38">
        <f>IFERROR('1a'!E29/'2a'!E28*100, "na")</f>
        <v>80.917373313788445</v>
      </c>
      <c r="F28" s="37">
        <f>IFERROR('1a'!F29/'2a'!F28*100, "na")</f>
        <v>73.31425004842562</v>
      </c>
      <c r="G28" s="34">
        <f>IFERROR('1a'!G29/'2a'!G28*100, "na")</f>
        <v>85.046346763358628</v>
      </c>
      <c r="H28" s="34">
        <f>IFERROR('1a'!H29/'2a'!H28*100, "na")</f>
        <v>79.880983966948406</v>
      </c>
      <c r="I28" s="38">
        <f>IFERROR('1a'!I29/'2a'!I28*100, "na")</f>
        <v>83.255324652515384</v>
      </c>
      <c r="J28" s="280">
        <f>IFERROR('1a'!J29/'2a'!J28*100, "na")</f>
        <v>73.798535964353917</v>
      </c>
      <c r="K28" s="281">
        <f>IFERROR('1a'!K29/'2a'!K28*100, "na")</f>
        <v>91.171844278411328</v>
      </c>
      <c r="L28" s="281">
        <f>IFERROR('1a'!L29/'2a'!L28*100, "na")</f>
        <v>80.095982843393671</v>
      </c>
      <c r="M28" s="125">
        <f>IFERROR('1a'!M29/'2a'!M28*100, "na")</f>
        <v>81.969134715246199</v>
      </c>
    </row>
    <row r="29" spans="1:13">
      <c r="A29" s="16">
        <v>2005</v>
      </c>
      <c r="B29" s="37">
        <f>IFERROR('1a'!B30/'2a'!B29*100, "na")</f>
        <v>62.210448058994125</v>
      </c>
      <c r="C29" s="34">
        <f>IFERROR('1a'!C30/'2a'!C29*100, "na")</f>
        <v>83.615837734852789</v>
      </c>
      <c r="D29" s="34">
        <f>IFERROR('1a'!D30/'2a'!D29*100, "na")</f>
        <v>73.132819933923955</v>
      </c>
      <c r="E29" s="38">
        <f>IFERROR('1a'!E30/'2a'!E29*100, "na")</f>
        <v>75.364381083768706</v>
      </c>
      <c r="F29" s="37">
        <f>IFERROR('1a'!F30/'2a'!F29*100, "na")</f>
        <v>62.030306912480285</v>
      </c>
      <c r="G29" s="34">
        <f>IFERROR('1a'!G30/'2a'!G29*100, "na")</f>
        <v>82.539126964526091</v>
      </c>
      <c r="H29" s="34">
        <f>IFERROR('1a'!H30/'2a'!H29*100, "na")</f>
        <v>74.665715813870563</v>
      </c>
      <c r="I29" s="38">
        <f>IFERROR('1a'!I30/'2a'!I29*100, "na")</f>
        <v>78.569909266633402</v>
      </c>
      <c r="J29" s="280">
        <f>IFERROR('1a'!J30/'2a'!J29*100, "na")</f>
        <v>62.966726095763924</v>
      </c>
      <c r="K29" s="281">
        <f>IFERROR('1a'!K30/'2a'!K29*100, "na")</f>
        <v>88.568419622231289</v>
      </c>
      <c r="L29" s="281">
        <f>IFERROR('1a'!L30/'2a'!L29*100, "na")</f>
        <v>74.860285638250687</v>
      </c>
      <c r="M29" s="125">
        <f>IFERROR('1a'!M30/'2a'!M29*100, "na")</f>
        <v>75.268963354069726</v>
      </c>
    </row>
    <row r="30" spans="1:13">
      <c r="A30" s="16">
        <v>2006</v>
      </c>
      <c r="B30" s="37">
        <f>IFERROR('1a'!B31/'2a'!B30*100, "na")</f>
        <v>55.079961846343963</v>
      </c>
      <c r="C30" s="34">
        <f>IFERROR('1a'!C31/'2a'!C30*100, "na")</f>
        <v>79.643113107982984</v>
      </c>
      <c r="D30" s="34">
        <f>IFERROR('1a'!D31/'2a'!D30*100, "na")</f>
        <v>69.423252296536859</v>
      </c>
      <c r="E30" s="38">
        <f>IFERROR('1a'!E31/'2a'!E30*100, "na")</f>
        <v>70.141226678163235</v>
      </c>
      <c r="F30" s="37">
        <f>IFERROR('1a'!F31/'2a'!F30*100, "na")</f>
        <v>54.930468045795578</v>
      </c>
      <c r="G30" s="34">
        <f>IFERROR('1a'!G31/'2a'!G30*100, "na")</f>
        <v>80.065122122845381</v>
      </c>
      <c r="H30" s="34">
        <f>IFERROR('1a'!H31/'2a'!H30*100, "na")</f>
        <v>70.889540566959923</v>
      </c>
      <c r="I30" s="38">
        <f>IFERROR('1a'!I31/'2a'!I30*100, "na")</f>
        <v>74.384447224138157</v>
      </c>
      <c r="J30" s="280">
        <f>IFERROR('1a'!J31/'2a'!J30*100, "na")</f>
        <v>55.553720249267954</v>
      </c>
      <c r="K30" s="281">
        <f>IFERROR('1a'!K31/'2a'!K30*100, "na")</f>
        <v>85.71410106441418</v>
      </c>
      <c r="L30" s="281">
        <f>IFERROR('1a'!L31/'2a'!L30*100, "na")</f>
        <v>71.068862841478392</v>
      </c>
      <c r="M30" s="125">
        <f>IFERROR('1a'!M31/'2a'!M30*100, "na")</f>
        <v>69.17067061368553</v>
      </c>
    </row>
    <row r="31" spans="1:13">
      <c r="A31" s="16">
        <v>2007</v>
      </c>
      <c r="B31" s="37">
        <f>IFERROR('1a'!B32/'2a'!B31*100, "na")</f>
        <v>50.520886275100253</v>
      </c>
      <c r="C31" s="34">
        <f>IFERROR('1a'!C32/'2a'!C31*100, "na")</f>
        <v>78.126633129291562</v>
      </c>
      <c r="D31" s="34">
        <f>IFERROR('1a'!D32/'2a'!D31*100, "na")</f>
        <v>65.533448641762362</v>
      </c>
      <c r="E31" s="38">
        <f>IFERROR('1a'!E32/'2a'!E31*100, "na")</f>
        <v>62.811534612197242</v>
      </c>
      <c r="F31" s="37">
        <f>IFERROR('1a'!F32/'2a'!F31*100, "na")</f>
        <v>49.955186338097405</v>
      </c>
      <c r="G31" s="34">
        <f>IFERROR('1a'!G32/'2a'!G31*100, "na")</f>
        <v>80.787260163384857</v>
      </c>
      <c r="H31" s="34">
        <f>IFERROR('1a'!H32/'2a'!H31*100, "na")</f>
        <v>66.945827541918121</v>
      </c>
      <c r="I31" s="38">
        <f>IFERROR('1a'!I32/'2a'!I31*100, "na")</f>
        <v>77.529309556801763</v>
      </c>
      <c r="J31" s="280">
        <f>IFERROR('1a'!J32/'2a'!J31*100, "na")</f>
        <v>50.56033957702796</v>
      </c>
      <c r="K31" s="281">
        <f>IFERROR('1a'!K32/'2a'!K31*100, "na")</f>
        <v>85.110638485442877</v>
      </c>
      <c r="L31" s="281">
        <f>IFERROR('1a'!L32/'2a'!L31*100, "na")</f>
        <v>67.096782221337378</v>
      </c>
      <c r="M31" s="125">
        <f>IFERROR('1a'!M32/'2a'!M31*100, "na")</f>
        <v>66.549337260677461</v>
      </c>
    </row>
    <row r="32" spans="1:13">
      <c r="A32" s="16">
        <v>2008</v>
      </c>
      <c r="B32" s="37">
        <f>IFERROR('1a'!B33/'2a'!B32*100, "na")</f>
        <v>46.687944209591976</v>
      </c>
      <c r="C32" s="34">
        <f>IFERROR('1a'!C33/'2a'!C32*100, "na")</f>
        <v>79.76105454887697</v>
      </c>
      <c r="D32" s="34">
        <f>IFERROR('1a'!D33/'2a'!D32*100, "na")</f>
        <v>64.981803710774173</v>
      </c>
      <c r="E32" s="38">
        <f>IFERROR('1a'!E33/'2a'!E32*100, "na")</f>
        <v>68.439058322258049</v>
      </c>
      <c r="F32" s="37">
        <f>IFERROR('1a'!F33/'2a'!F32*100, "na")</f>
        <v>46.369262745131039</v>
      </c>
      <c r="G32" s="34">
        <f>IFERROR('1a'!G33/'2a'!G32*100, "na")</f>
        <v>83.423864903095335</v>
      </c>
      <c r="H32" s="34">
        <f>IFERROR('1a'!H33/'2a'!H32*100, "na")</f>
        <v>66.352319422053597</v>
      </c>
      <c r="I32" s="38">
        <f>IFERROR('1a'!I33/'2a'!I32*100, "na")</f>
        <v>78.682868669748586</v>
      </c>
      <c r="J32" s="280">
        <f>IFERROR('1a'!J33/'2a'!J32*100, "na")</f>
        <v>46.881080851425416</v>
      </c>
      <c r="K32" s="281">
        <f>IFERROR('1a'!K33/'2a'!K32*100, "na")</f>
        <v>87.402847418733828</v>
      </c>
      <c r="L32" s="281">
        <f>IFERROR('1a'!L33/'2a'!L32*100, "na")</f>
        <v>66.521244724354347</v>
      </c>
      <c r="M32" s="125">
        <f>IFERROR('1a'!M33/'2a'!M32*100, "na")</f>
        <v>64.873699851411587</v>
      </c>
    </row>
    <row r="33" spans="1:13">
      <c r="A33" s="16">
        <v>2009</v>
      </c>
      <c r="B33" s="37">
        <f>IFERROR('1a'!B34/'2a'!B33*100, "na")</f>
        <v>48.355680331068626</v>
      </c>
      <c r="C33" s="34">
        <f>IFERROR('1a'!C34/'2a'!C33*100, "na")</f>
        <v>82.801263588653526</v>
      </c>
      <c r="D33" s="34">
        <f>IFERROR('1a'!D34/'2a'!D33*100, "na")</f>
        <v>68.294940693749055</v>
      </c>
      <c r="E33" s="38">
        <f>IFERROR('1a'!E34/'2a'!E33*100, "na")</f>
        <v>68.663953010788958</v>
      </c>
      <c r="F33" s="37">
        <f>IFERROR('1a'!F34/'2a'!F33*100, "na")</f>
        <v>48.026391610003458</v>
      </c>
      <c r="G33" s="34">
        <f>IFERROR('1a'!G34/'2a'!G33*100, "na")</f>
        <v>86.331034135189171</v>
      </c>
      <c r="H33" s="34">
        <f>IFERROR('1a'!H34/'2a'!H33*100, "na")</f>
        <v>69.747295992871813</v>
      </c>
      <c r="I33" s="38">
        <f>IFERROR('1a'!I34/'2a'!I33*100, "na")</f>
        <v>79.785845418937683</v>
      </c>
      <c r="J33" s="280">
        <f>IFERROR('1a'!J34/'2a'!J33*100, "na")</f>
        <v>48.209886223940018</v>
      </c>
      <c r="K33" s="281">
        <f>IFERROR('1a'!K34/'2a'!K33*100, "na")</f>
        <v>90.54620628781808</v>
      </c>
      <c r="L33" s="281">
        <f>IFERROR('1a'!L34/'2a'!L33*100, "na")</f>
        <v>69.906373271232354</v>
      </c>
      <c r="M33" s="125">
        <f>IFERROR('1a'!M34/'2a'!M33*100, "na")</f>
        <v>68.288847433810744</v>
      </c>
    </row>
    <row r="34" spans="1:13">
      <c r="A34" s="16">
        <v>2010</v>
      </c>
      <c r="B34" s="37">
        <f>IFERROR('1a'!B35/'2a'!B34*100, "na")</f>
        <v>42.253664540459972</v>
      </c>
      <c r="C34" s="34">
        <f>IFERROR('1a'!C35/'2a'!C34*100, "na")</f>
        <v>80.596542621571928</v>
      </c>
      <c r="D34" s="34">
        <f>IFERROR('1a'!D35/'2a'!D34*100, "na")</f>
        <v>62.795887603928676</v>
      </c>
      <c r="E34" s="38">
        <f>IFERROR('1a'!E35/'2a'!E34*100, "na")</f>
        <v>62.333734148185805</v>
      </c>
      <c r="F34" s="37">
        <f>IFERROR('1a'!F35/'2a'!F34*100, "na")</f>
        <v>42.055458639295715</v>
      </c>
      <c r="G34" s="34">
        <f>IFERROR('1a'!G35/'2a'!G34*100, "na")</f>
        <v>86.237420823127337</v>
      </c>
      <c r="H34" s="34">
        <f>IFERROR('1a'!H35/'2a'!H34*100, "na")</f>
        <v>64.131007685424663</v>
      </c>
      <c r="I34" s="38">
        <f>IFERROR('1a'!I35/'2a'!I34*100, "na")</f>
        <v>75.058056441584256</v>
      </c>
      <c r="J34" s="280">
        <f>IFERROR('1a'!J35/'2a'!J34*100, "na")</f>
        <v>42.03708512102741</v>
      </c>
      <c r="K34" s="281">
        <f>IFERROR('1a'!K35/'2a'!K34*100, "na")</f>
        <v>89.382503617379058</v>
      </c>
      <c r="L34" s="281">
        <f>IFERROR('1a'!L35/'2a'!L34*100, "na")</f>
        <v>64.267347000514278</v>
      </c>
      <c r="M34" s="125">
        <f>IFERROR('1a'!M35/'2a'!M34*100, "na")</f>
        <v>62.542651139123841</v>
      </c>
    </row>
    <row r="35" spans="1:13">
      <c r="A35" s="17">
        <v>2011</v>
      </c>
      <c r="B35" s="39">
        <f>IFERROR('1a'!B36/'2a'!B35*100, "na")</f>
        <v>35.356548171740698</v>
      </c>
      <c r="C35" s="40">
        <f>IFERROR('1a'!C36/'2a'!C35*100, "na")</f>
        <v>79.167196354853175</v>
      </c>
      <c r="D35" s="40">
        <f>IFERROR('1a'!D36/'2a'!D35*100, "na")</f>
        <v>59.878884218892694</v>
      </c>
      <c r="E35" s="41">
        <f>IFERROR('1a'!E36/'2a'!E35*100, "na")</f>
        <v>56.787113244328282</v>
      </c>
      <c r="F35" s="39">
        <f>IFERROR('1a'!F36/'2a'!F35*100, "na")</f>
        <v>35.2590456802779</v>
      </c>
      <c r="G35" s="40">
        <f>IFERROR('1a'!G36/'2a'!G35*100, "na")</f>
        <v>86.830116856237026</v>
      </c>
      <c r="H35" s="40">
        <f>IFERROR('1a'!H36/'2a'!H35*100, "na")</f>
        <v>61.143884601398021</v>
      </c>
      <c r="I35" s="41">
        <f>IFERROR('1a'!I36/'2a'!I35*100, "na")</f>
        <v>70.608376222419594</v>
      </c>
      <c r="J35" s="282">
        <f>IFERROR('1a'!J36/'2a'!J35*100, "na")</f>
        <v>35.200668896321076</v>
      </c>
      <c r="K35" s="283">
        <f>IFERROR('1a'!K36/'2a'!K35*100, "na")</f>
        <v>88.981430765430503</v>
      </c>
      <c r="L35" s="283">
        <f>IFERROR('1a'!L36/'2a'!L35*100, "na")</f>
        <v>61.28076593054238</v>
      </c>
      <c r="M35" s="128">
        <f>IFERROR('1a'!M36/'2a'!M35*100, "na")</f>
        <v>56.551697889655784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(POWER(B14/B5,1/($A14-$A5))-1)*100</f>
        <v>-15.814410358736419</v>
      </c>
      <c r="C38" s="83">
        <f t="shared" ref="C38:M38" si="0">(POWER(C14/C5,1/($A14-$A5))-1)*100</f>
        <v>-0.38694396883002247</v>
      </c>
      <c r="D38" s="83">
        <f t="shared" si="0"/>
        <v>2.6527055941430122</v>
      </c>
      <c r="E38" s="84">
        <f t="shared" si="0"/>
        <v>3.1099667146376131</v>
      </c>
      <c r="F38" s="82">
        <f t="shared" si="0"/>
        <v>-15.814607073141806</v>
      </c>
      <c r="G38" s="83">
        <f t="shared" si="0"/>
        <v>-0.55185138508109244</v>
      </c>
      <c r="H38" s="83">
        <f t="shared" si="0"/>
        <v>2.6210793448219416</v>
      </c>
      <c r="I38" s="84">
        <f t="shared" si="0"/>
        <v>-0.69196912647739861</v>
      </c>
      <c r="J38" s="82">
        <f t="shared" si="0"/>
        <v>-15.828899060729073</v>
      </c>
      <c r="K38" s="83">
        <f t="shared" si="0"/>
        <v>-1.5424392977965939</v>
      </c>
      <c r="L38" s="83">
        <f t="shared" si="0"/>
        <v>2.6428942804973543</v>
      </c>
      <c r="M38" s="84">
        <f t="shared" si="0"/>
        <v>-0.99469365378650476</v>
      </c>
    </row>
    <row r="39" spans="1:13">
      <c r="A39" s="16" t="s">
        <v>71</v>
      </c>
      <c r="B39" s="37">
        <f>(POWER(B$24/B14,1/($A$24-$A$14))-1)*100</f>
        <v>-14.983669093225915</v>
      </c>
      <c r="C39" s="34">
        <f t="shared" ref="C39:M39" si="1">(POWER(C$24/C14,1/($A$24-$A$14))-1)*100</f>
        <v>-1.4991540793560687</v>
      </c>
      <c r="D39" s="34">
        <f t="shared" si="1"/>
        <v>-0.11295770087235146</v>
      </c>
      <c r="E39" s="38">
        <f t="shared" si="1"/>
        <v>0.94677371557470025</v>
      </c>
      <c r="F39" s="37">
        <f t="shared" si="1"/>
        <v>-14.830775360791826</v>
      </c>
      <c r="G39" s="34">
        <f t="shared" si="1"/>
        <v>-1.987127756245477</v>
      </c>
      <c r="H39" s="34">
        <f t="shared" si="1"/>
        <v>15.476303529255198</v>
      </c>
      <c r="I39" s="38">
        <f t="shared" si="1"/>
        <v>-3.6301540804679511</v>
      </c>
      <c r="J39" s="37">
        <f t="shared" si="1"/>
        <v>-14.865067388460062</v>
      </c>
      <c r="K39" s="34">
        <f t="shared" si="1"/>
        <v>-1.8582638813746444</v>
      </c>
      <c r="L39" s="34">
        <f t="shared" si="1"/>
        <v>-0.14206005636310248</v>
      </c>
      <c r="M39" s="38">
        <f t="shared" si="1"/>
        <v>-2.9004049117367314</v>
      </c>
    </row>
    <row r="40" spans="1:13">
      <c r="A40" s="16" t="s">
        <v>69</v>
      </c>
      <c r="B40" s="37">
        <f>(POWER(B$34/B24,1/($A$34-$A$24))-1)*100</f>
        <v>-10.100451470869254</v>
      </c>
      <c r="C40" s="34">
        <f t="shared" ref="C40:M40" si="2">(POWER(C$34/C24,1/($A$34-$A$24))-1)*100</f>
        <v>-2.1975605156123068</v>
      </c>
      <c r="D40" s="34">
        <f t="shared" si="2"/>
        <v>23.328534071630493</v>
      </c>
      <c r="E40" s="38">
        <f t="shared" si="2"/>
        <v>-3.5576057791646298</v>
      </c>
      <c r="F40" s="37">
        <f t="shared" si="2"/>
        <v>-10.310276054010847</v>
      </c>
      <c r="G40" s="34">
        <f t="shared" si="2"/>
        <v>-1.545419838308415</v>
      </c>
      <c r="H40" s="34">
        <f t="shared" si="2"/>
        <v>-2.9808981088038422</v>
      </c>
      <c r="I40" s="38">
        <f t="shared" si="2"/>
        <v>-3.3235212708373707</v>
      </c>
      <c r="J40" s="37">
        <f t="shared" si="2"/>
        <v>-10.274141394551883</v>
      </c>
      <c r="K40" s="34">
        <f t="shared" si="2"/>
        <v>-1.1850272756504743</v>
      </c>
      <c r="L40" s="34">
        <f t="shared" si="2"/>
        <v>-4.0147432936158083</v>
      </c>
      <c r="M40" s="38">
        <f t="shared" si="2"/>
        <v>-5.1729026260948991</v>
      </c>
    </row>
    <row r="41" spans="1:13">
      <c r="A41" s="17" t="s">
        <v>70</v>
      </c>
      <c r="B41" s="39">
        <f>(POWER(B34/B5,1/($A$34-$A$5))-1)*100</f>
        <v>-13.59423746344255</v>
      </c>
      <c r="C41" s="40">
        <f t="shared" ref="C41:M41" si="3">(POWER(C34/C5,1/($A$34-$A$5))-1)*100</f>
        <v>-1.3975548793710324</v>
      </c>
      <c r="D41" s="40">
        <f>(POWER(D34/D5,1/($A$34-$A$5))-1)*100</f>
        <v>8.3329871422243471</v>
      </c>
      <c r="E41" s="41">
        <f t="shared" si="3"/>
        <v>2.628537519002716E-2</v>
      </c>
      <c r="F41" s="39">
        <f t="shared" si="3"/>
        <v>-13.610385823524386</v>
      </c>
      <c r="G41" s="40">
        <f t="shared" si="3"/>
        <v>-1.3911515271003427</v>
      </c>
      <c r="H41" s="40">
        <f t="shared" si="3"/>
        <v>4.8345650898571568</v>
      </c>
      <c r="I41" s="41">
        <f t="shared" si="3"/>
        <v>-2.6211143074843846</v>
      </c>
      <c r="J41" s="39">
        <f t="shared" si="3"/>
        <v>-13.614935018429364</v>
      </c>
      <c r="K41" s="40">
        <f t="shared" si="3"/>
        <v>-1.5284960152031291</v>
      </c>
      <c r="L41" s="40">
        <f t="shared" si="3"/>
        <v>-0.65029135304421892</v>
      </c>
      <c r="M41" s="41">
        <f t="shared" si="3"/>
        <v>-3.1074206027539408</v>
      </c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 t="s">
        <v>180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" t="s">
        <v>98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>
      <c r="A46" s="396" t="s">
        <v>266</v>
      </c>
      <c r="B46" s="396"/>
      <c r="C46" s="396"/>
      <c r="D46" s="396"/>
      <c r="E46" s="396"/>
      <c r="F46" s="396"/>
      <c r="G46" s="396"/>
      <c r="H46" s="396"/>
      <c r="I46" s="396"/>
      <c r="J46" s="396"/>
    </row>
    <row r="47" spans="1:13">
      <c r="A47" s="396"/>
      <c r="B47" s="396"/>
      <c r="C47" s="396"/>
      <c r="D47" s="396"/>
      <c r="E47" s="396"/>
      <c r="F47" s="396"/>
      <c r="G47" s="396"/>
      <c r="H47" s="396"/>
      <c r="I47" s="396"/>
      <c r="J47" s="396"/>
    </row>
  </sheetData>
  <mergeCells count="5">
    <mergeCell ref="B3:E3"/>
    <mergeCell ref="F3:I3"/>
    <mergeCell ref="J3:M3"/>
    <mergeCell ref="A37:M37"/>
    <mergeCell ref="A46:J47"/>
  </mergeCells>
  <pageMargins left="0.7" right="0.7" top="0.75" bottom="0.75" header="0.3" footer="0.3"/>
  <pageSetup scale="71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M43"/>
  <sheetViews>
    <sheetView zoomScaleNormal="100" workbookViewId="0">
      <selection activeCell="B15" sqref="B15"/>
    </sheetView>
  </sheetViews>
  <sheetFormatPr defaultRowHeight="15"/>
  <cols>
    <col min="1" max="1" width="10.42578125" customWidth="1"/>
    <col min="2" max="2" width="12.7109375" bestFit="1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33.28515625" bestFit="1" customWidth="1"/>
    <col min="10" max="10" width="12.7109375" bestFit="1" customWidth="1"/>
    <col min="11" max="11" width="10.42578125" bestFit="1" customWidth="1"/>
    <col min="12" max="12" width="17.7109375" customWidth="1"/>
  </cols>
  <sheetData>
    <row r="1" spans="1:13">
      <c r="A1" s="387" t="s">
        <v>181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IFERROR('2a'!B5/'1k'!$B5*1000, "na")</f>
        <v>na</v>
      </c>
      <c r="C6" s="214" t="str">
        <f>IFERROR('2a'!C5/'1k'!$B5*1000, "na")</f>
        <v>na</v>
      </c>
      <c r="D6" s="214" t="str">
        <f>IFERROR('2a'!D5/'1k'!$B5*1000, "na")</f>
        <v>na</v>
      </c>
      <c r="E6" s="237" t="str">
        <f>IFERROR('2a'!E5/'1k'!$B5*1000, "na")</f>
        <v>na</v>
      </c>
      <c r="F6" s="236" t="str">
        <f>IFERROR('2a'!F5/'1k'!$C5*1000, "na")</f>
        <v>na</v>
      </c>
      <c r="G6" s="214" t="str">
        <f>IFERROR('2a'!G5/'1k'!$C5*1000, "na")</f>
        <v>na</v>
      </c>
      <c r="H6" s="214" t="str">
        <f>IFERROR('2a'!H5/'1k'!$C5*1000, "na")</f>
        <v>na</v>
      </c>
      <c r="I6" s="237" t="str">
        <f>IFERROR('2a'!I5/'1k'!$C5*1000, "na")</f>
        <v>na</v>
      </c>
      <c r="J6" s="236" t="str">
        <f>IFERROR('2a'!J5/'1k'!$D5*1000, "na")</f>
        <v>na</v>
      </c>
      <c r="K6" s="214" t="str">
        <f>IFERROR('2a'!K5/'1k'!$D5*1000, "na")</f>
        <v>na</v>
      </c>
      <c r="L6" s="214" t="str">
        <f>IFERROR('2a'!L5/'1k'!$D5*1000, "na")</f>
        <v>na</v>
      </c>
      <c r="M6" s="237" t="str">
        <f>IFERROR('2a'!M5/'1k'!$D5*1000, "na")</f>
        <v>na</v>
      </c>
    </row>
    <row r="7" spans="1:13">
      <c r="A7" s="185">
        <v>1982</v>
      </c>
      <c r="B7" s="216" t="str">
        <f>IFERROR('2a'!B6/'1k'!$B6*1000, "na")</f>
        <v>na</v>
      </c>
      <c r="C7" s="143" t="str">
        <f>IFERROR('2a'!C6/'1k'!$B6*1000, "na")</f>
        <v>na</v>
      </c>
      <c r="D7" s="143" t="str">
        <f>IFERROR('2a'!D6/'1k'!$B6*1000, "na")</f>
        <v>na</v>
      </c>
      <c r="E7" s="217" t="str">
        <f>IFERROR('2a'!E6/'1k'!$B6*1000, "na")</f>
        <v>na</v>
      </c>
      <c r="F7" s="216" t="str">
        <f>IFERROR('2a'!F6/'1k'!$C6*1000, "na")</f>
        <v>na</v>
      </c>
      <c r="G7" s="143" t="str">
        <f>IFERROR('2a'!G6/'1k'!$C6*1000, "na")</f>
        <v>na</v>
      </c>
      <c r="H7" s="143" t="str">
        <f>IFERROR('2a'!H6/'1k'!$C6*1000, "na")</f>
        <v>na</v>
      </c>
      <c r="I7" s="217" t="str">
        <f>IFERROR('2a'!I6/'1k'!$C6*1000, "na")</f>
        <v>na</v>
      </c>
      <c r="J7" s="216" t="str">
        <f>IFERROR('2a'!J6/'1k'!$D6*1000, "na")</f>
        <v>na</v>
      </c>
      <c r="K7" s="143" t="str">
        <f>IFERROR('2a'!K6/'1k'!$D6*1000, "na")</f>
        <v>na</v>
      </c>
      <c r="L7" s="143" t="str">
        <f>IFERROR('2a'!L6/'1k'!$D6*1000, "na")</f>
        <v>na</v>
      </c>
      <c r="M7" s="217" t="str">
        <f>IFERROR('2a'!M6/'1k'!$D6*1000, "na")</f>
        <v>na</v>
      </c>
    </row>
    <row r="8" spans="1:13">
      <c r="A8" s="185">
        <v>1983</v>
      </c>
      <c r="B8" s="216" t="str">
        <f>IFERROR('2a'!B7/'1k'!$B7*1000, "na")</f>
        <v>na</v>
      </c>
      <c r="C8" s="143" t="str">
        <f>IFERROR('2a'!C7/'1k'!$B7*1000, "na")</f>
        <v>na</v>
      </c>
      <c r="D8" s="143" t="str">
        <f>IFERROR('2a'!D7/'1k'!$B7*1000, "na")</f>
        <v>na</v>
      </c>
      <c r="E8" s="217" t="str">
        <f>IFERROR('2a'!E7/'1k'!$B7*1000, "na")</f>
        <v>na</v>
      </c>
      <c r="F8" s="216" t="str">
        <f>IFERROR('2a'!F7/'1k'!$C7*1000, "na")</f>
        <v>na</v>
      </c>
      <c r="G8" s="143" t="str">
        <f>IFERROR('2a'!G7/'1k'!$C7*1000, "na")</f>
        <v>na</v>
      </c>
      <c r="H8" s="143" t="str">
        <f>IFERROR('2a'!H7/'1k'!$C7*1000, "na")</f>
        <v>na</v>
      </c>
      <c r="I8" s="217" t="str">
        <f>IFERROR('2a'!I7/'1k'!$C7*1000, "na")</f>
        <v>na</v>
      </c>
      <c r="J8" s="216" t="str">
        <f>IFERROR('2a'!J7/'1k'!$D7*1000, "na")</f>
        <v>na</v>
      </c>
      <c r="K8" s="143" t="str">
        <f>IFERROR('2a'!K7/'1k'!$D7*1000, "na")</f>
        <v>na</v>
      </c>
      <c r="L8" s="143" t="str">
        <f>IFERROR('2a'!L7/'1k'!$D7*1000, "na")</f>
        <v>na</v>
      </c>
      <c r="M8" s="217" t="str">
        <f>IFERROR('2a'!M7/'1k'!$D7*1000, "na")</f>
        <v>na</v>
      </c>
    </row>
    <row r="9" spans="1:13">
      <c r="A9" s="185">
        <v>1984</v>
      </c>
      <c r="B9" s="216" t="str">
        <f>IFERROR('2a'!B8/'1k'!$B8*1000, "na")</f>
        <v>na</v>
      </c>
      <c r="C9" s="143" t="str">
        <f>IFERROR('2a'!C8/'1k'!$B8*1000, "na")</f>
        <v>na</v>
      </c>
      <c r="D9" s="143" t="str">
        <f>IFERROR('2a'!D8/'1k'!$B8*1000, "na")</f>
        <v>na</v>
      </c>
      <c r="E9" s="217" t="str">
        <f>IFERROR('2a'!E8/'1k'!$B8*1000, "na")</f>
        <v>na</v>
      </c>
      <c r="F9" s="216" t="str">
        <f>IFERROR('2a'!F8/'1k'!$C8*1000, "na")</f>
        <v>na</v>
      </c>
      <c r="G9" s="143" t="str">
        <f>IFERROR('2a'!G8/'1k'!$C8*1000, "na")</f>
        <v>na</v>
      </c>
      <c r="H9" s="143" t="str">
        <f>IFERROR('2a'!H8/'1k'!$C8*1000, "na")</f>
        <v>na</v>
      </c>
      <c r="I9" s="217" t="str">
        <f>IFERROR('2a'!I8/'1k'!$C8*1000, "na")</f>
        <v>na</v>
      </c>
      <c r="J9" s="216" t="str">
        <f>IFERROR('2a'!J8/'1k'!$D8*1000, "na")</f>
        <v>na</v>
      </c>
      <c r="K9" s="143" t="str">
        <f>IFERROR('2a'!K8/'1k'!$D8*1000, "na")</f>
        <v>na</v>
      </c>
      <c r="L9" s="143" t="str">
        <f>IFERROR('2a'!L8/'1k'!$D8*1000, "na")</f>
        <v>na</v>
      </c>
      <c r="M9" s="217" t="str">
        <f>IFERROR('2a'!M8/'1k'!$D8*1000, "na")</f>
        <v>na</v>
      </c>
    </row>
    <row r="10" spans="1:13">
      <c r="A10" s="185">
        <v>1985</v>
      </c>
      <c r="B10" s="216" t="str">
        <f>IFERROR('2a'!B9/'1k'!$B9*1000, "na")</f>
        <v>na</v>
      </c>
      <c r="C10" s="143" t="str">
        <f>IFERROR('2a'!C9/'1k'!$B9*1000, "na")</f>
        <v>na</v>
      </c>
      <c r="D10" s="143" t="str">
        <f>IFERROR('2a'!D9/'1k'!$B9*1000, "na")</f>
        <v>na</v>
      </c>
      <c r="E10" s="217" t="str">
        <f>IFERROR('2a'!E9/'1k'!$B9*1000, "na")</f>
        <v>na</v>
      </c>
      <c r="F10" s="216" t="str">
        <f>IFERROR('2a'!F9/'1k'!$C9*1000, "na")</f>
        <v>na</v>
      </c>
      <c r="G10" s="143" t="str">
        <f>IFERROR('2a'!G9/'1k'!$C9*1000, "na")</f>
        <v>na</v>
      </c>
      <c r="H10" s="143" t="str">
        <f>IFERROR('2a'!H9/'1k'!$C9*1000, "na")</f>
        <v>na</v>
      </c>
      <c r="I10" s="217" t="str">
        <f>IFERROR('2a'!I9/'1k'!$C9*1000, "na")</f>
        <v>na</v>
      </c>
      <c r="J10" s="216" t="str">
        <f>IFERROR('2a'!J9/'1k'!$D9*1000, "na")</f>
        <v>na</v>
      </c>
      <c r="K10" s="143" t="str">
        <f>IFERROR('2a'!K9/'1k'!$D9*1000, "na")</f>
        <v>na</v>
      </c>
      <c r="L10" s="143" t="str">
        <f>IFERROR('2a'!L9/'1k'!$D9*1000, "na")</f>
        <v>na</v>
      </c>
      <c r="M10" s="217" t="str">
        <f>IFERROR('2a'!M9/'1k'!$D9*1000, "na")</f>
        <v>na</v>
      </c>
    </row>
    <row r="11" spans="1:13">
      <c r="A11" s="185">
        <v>1986</v>
      </c>
      <c r="B11" s="216" t="str">
        <f>IFERROR('2a'!B10/'1k'!$B10*1000, "na")</f>
        <v>na</v>
      </c>
      <c r="C11" s="143" t="str">
        <f>IFERROR('2a'!C10/'1k'!$B10*1000, "na")</f>
        <v>na</v>
      </c>
      <c r="D11" s="143" t="str">
        <f>IFERROR('2a'!D10/'1k'!$B10*1000, "na")</f>
        <v>na</v>
      </c>
      <c r="E11" s="217" t="str">
        <f>IFERROR('2a'!E10/'1k'!$B10*1000, "na")</f>
        <v>na</v>
      </c>
      <c r="F11" s="216" t="str">
        <f>IFERROR('2a'!F10/'1k'!$C10*1000, "na")</f>
        <v>na</v>
      </c>
      <c r="G11" s="143" t="str">
        <f>IFERROR('2a'!G10/'1k'!$C10*1000, "na")</f>
        <v>na</v>
      </c>
      <c r="H11" s="143" t="str">
        <f>IFERROR('2a'!H10/'1k'!$C10*1000, "na")</f>
        <v>na</v>
      </c>
      <c r="I11" s="217" t="str">
        <f>IFERROR('2a'!I10/'1k'!$C10*1000, "na")</f>
        <v>na</v>
      </c>
      <c r="J11" s="216" t="str">
        <f>IFERROR('2a'!J10/'1k'!$D10*1000, "na")</f>
        <v>na</v>
      </c>
      <c r="K11" s="143" t="str">
        <f>IFERROR('2a'!K10/'1k'!$D10*1000, "na")</f>
        <v>na</v>
      </c>
      <c r="L11" s="143" t="str">
        <f>IFERROR('2a'!L10/'1k'!$D10*1000, "na")</f>
        <v>na</v>
      </c>
      <c r="M11" s="217" t="str">
        <f>IFERROR('2a'!M10/'1k'!$D10*1000, "na")</f>
        <v>na</v>
      </c>
    </row>
    <row r="12" spans="1:13">
      <c r="A12" s="185">
        <v>1987</v>
      </c>
      <c r="B12" s="216">
        <f>IFERROR('2a'!B11/'1k'!$B11*1000, "na")</f>
        <v>1.656919866552713E-2</v>
      </c>
      <c r="C12" s="143">
        <f>IFERROR('2a'!C11/'1k'!$B11*1000, "na")</f>
        <v>0.19783256617050538</v>
      </c>
      <c r="D12" s="143">
        <f>IFERROR('2a'!D11/'1k'!$B11*1000, "na")</f>
        <v>0.26861147143421127</v>
      </c>
      <c r="E12" s="217">
        <f>IFERROR('2a'!E11/'1k'!$B11*1000, "na")</f>
        <v>0.48301323627024378</v>
      </c>
      <c r="F12" s="216">
        <f>IFERROR('2a'!F11/'1k'!$C11*1000, "na")</f>
        <v>1.4484695632236616E-2</v>
      </c>
      <c r="G12" s="143">
        <f>IFERROR('2a'!G11/'1k'!$C11*1000, "na")</f>
        <v>6.8964232488822649E-2</v>
      </c>
      <c r="H12" s="143">
        <f>IFERROR('2a'!H11/'1k'!$C11*1000, "na")</f>
        <v>7.8787114524819443E-2</v>
      </c>
      <c r="I12" s="217">
        <f>IFERROR('2a'!I11/'1k'!$C11*1000, "na")</f>
        <v>0.16223604264587871</v>
      </c>
      <c r="J12" s="216" t="str">
        <f>IFERROR('2a'!J11/'1k'!$D11*1000, "na")</f>
        <v>na</v>
      </c>
      <c r="K12" s="143" t="str">
        <f>IFERROR('2a'!K11/'1k'!$D11*1000, "na")</f>
        <v>na</v>
      </c>
      <c r="L12" s="143" t="str">
        <f>IFERROR('2a'!L11/'1k'!$D11*1000, "na")</f>
        <v>na</v>
      </c>
      <c r="M12" s="217" t="str">
        <f>IFERROR('2a'!M11/'1k'!$D11*1000, "na")</f>
        <v>na</v>
      </c>
    </row>
    <row r="13" spans="1:13">
      <c r="A13" s="185">
        <v>1988</v>
      </c>
      <c r="B13" s="216">
        <f>IFERROR('2a'!B12/'1k'!$B12*1000, "na")</f>
        <v>2.2438218791038245E-2</v>
      </c>
      <c r="C13" s="143">
        <f>IFERROR('2a'!C12/'1k'!$B12*1000, "na")</f>
        <v>0.47190696008595645</v>
      </c>
      <c r="D13" s="143">
        <f>IFERROR('2a'!D12/'1k'!$B12*1000, "na")</f>
        <v>0.1241732659477098</v>
      </c>
      <c r="E13" s="217">
        <f>IFERROR('2a'!E12/'1k'!$B12*1000, "na")</f>
        <v>0.61851844482470453</v>
      </c>
      <c r="F13" s="216">
        <f>IFERROR('2a'!F12/'1k'!$C12*1000, "na")</f>
        <v>1.3837179689300136E-2</v>
      </c>
      <c r="G13" s="143">
        <f>IFERROR('2a'!G12/'1k'!$C12*1000, "na")</f>
        <v>5.9877029796626194E-2</v>
      </c>
      <c r="H13" s="143">
        <f>IFERROR('2a'!H12/'1k'!$C12*1000, "na")</f>
        <v>2.7722868334566268E-2</v>
      </c>
      <c r="I13" s="217">
        <f>IFERROR('2a'!I12/'1k'!$C12*1000, "na")</f>
        <v>0.1014370778204926</v>
      </c>
      <c r="J13" s="216" t="str">
        <f>IFERROR('2a'!J12/'1k'!$D12*1000, "na")</f>
        <v>na</v>
      </c>
      <c r="K13" s="143" t="str">
        <f>IFERROR('2a'!K12/'1k'!$D12*1000, "na")</f>
        <v>na</v>
      </c>
      <c r="L13" s="143" t="str">
        <f>IFERROR('2a'!L12/'1k'!$D12*1000, "na")</f>
        <v>na</v>
      </c>
      <c r="M13" s="217" t="str">
        <f>IFERROR('2a'!M12/'1k'!$D12*1000, "na")</f>
        <v>na</v>
      </c>
    </row>
    <row r="14" spans="1:13">
      <c r="A14" s="185">
        <v>1989</v>
      </c>
      <c r="B14" s="216">
        <f>IFERROR('2a'!B13/'1k'!$B13*1000, "na")</f>
        <v>3.4855202339401953E-2</v>
      </c>
      <c r="C14" s="143">
        <f>IFERROR('2a'!C13/'1k'!$B13*1000, "na")</f>
        <v>0.39486024540500531</v>
      </c>
      <c r="D14" s="143">
        <f>IFERROR('2a'!D13/'1k'!$B13*1000, "na")</f>
        <v>0.4667330005151909</v>
      </c>
      <c r="E14" s="217">
        <f>IFERROR('2a'!E13/'1k'!$B13*1000, "na")</f>
        <v>0.89644844825959813</v>
      </c>
      <c r="F14" s="216">
        <f>IFERROR('2a'!F13/'1k'!$C13*1000, "na")</f>
        <v>1.2458336056466899E-2</v>
      </c>
      <c r="G14" s="143">
        <f>IFERROR('2a'!G13/'1k'!$C13*1000, "na")</f>
        <v>6.6775514205420758E-2</v>
      </c>
      <c r="H14" s="143">
        <f>IFERROR('2a'!H13/'1k'!$C13*1000, "na")</f>
        <v>0.21783065065775351</v>
      </c>
      <c r="I14" s="217">
        <f>IFERROR('2a'!I13/'1k'!$C13*1000, "na")</f>
        <v>0.29706450091964115</v>
      </c>
      <c r="J14" s="216" t="str">
        <f>IFERROR('2a'!J13/'1k'!$D13*1000, "na")</f>
        <v>na</v>
      </c>
      <c r="K14" s="143" t="str">
        <f>IFERROR('2a'!K13/'1k'!$D13*1000, "na")</f>
        <v>na</v>
      </c>
      <c r="L14" s="143" t="str">
        <f>IFERROR('2a'!L13/'1k'!$D13*1000, "na")</f>
        <v>na</v>
      </c>
      <c r="M14" s="217" t="str">
        <f>IFERROR('2a'!M13/'1k'!$D13*1000, "na")</f>
        <v>na</v>
      </c>
    </row>
    <row r="15" spans="1:13">
      <c r="A15" s="185">
        <v>1990</v>
      </c>
      <c r="B15" s="216">
        <f>IFERROR('2a'!B14/'1k'!$B14*1000, "na")</f>
        <v>1.0505776899219523E-3</v>
      </c>
      <c r="C15" s="143">
        <f>IFERROR('2a'!C14/'1k'!$B14*1000, "na")</f>
        <v>0.43565062540472377</v>
      </c>
      <c r="D15" s="143">
        <f>IFERROR('2a'!D14/'1k'!$B14*1000, "na")</f>
        <v>0.21798251593333562</v>
      </c>
      <c r="E15" s="217">
        <f>IFERROR('2a'!E14/'1k'!$B14*1000, "na")</f>
        <v>0.65468371902798128</v>
      </c>
      <c r="F15" s="216">
        <f>IFERROR('2a'!F14/'1k'!$C14*1000, "na")</f>
        <v>1.4785505738155118E-2</v>
      </c>
      <c r="G15" s="143">
        <f>IFERROR('2a'!G14/'1k'!$C14*1000, "na")</f>
        <v>8.3035585234006865E-2</v>
      </c>
      <c r="H15" s="143">
        <f>IFERROR('2a'!H14/'1k'!$C14*1000, "na")</f>
        <v>3.4298846587459894E-2</v>
      </c>
      <c r="I15" s="217">
        <f>IFERROR('2a'!I14/'1k'!$C14*1000, "na")</f>
        <v>0.1321199375596219</v>
      </c>
      <c r="J15" s="216" t="str">
        <f>IFERROR('2a'!J14/'1k'!$D14*1000, "na")</f>
        <v>na</v>
      </c>
      <c r="K15" s="143" t="str">
        <f>IFERROR('2a'!K14/'1k'!$D14*1000, "na")</f>
        <v>na</v>
      </c>
      <c r="L15" s="143" t="str">
        <f>IFERROR('2a'!L14/'1k'!$D14*1000, "na")</f>
        <v>na</v>
      </c>
      <c r="M15" s="217" t="str">
        <f>IFERROR('2a'!M14/'1k'!$D14*1000, "na")</f>
        <v>na</v>
      </c>
    </row>
    <row r="16" spans="1:13">
      <c r="A16" s="185">
        <v>1991</v>
      </c>
      <c r="B16" s="216">
        <f>IFERROR('2a'!B15/'1k'!$B15*1000, "na")</f>
        <v>3.2561134049632026E-2</v>
      </c>
      <c r="C16" s="143">
        <f>IFERROR('2a'!C15/'1k'!$B15*1000, "na")</f>
        <v>0.64459942403108839</v>
      </c>
      <c r="D16" s="143">
        <f>IFERROR('2a'!D15/'1k'!$B15*1000, "na")</f>
        <v>1.3056635015363025</v>
      </c>
      <c r="E16" s="217">
        <f>IFERROR('2a'!E15/'1k'!$B15*1000, "na")</f>
        <v>1.9828240596170232</v>
      </c>
      <c r="F16" s="216">
        <f>IFERROR('2a'!F15/'1k'!$C15*1000, "na")</f>
        <v>2.2387634040611452E-2</v>
      </c>
      <c r="G16" s="143">
        <f>IFERROR('2a'!G15/'1k'!$C15*1000, "na")</f>
        <v>6.6602022967526042E-2</v>
      </c>
      <c r="H16" s="143">
        <f>IFERROR('2a'!H15/'1k'!$C15*1000, "na")</f>
        <v>3.5925516418329556E-2</v>
      </c>
      <c r="I16" s="217">
        <f>IFERROR('2a'!I15/'1k'!$C15*1000, "na")</f>
        <v>0.12491517342646706</v>
      </c>
      <c r="J16" s="216" t="str">
        <f>IFERROR('2a'!J15/'1k'!$D15*1000, "na")</f>
        <v>na</v>
      </c>
      <c r="K16" s="143" t="str">
        <f>IFERROR('2a'!K15/'1k'!$D15*1000, "na")</f>
        <v>na</v>
      </c>
      <c r="L16" s="143" t="str">
        <f>IFERROR('2a'!L15/'1k'!$D15*1000, "na")</f>
        <v>na</v>
      </c>
      <c r="M16" s="217" t="str">
        <f>IFERROR('2a'!M15/'1k'!$D15*1000, "na")</f>
        <v>na</v>
      </c>
    </row>
    <row r="17" spans="1:13">
      <c r="A17" s="185">
        <v>1992</v>
      </c>
      <c r="B17" s="216">
        <f>IFERROR('2a'!B16/'1k'!$B16*1000, "na")</f>
        <v>9.3073129543062724E-2</v>
      </c>
      <c r="C17" s="143">
        <f>IFERROR('2a'!C16/'1k'!$B16*1000, "na")</f>
        <v>0.75711287598815447</v>
      </c>
      <c r="D17" s="143" t="str">
        <f>IFERROR('2a'!D16/'1k'!$B16*1000, "na")</f>
        <v>na</v>
      </c>
      <c r="E17" s="217" t="str">
        <f>IFERROR('2a'!E16/'1k'!$B16*1000, "na")</f>
        <v>na</v>
      </c>
      <c r="F17" s="216">
        <f>IFERROR('2a'!F16/'1k'!$C16*1000, "na")</f>
        <v>2.4788786065921671E-2</v>
      </c>
      <c r="G17" s="143">
        <f>IFERROR('2a'!G16/'1k'!$C16*1000, "na")</f>
        <v>6.0500748194573954E-2</v>
      </c>
      <c r="H17" s="143" t="str">
        <f>IFERROR('2a'!H16/'1k'!$C16*1000, "na")</f>
        <v>na</v>
      </c>
      <c r="I17" s="217" t="str">
        <f>IFERROR('2a'!I16/'1k'!$C16*1000, "na")</f>
        <v>na</v>
      </c>
      <c r="J17" s="216" t="str">
        <f>IFERROR('2a'!J16/'1k'!$D16*1000, "na")</f>
        <v>na</v>
      </c>
      <c r="K17" s="143" t="str">
        <f>IFERROR('2a'!K16/'1k'!$D16*1000, "na")</f>
        <v>na</v>
      </c>
      <c r="L17" s="143" t="str">
        <f>IFERROR('2a'!L16/'1k'!$D16*1000, "na")</f>
        <v>na</v>
      </c>
      <c r="M17" s="217" t="str">
        <f>IFERROR('2a'!M16/'1k'!$D16*1000, "na")</f>
        <v>na</v>
      </c>
    </row>
    <row r="18" spans="1:13">
      <c r="A18" s="185">
        <v>1993</v>
      </c>
      <c r="B18" s="216">
        <f>IFERROR('2a'!B17/'1k'!$B17*1000, "na")</f>
        <v>0.19906431099449906</v>
      </c>
      <c r="C18" s="143">
        <f>IFERROR('2a'!C17/'1k'!$B17*1000, "na")</f>
        <v>0.53108984576150653</v>
      </c>
      <c r="D18" s="143" t="str">
        <f>IFERROR('2a'!D17/'1k'!$B17*1000, "na")</f>
        <v>na</v>
      </c>
      <c r="E18" s="217" t="str">
        <f>IFERROR('2a'!E17/'1k'!$B17*1000, "na")</f>
        <v>na</v>
      </c>
      <c r="F18" s="216">
        <f>IFERROR('2a'!F17/'1k'!$C17*1000, "na")</f>
        <v>1.1190559141764065E-2</v>
      </c>
      <c r="G18" s="143">
        <f>IFERROR('2a'!G17/'1k'!$C17*1000, "na")</f>
        <v>0.11203706138332697</v>
      </c>
      <c r="H18" s="143" t="str">
        <f>IFERROR('2a'!H17/'1k'!$C17*1000, "na")</f>
        <v>na</v>
      </c>
      <c r="I18" s="217" t="str">
        <f>IFERROR('2a'!I17/'1k'!$C17*1000, "na")</f>
        <v>na</v>
      </c>
      <c r="J18" s="216" t="str">
        <f>IFERROR('2a'!J17/'1k'!$D17*1000, "na")</f>
        <v>na</v>
      </c>
      <c r="K18" s="143" t="str">
        <f>IFERROR('2a'!K17/'1k'!$D17*1000, "na")</f>
        <v>na</v>
      </c>
      <c r="L18" s="143" t="str">
        <f>IFERROR('2a'!L17/'1k'!$D17*1000, "na")</f>
        <v>na</v>
      </c>
      <c r="M18" s="217" t="str">
        <f>IFERROR('2a'!M17/'1k'!$D17*1000, "na")</f>
        <v>na</v>
      </c>
    </row>
    <row r="19" spans="1:13">
      <c r="A19" s="185">
        <v>1994</v>
      </c>
      <c r="B19" s="216">
        <f>IFERROR('2a'!B18/'1k'!$B18*1000, "na")</f>
        <v>3.7368933286813454E-3</v>
      </c>
      <c r="C19" s="143">
        <f>IFERROR('2a'!C18/'1k'!$B18*1000, "na")</f>
        <v>0.34279339662486003</v>
      </c>
      <c r="D19" s="143">
        <f>IFERROR('2a'!D18/'1k'!$B18*1000, "na")</f>
        <v>0.25038195273334923</v>
      </c>
      <c r="E19" s="217">
        <f>IFERROR('2a'!E18/'1k'!$B18*1000, "na")</f>
        <v>0.59691224268689058</v>
      </c>
      <c r="F19" s="216">
        <f>IFERROR('2a'!F18/'1k'!$C18*1000, "na")</f>
        <v>2.5466027245595459E-2</v>
      </c>
      <c r="G19" s="143">
        <f>IFERROR('2a'!G18/'1k'!$C18*1000, "na")</f>
        <v>0.11207819870992586</v>
      </c>
      <c r="H19" s="143" t="str">
        <f>IFERROR('2a'!H18/'1k'!$C18*1000, "na")</f>
        <v>na</v>
      </c>
      <c r="I19" s="217" t="str">
        <f>IFERROR('2a'!I18/'1k'!$C18*1000, "na")</f>
        <v>na</v>
      </c>
      <c r="J19" s="216" t="str">
        <f>IFERROR('2a'!J18/'1k'!$D18*1000, "na")</f>
        <v>na</v>
      </c>
      <c r="K19" s="143" t="str">
        <f>IFERROR('2a'!K18/'1k'!$D18*1000, "na")</f>
        <v>na</v>
      </c>
      <c r="L19" s="143" t="str">
        <f>IFERROR('2a'!L18/'1k'!$D18*1000, "na")</f>
        <v>na</v>
      </c>
      <c r="M19" s="217" t="str">
        <f>IFERROR('2a'!M18/'1k'!$D18*1000, "na")</f>
        <v>na</v>
      </c>
    </row>
    <row r="20" spans="1:13">
      <c r="A20" s="185">
        <v>1995</v>
      </c>
      <c r="B20" s="216">
        <f>IFERROR('2a'!B19/'1k'!$B19*1000, "na")</f>
        <v>3.3103958767408709E-2</v>
      </c>
      <c r="C20" s="143">
        <f>IFERROR('2a'!C19/'1k'!$B19*1000, "na")</f>
        <v>0.42261297207014942</v>
      </c>
      <c r="D20" s="143" t="str">
        <f>IFERROR('2a'!D19/'1k'!$B19*1000, "na")</f>
        <v>na</v>
      </c>
      <c r="E20" s="217" t="str">
        <f>IFERROR('2a'!E19/'1k'!$B19*1000, "na")</f>
        <v>na</v>
      </c>
      <c r="F20" s="216">
        <f>IFERROR('2a'!F19/'1k'!$C19*1000, "na")</f>
        <v>8.2368280634111918E-2</v>
      </c>
      <c r="G20" s="143">
        <f>IFERROR('2a'!G19/'1k'!$C19*1000, "na")</f>
        <v>0.17942406664715907</v>
      </c>
      <c r="H20" s="143" t="str">
        <f>IFERROR('2a'!H19/'1k'!$C19*1000, "na")</f>
        <v>na</v>
      </c>
      <c r="I20" s="217" t="str">
        <f>IFERROR('2a'!I19/'1k'!$C19*1000, "na")</f>
        <v>na</v>
      </c>
      <c r="J20" s="216" t="str">
        <f>IFERROR('2a'!J19/'1k'!$D19*1000, "na")</f>
        <v>na</v>
      </c>
      <c r="K20" s="143" t="str">
        <f>IFERROR('2a'!K19/'1k'!$D19*1000, "na")</f>
        <v>na</v>
      </c>
      <c r="L20" s="143" t="str">
        <f>IFERROR('2a'!L19/'1k'!$D19*1000, "na")</f>
        <v>na</v>
      </c>
      <c r="M20" s="217" t="str">
        <f>IFERROR('2a'!M19/'1k'!$D19*1000, "na")</f>
        <v>na</v>
      </c>
    </row>
    <row r="21" spans="1:13">
      <c r="A21" s="185">
        <v>1996</v>
      </c>
      <c r="B21" s="216">
        <f>IFERROR('2a'!B20/'1k'!$B20*1000, "na")</f>
        <v>8.1973278442832614E-2</v>
      </c>
      <c r="C21" s="143">
        <f>IFERROR('2a'!C20/'1k'!$B20*1000, "na")</f>
        <v>0.47052233620181277</v>
      </c>
      <c r="D21" s="143">
        <f>IFERROR('2a'!D20/'1k'!$B20*1000, "na")</f>
        <v>0.51238792459066884</v>
      </c>
      <c r="E21" s="217">
        <f>IFERROR('2a'!E20/'1k'!$B20*1000, "na")</f>
        <v>1.0648835392353142</v>
      </c>
      <c r="F21" s="216">
        <f>IFERROR('2a'!F20/'1k'!$C20*1000, "na")</f>
        <v>0.19149569438825639</v>
      </c>
      <c r="G21" s="143">
        <f>IFERROR('2a'!G20/'1k'!$C20*1000, "na")</f>
        <v>0.30599318037334566</v>
      </c>
      <c r="H21" s="143" t="str">
        <f>IFERROR('2a'!H20/'1k'!$C20*1000, "na")</f>
        <v>na</v>
      </c>
      <c r="I21" s="217" t="str">
        <f>IFERROR('2a'!I20/'1k'!$C20*1000, "na")</f>
        <v>na</v>
      </c>
      <c r="J21" s="216" t="str">
        <f>IFERROR('2a'!J20/'1k'!$D20*1000, "na")</f>
        <v>na</v>
      </c>
      <c r="K21" s="143" t="str">
        <f>IFERROR('2a'!K20/'1k'!$D20*1000, "na")</f>
        <v>na</v>
      </c>
      <c r="L21" s="143" t="str">
        <f>IFERROR('2a'!L20/'1k'!$D20*1000, "na")</f>
        <v>na</v>
      </c>
      <c r="M21" s="217" t="str">
        <f>IFERROR('2a'!M20/'1k'!$D20*1000, "na")</f>
        <v>na</v>
      </c>
    </row>
    <row r="22" spans="1:13">
      <c r="A22" s="185">
        <v>1997</v>
      </c>
      <c r="B22" s="216">
        <f>IFERROR('2a'!B21/'1k'!$B21*1000, "na")</f>
        <v>0.39252564102564108</v>
      </c>
      <c r="C22" s="143">
        <f>IFERROR('2a'!C21/'1k'!$B21*1000, "na")</f>
        <v>1.0145467032967033</v>
      </c>
      <c r="D22" s="143">
        <f>IFERROR('2a'!D21/'1k'!$B21*1000, "na")</f>
        <v>2.994645604395604</v>
      </c>
      <c r="E22" s="217">
        <f>IFERROR('2a'!E21/'1k'!$B21*1000, "na")</f>
        <v>4.4017179487179483</v>
      </c>
      <c r="F22" s="216">
        <f>IFERROR('2a'!F21/'1k'!$C21*1000, "na")</f>
        <v>0.36626704672479315</v>
      </c>
      <c r="G22" s="143">
        <f>IFERROR('2a'!G21/'1k'!$C21*1000, "na")</f>
        <v>0.79458696624189584</v>
      </c>
      <c r="H22" s="143">
        <f>IFERROR('2a'!H21/'1k'!$C21*1000, "na")</f>
        <v>1.4930394331802779E-2</v>
      </c>
      <c r="I22" s="217">
        <f>IFERROR('2a'!I21/'1k'!$C21*1000, "na")</f>
        <v>1.1757844072984918</v>
      </c>
      <c r="J22" s="216">
        <f>IFERROR('2a'!J21/'1k'!$D21*1000, "na")</f>
        <v>0.13591135693695014</v>
      </c>
      <c r="K22" s="143">
        <f>IFERROR('2a'!K21/'1k'!$D21*1000, "na")</f>
        <v>0.37962511994915604</v>
      </c>
      <c r="L22" s="143">
        <f>IFERROR('2a'!L21/'1k'!$D21*1000, "na")</f>
        <v>0.26265387679198848</v>
      </c>
      <c r="M22" s="217">
        <f>IFERROR('2a'!M21/'1k'!$D21*1000, "na")</f>
        <v>0.77819035367809475</v>
      </c>
    </row>
    <row r="23" spans="1:13">
      <c r="A23" s="185">
        <v>1998</v>
      </c>
      <c r="B23" s="216">
        <f>IFERROR('2a'!B22/'1k'!$B22*1000, "na")</f>
        <v>0.57476973963192268</v>
      </c>
      <c r="C23" s="143">
        <f>IFERROR('2a'!C22/'1k'!$B22*1000, "na")</f>
        <v>1.1376346365872276</v>
      </c>
      <c r="D23" s="143">
        <f>IFERROR('2a'!D22/'1k'!$B22*1000, "na")</f>
        <v>0.69359087439572553</v>
      </c>
      <c r="E23" s="217">
        <f>IFERROR('2a'!E22/'1k'!$B22*1000, "na")</f>
        <v>2.4059952506148758</v>
      </c>
      <c r="F23" s="216">
        <f>IFERROR('2a'!F22/'1k'!$C22*1000, "na")</f>
        <v>0.99937784427175613</v>
      </c>
      <c r="G23" s="143">
        <f>IFERROR('2a'!G22/'1k'!$C22*1000, "na")</f>
        <v>1.0289288628794508</v>
      </c>
      <c r="H23" s="143">
        <f>IFERROR('2a'!H22/'1k'!$C22*1000, "na")</f>
        <v>7.9257309640564919E-2</v>
      </c>
      <c r="I23" s="217">
        <f>IFERROR('2a'!I22/'1k'!$C22*1000, "na")</f>
        <v>2.1075640167917715</v>
      </c>
      <c r="J23" s="216">
        <f>IFERROR('2a'!J22/'1k'!$D22*1000, "na")</f>
        <v>0.21312478434653565</v>
      </c>
      <c r="K23" s="143">
        <f>IFERROR('2a'!K22/'1k'!$D22*1000, "na")</f>
        <v>0.43228023194388887</v>
      </c>
      <c r="L23" s="143">
        <f>IFERROR('2a'!L22/'1k'!$D22*1000, "na")</f>
        <v>0.24224277312797526</v>
      </c>
      <c r="M23" s="217">
        <f>IFERROR('2a'!M22/'1k'!$D22*1000, "na")</f>
        <v>0.88764778941839972</v>
      </c>
    </row>
    <row r="24" spans="1:13">
      <c r="A24" s="185">
        <v>1999</v>
      </c>
      <c r="B24" s="216">
        <f>IFERROR('2a'!B23/'1k'!$B23*1000, "na")</f>
        <v>0.54661913426141406</v>
      </c>
      <c r="C24" s="143">
        <f>IFERROR('2a'!C23/'1k'!$B23*1000, "na")</f>
        <v>1.6660894642107353</v>
      </c>
      <c r="D24" s="143">
        <f>IFERROR('2a'!D23/'1k'!$B23*1000, "na")</f>
        <v>0.85357990293885011</v>
      </c>
      <c r="E24" s="217">
        <f>IFERROR('2a'!E23/'1k'!$B23*1000, "na")</f>
        <v>3.0662885014109995</v>
      </c>
      <c r="F24" s="216">
        <f>IFERROR('2a'!F23/'1k'!$C23*1000, "na")</f>
        <v>0.16391697229997104</v>
      </c>
      <c r="G24" s="143">
        <f>IFERROR('2a'!G23/'1k'!$C23*1000, "na")</f>
        <v>0.52192416272560571</v>
      </c>
      <c r="H24" s="143">
        <f>IFERROR('2a'!H23/'1k'!$C23*1000, "na")</f>
        <v>8.0721375028150431E-3</v>
      </c>
      <c r="I24" s="217">
        <f>IFERROR('2a'!I23/'1k'!$C23*1000, "na")</f>
        <v>0.69391327252839174</v>
      </c>
      <c r="J24" s="216">
        <f>IFERROR('2a'!J23/'1k'!$D23*1000, "na")</f>
        <v>0.2752173239934953</v>
      </c>
      <c r="K24" s="143">
        <f>IFERROR('2a'!K23/'1k'!$D23*1000, "na")</f>
        <v>0.44377970503368391</v>
      </c>
      <c r="L24" s="143">
        <f>IFERROR('2a'!L23/'1k'!$D23*1000, "na")</f>
        <v>0.28596024895210115</v>
      </c>
      <c r="M24" s="217">
        <f>IFERROR('2a'!M23/'1k'!$D23*1000, "na")</f>
        <v>1.0049572779792804</v>
      </c>
    </row>
    <row r="25" spans="1:13">
      <c r="A25" s="185">
        <v>2000</v>
      </c>
      <c r="B25" s="216">
        <f>IFERROR('2a'!B24/'1k'!$B24*1000, "na")</f>
        <v>0.14053478427261684</v>
      </c>
      <c r="C25" s="143">
        <f>IFERROR('2a'!C24/'1k'!$B24*1000, "na")</f>
        <v>1.9321977071165906</v>
      </c>
      <c r="D25" s="143">
        <f>IFERROR('2a'!D24/'1k'!$B24*1000, "na")</f>
        <v>0.31890297675502088</v>
      </c>
      <c r="E25" s="217">
        <f>IFERROR('2a'!E24/'1k'!$B24*1000, "na")</f>
        <v>2.3916354681442282</v>
      </c>
      <c r="F25" s="216">
        <f>IFERROR('2a'!F24/'1k'!$C24*1000, "na")</f>
        <v>0.43050890654724511</v>
      </c>
      <c r="G25" s="143">
        <f>IFERROR('2a'!G24/'1k'!$C24*1000, "na")</f>
        <v>1.1584063788536632</v>
      </c>
      <c r="H25" s="143">
        <f>IFERROR('2a'!H24/'1k'!$C24*1000, "na")</f>
        <v>0.17690327953906226</v>
      </c>
      <c r="I25" s="217">
        <f>IFERROR('2a'!I24/'1k'!$C24*1000, "na")</f>
        <v>1.7658185649399705</v>
      </c>
      <c r="J25" s="216">
        <f>IFERROR('2a'!J24/'1k'!$D24*1000, "na")</f>
        <v>0.33180050544421902</v>
      </c>
      <c r="K25" s="143">
        <f>IFERROR('2a'!K24/'1k'!$D24*1000, "na")</f>
        <v>0.44897582314913509</v>
      </c>
      <c r="L25" s="143">
        <f>IFERROR('2a'!L24/'1k'!$D24*1000, "na")</f>
        <v>0.35507617142826869</v>
      </c>
      <c r="M25" s="217">
        <f>IFERROR('2a'!M24/'1k'!$D24*1000, "na")</f>
        <v>1.1358525000216229</v>
      </c>
    </row>
    <row r="26" spans="1:13">
      <c r="A26" s="185">
        <v>2001</v>
      </c>
      <c r="B26" s="216">
        <f>IFERROR('2a'!B25/'1k'!$B25*1000, "na")</f>
        <v>2.7921262041044257E-2</v>
      </c>
      <c r="C26" s="143">
        <f>IFERROR('2a'!C25/'1k'!$B25*1000, "na")</f>
        <v>1.406471251071977</v>
      </c>
      <c r="D26" s="143">
        <f>IFERROR('2a'!D25/'1k'!$B25*1000, "na")</f>
        <v>1.2539638220218983E-3</v>
      </c>
      <c r="E26" s="217">
        <f>IFERROR('2a'!E25/'1k'!$B25*1000, "na")</f>
        <v>1.4356464769350434</v>
      </c>
      <c r="F26" s="216">
        <f>IFERROR('2a'!F25/'1k'!$C25*1000, "na")</f>
        <v>1.8937325981328824E-3</v>
      </c>
      <c r="G26" s="143">
        <f>IFERROR('2a'!G25/'1k'!$C25*1000, "na")</f>
        <v>0.82668309038961996</v>
      </c>
      <c r="H26" s="143">
        <f>IFERROR('2a'!H25/'1k'!$C25*1000, "na")</f>
        <v>9.2013794107477578E-3</v>
      </c>
      <c r="I26" s="217">
        <f>IFERROR('2a'!I25/'1k'!$C25*1000, "na")</f>
        <v>0.83777820239850054</v>
      </c>
      <c r="J26" s="216">
        <f>IFERROR('2a'!J25/'1k'!$D25*1000, "na")</f>
        <v>0.3129370282904626</v>
      </c>
      <c r="K26" s="143">
        <f>IFERROR('2a'!K25/'1k'!$D25*1000, "na")</f>
        <v>0.48505893961111224</v>
      </c>
      <c r="L26" s="143">
        <f>IFERROR('2a'!L25/'1k'!$D25*1000, "na")</f>
        <v>0.35916815748252023</v>
      </c>
      <c r="M26" s="217">
        <f>IFERROR('2a'!M25/'1k'!$D25*1000, "na")</f>
        <v>1.157164125384095</v>
      </c>
    </row>
    <row r="27" spans="1:13">
      <c r="A27" s="185">
        <v>2002</v>
      </c>
      <c r="B27" s="216">
        <f>IFERROR('2a'!B26/'1k'!$B26*1000, "na")</f>
        <v>0.3000329359990469</v>
      </c>
      <c r="C27" s="143">
        <f>IFERROR('2a'!C26/'1k'!$B26*1000, "na")</f>
        <v>1.02348617038423</v>
      </c>
      <c r="D27" s="143">
        <f>IFERROR('2a'!D26/'1k'!$B26*1000, "na")</f>
        <v>3.2138877793428208E-2</v>
      </c>
      <c r="E27" s="217">
        <f>IFERROR('2a'!E26/'1k'!$B26*1000, "na")</f>
        <v>1.3556579841767051</v>
      </c>
      <c r="F27" s="216">
        <f>IFERROR('2a'!F26/'1k'!$C26*1000, "na")</f>
        <v>2.8837205140136737E-2</v>
      </c>
      <c r="G27" s="143">
        <f>IFERROR('2a'!G26/'1k'!$C26*1000, "na")</f>
        <v>0.66431837706267671</v>
      </c>
      <c r="H27" s="143">
        <f>IFERROR('2a'!H26/'1k'!$C26*1000, "na")</f>
        <v>3.1119125174499766E-2</v>
      </c>
      <c r="I27" s="217">
        <f>IFERROR('2a'!I26/'1k'!$C26*1000, "na")</f>
        <v>0.72427470737731314</v>
      </c>
      <c r="J27" s="216">
        <f>IFERROR('2a'!J26/'1k'!$D26*1000, "na")</f>
        <v>0.35344093351518913</v>
      </c>
      <c r="K27" s="143">
        <f>IFERROR('2a'!K26/'1k'!$D26*1000, "na")</f>
        <v>0.47110723841102536</v>
      </c>
      <c r="L27" s="143">
        <f>IFERROR('2a'!L26/'1k'!$D26*1000, "na")</f>
        <v>0.32147270314962079</v>
      </c>
      <c r="M27" s="217">
        <f>IFERROR('2a'!M26/'1k'!$D26*1000, "na")</f>
        <v>1.1460208750758352</v>
      </c>
    </row>
    <row r="28" spans="1:13">
      <c r="A28" s="185">
        <v>2003</v>
      </c>
      <c r="B28" s="216">
        <f>IFERROR('2a'!B27/'1k'!$B27*1000, "na")</f>
        <v>0.69750337684949448</v>
      </c>
      <c r="C28" s="143">
        <f>IFERROR('2a'!C27/'1k'!$B27*1000, "na")</f>
        <v>1.0296186837368855</v>
      </c>
      <c r="D28" s="143">
        <f>IFERROR('2a'!D27/'1k'!$B27*1000, "na")</f>
        <v>0.12475688410928902</v>
      </c>
      <c r="E28" s="217">
        <f>IFERROR('2a'!E27/'1k'!$B27*1000, "na")</f>
        <v>1.8518789446956692</v>
      </c>
      <c r="F28" s="216">
        <f>IFERROR('2a'!F27/'1k'!$C27*1000, "na")</f>
        <v>0.21202646862717575</v>
      </c>
      <c r="G28" s="143">
        <f>IFERROR('2a'!G27/'1k'!$C27*1000, "na")</f>
        <v>0.81368547339977537</v>
      </c>
      <c r="H28" s="143">
        <f>IFERROR('2a'!H27/'1k'!$C27*1000, "na")</f>
        <v>4.3790137212240315E-2</v>
      </c>
      <c r="I28" s="217">
        <f>IFERROR('2a'!I27/'1k'!$C27*1000, "na")</f>
        <v>1.0695020792391916</v>
      </c>
      <c r="J28" s="216">
        <f>IFERROR('2a'!J27/'1k'!$D27*1000, "na")</f>
        <v>0.41391607224039095</v>
      </c>
      <c r="K28" s="143">
        <f>IFERROR('2a'!K27/'1k'!$D27*1000, "na")</f>
        <v>0.49511030160708264</v>
      </c>
      <c r="L28" s="143">
        <f>IFERROR('2a'!L27/'1k'!$D27*1000, "na")</f>
        <v>0.31502973221988045</v>
      </c>
      <c r="M28" s="217">
        <f>IFERROR('2a'!M27/'1k'!$D27*1000, "na")</f>
        <v>1.224056106067354</v>
      </c>
    </row>
    <row r="29" spans="1:13">
      <c r="A29" s="185">
        <v>2004</v>
      </c>
      <c r="B29" s="216">
        <f>IFERROR('2a'!B28/'1k'!$B28*1000, "na")</f>
        <v>1.0082134846285791</v>
      </c>
      <c r="C29" s="143">
        <f>IFERROR('2a'!C28/'1k'!$B28*1000, "na")</f>
        <v>1.6033025052777412</v>
      </c>
      <c r="D29" s="143">
        <f>IFERROR('2a'!D28/'1k'!$B28*1000, "na")</f>
        <v>0.16615298027444253</v>
      </c>
      <c r="E29" s="217">
        <f>IFERROR('2a'!E28/'1k'!$B28*1000, "na")</f>
        <v>2.7776689701807626</v>
      </c>
      <c r="F29" s="216">
        <f>IFERROR('2a'!F28/'1k'!$C28*1000, "na")</f>
        <v>0.27241439962476549</v>
      </c>
      <c r="G29" s="143">
        <f>IFERROR('2a'!G28/'1k'!$C28*1000, "na")</f>
        <v>1.6286092870544089</v>
      </c>
      <c r="H29" s="143">
        <f>IFERROR('2a'!H28/'1k'!$C28*1000, "na")</f>
        <v>6.1873827392120079E-2</v>
      </c>
      <c r="I29" s="217">
        <f>IFERROR('2a'!I28/'1k'!$C28*1000, "na")</f>
        <v>1.9628975140712945</v>
      </c>
      <c r="J29" s="216">
        <f>IFERROR('2a'!J28/'1k'!$D28*1000, "na")</f>
        <v>0.53793890301553959</v>
      </c>
      <c r="K29" s="143">
        <f>IFERROR('2a'!K28/'1k'!$D28*1000, "na")</f>
        <v>0.54423083639740499</v>
      </c>
      <c r="L29" s="143">
        <f>IFERROR('2a'!L28/'1k'!$D28*1000, "na")</f>
        <v>0.32731750311429297</v>
      </c>
      <c r="M29" s="217">
        <f>IFERROR('2a'!M28/'1k'!$D28*1000, "na")</f>
        <v>1.4094872425272376</v>
      </c>
    </row>
    <row r="30" spans="1:13">
      <c r="A30" s="185">
        <v>2005</v>
      </c>
      <c r="B30" s="216">
        <f>IFERROR('2a'!B29/'1k'!$B29*1000, "na")</f>
        <v>1.4346544010101125</v>
      </c>
      <c r="C30" s="143">
        <f>IFERROR('2a'!C29/'1k'!$B29*1000, "na")</f>
        <v>2.3318903149152423</v>
      </c>
      <c r="D30" s="143">
        <f>IFERROR('2a'!D29/'1k'!$B29*1000, "na")</f>
        <v>0.16586771285501981</v>
      </c>
      <c r="E30" s="217">
        <f>IFERROR('2a'!E29/'1k'!$B29*1000, "na")</f>
        <v>3.9324124287803746</v>
      </c>
      <c r="F30" s="216">
        <f>IFERROR('2a'!F29/'1k'!$C29*1000, "na")</f>
        <v>0.52904564845979918</v>
      </c>
      <c r="G30" s="143">
        <f>IFERROR('2a'!G29/'1k'!$C29*1000, "na")</f>
        <v>2.3456231393290845</v>
      </c>
      <c r="H30" s="143">
        <f>IFERROR('2a'!H29/'1k'!$C29*1000, "na")</f>
        <v>0.14345708819708025</v>
      </c>
      <c r="I30" s="217">
        <f>IFERROR('2a'!I29/'1k'!$C29*1000, "na")</f>
        <v>3.0181258759859637</v>
      </c>
      <c r="J30" s="216">
        <f>IFERROR('2a'!J29/'1k'!$D29*1000, "na")</f>
        <v>0.66585459317509355</v>
      </c>
      <c r="K30" s="143">
        <f>IFERROR('2a'!K29/'1k'!$D29*1000, "na")</f>
        <v>0.62624516115196771</v>
      </c>
      <c r="L30" s="143">
        <f>IFERROR('2a'!L29/'1k'!$D29*1000, "na")</f>
        <v>0.33576322809935399</v>
      </c>
      <c r="M30" s="217">
        <f>IFERROR('2a'!M29/'1k'!$D29*1000, "na")</f>
        <v>1.6278629824264153</v>
      </c>
    </row>
    <row r="31" spans="1:13">
      <c r="A31" s="185">
        <v>2006</v>
      </c>
      <c r="B31" s="216">
        <f>IFERROR('2a'!B30/'1k'!$B30*1000, "na")</f>
        <v>1.2313084295394654</v>
      </c>
      <c r="C31" s="143">
        <f>IFERROR('2a'!C30/'1k'!$B30*1000, "na")</f>
        <v>1.9683764823064374</v>
      </c>
      <c r="D31" s="143">
        <f>IFERROR('2a'!D30/'1k'!$B30*1000, "na")</f>
        <v>0.22038034100890952</v>
      </c>
      <c r="E31" s="217">
        <f>IFERROR('2a'!E30/'1k'!$B30*1000, "na")</f>
        <v>3.4200652528548123</v>
      </c>
      <c r="F31" s="216">
        <f>IFERROR('2a'!F30/'1k'!$C30*1000, "na")</f>
        <v>0.55169026907737828</v>
      </c>
      <c r="G31" s="143">
        <f>IFERROR('2a'!G30/'1k'!$C30*1000, "na")</f>
        <v>1.9671681560431078</v>
      </c>
      <c r="H31" s="143">
        <f>IFERROR('2a'!H30/'1k'!$C30*1000, "na")</f>
        <v>0.12654751655137608</v>
      </c>
      <c r="I31" s="217">
        <f>IFERROR('2a'!I30/'1k'!$C30*1000, "na")</f>
        <v>2.645405941671862</v>
      </c>
      <c r="J31" s="216">
        <f>IFERROR('2a'!J30/'1k'!$D30*1000, "na")</f>
        <v>0.8382893183012885</v>
      </c>
      <c r="K31" s="143">
        <f>IFERROR('2a'!K30/'1k'!$D30*1000, "na")</f>
        <v>0.649253052474977</v>
      </c>
      <c r="L31" s="143">
        <f>IFERROR('2a'!L30/'1k'!$D30*1000, "na")</f>
        <v>0.35511225360499865</v>
      </c>
      <c r="M31" s="217">
        <f>IFERROR('2a'!M30/'1k'!$D30*1000, "na")</f>
        <v>1.842654624381264</v>
      </c>
    </row>
    <row r="32" spans="1:13">
      <c r="A32" s="185">
        <v>2007</v>
      </c>
      <c r="B32" s="216">
        <f>IFERROR('2a'!B31/'1k'!$B31*1000, "na")</f>
        <v>2.7379491865439709</v>
      </c>
      <c r="C32" s="143">
        <f>IFERROR('2a'!C31/'1k'!$B31*1000, "na")</f>
        <v>2.0901849558127346</v>
      </c>
      <c r="D32" s="143">
        <f>IFERROR('2a'!D31/'1k'!$B31*1000, "na")</f>
        <v>0.60243713858008041</v>
      </c>
      <c r="E32" s="217">
        <f>IFERROR('2a'!E31/'1k'!$B31*1000, "na")</f>
        <v>5.4305712809367845</v>
      </c>
      <c r="F32" s="216">
        <f>IFERROR('2a'!F31/'1k'!$C31*1000, "na")</f>
        <v>0.27714476495726492</v>
      </c>
      <c r="G32" s="143">
        <f>IFERROR('2a'!G31/'1k'!$C31*1000, "na")</f>
        <v>2.5922288995726501</v>
      </c>
      <c r="H32" s="143">
        <f>IFERROR('2a'!H31/'1k'!$C31*1000, "na")</f>
        <v>7.5904113247863253E-2</v>
      </c>
      <c r="I32" s="217">
        <f>IFERROR('2a'!I31/'1k'!$C31*1000, "na")</f>
        <v>2.9452777777777781</v>
      </c>
      <c r="J32" s="216">
        <f>IFERROR('2a'!J31/'1k'!$D31*1000, "na")</f>
        <v>0.8771732272669438</v>
      </c>
      <c r="K32" s="143">
        <f>IFERROR('2a'!K31/'1k'!$D31*1000, "na")</f>
        <v>0.74586971337942942</v>
      </c>
      <c r="L32" s="143">
        <f>IFERROR('2a'!L31/'1k'!$D31*1000, "na")</f>
        <v>0.33027662588682272</v>
      </c>
      <c r="M32" s="217">
        <f>IFERROR('2a'!M31/'1k'!$D31*1000, "na")</f>
        <v>1.9533195665331959</v>
      </c>
    </row>
    <row r="33" spans="1:13">
      <c r="A33" s="185">
        <v>2008</v>
      </c>
      <c r="B33" s="216" t="str">
        <f>IFERROR('2a'!B32/'1k'!$B32*1000, "na")</f>
        <v>na</v>
      </c>
      <c r="C33" s="143" t="str">
        <f>IFERROR('2a'!C32/'1k'!$B32*1000, "na")</f>
        <v>na</v>
      </c>
      <c r="D33" s="143" t="str">
        <f>IFERROR('2a'!D32/'1k'!$B32*1000, "na")</f>
        <v>na</v>
      </c>
      <c r="E33" s="217" t="str">
        <f>IFERROR('2a'!E32/'1k'!$B32*1000, "na")</f>
        <v>na</v>
      </c>
      <c r="F33" s="216" t="str">
        <f>IFERROR('2a'!F32/'1k'!$C32*1000, "na")</f>
        <v>na</v>
      </c>
      <c r="G33" s="143" t="str">
        <f>IFERROR('2a'!G32/'1k'!$C32*1000, "na")</f>
        <v>na</v>
      </c>
      <c r="H33" s="143" t="str">
        <f>IFERROR('2a'!H32/'1k'!$C32*1000, "na")</f>
        <v>na</v>
      </c>
      <c r="I33" s="217" t="str">
        <f>IFERROR('2a'!I32/'1k'!$C32*1000, "na")</f>
        <v>na</v>
      </c>
      <c r="J33" s="216">
        <f>IFERROR('2a'!J32/'1k'!$D32*1000, "na")</f>
        <v>0.96236155192034001</v>
      </c>
      <c r="K33" s="143">
        <f>IFERROR('2a'!K32/'1k'!$D32*1000, "na")</f>
        <v>0.74123141718563412</v>
      </c>
      <c r="L33" s="143">
        <f>IFERROR('2a'!L32/'1k'!$D32*1000, "na")</f>
        <v>0.37394596939087582</v>
      </c>
      <c r="M33" s="217">
        <f>IFERROR('2a'!M32/'1k'!$D32*1000, "na")</f>
        <v>2.0775389384968501</v>
      </c>
    </row>
    <row r="34" spans="1:13">
      <c r="A34" s="57">
        <f>A33+1</f>
        <v>2009</v>
      </c>
      <c r="B34" s="216" t="str">
        <f>IFERROR('2a'!B33/'1k'!$B33*1000, "na")</f>
        <v>na</v>
      </c>
      <c r="C34" s="143" t="str">
        <f>IFERROR('2a'!C33/'1k'!$B33*1000, "na")</f>
        <v>na</v>
      </c>
      <c r="D34" s="143" t="str">
        <f>IFERROR('2a'!D33/'1k'!$B33*1000, "na")</f>
        <v>na</v>
      </c>
      <c r="E34" s="217" t="str">
        <f>IFERROR('2a'!E33/'1k'!$B33*1000, "na")</f>
        <v>na</v>
      </c>
      <c r="F34" s="216" t="str">
        <f>IFERROR('2a'!F33/'1k'!$C33*1000, "na")</f>
        <v>na</v>
      </c>
      <c r="G34" s="143" t="str">
        <f>IFERROR('2a'!G33/'1k'!$C33*1000, "na")</f>
        <v>na</v>
      </c>
      <c r="H34" s="143" t="str">
        <f>IFERROR('2a'!H33/'1k'!$C33*1000, "na")</f>
        <v>na</v>
      </c>
      <c r="I34" s="217" t="str">
        <f>IFERROR('2a'!I33/'1k'!$C33*1000, "na")</f>
        <v>na</v>
      </c>
      <c r="J34" s="216">
        <f>IFERROR('2a'!J33/'1k'!$D33*1000, "na")</f>
        <v>0.84597483718208111</v>
      </c>
      <c r="K34" s="143">
        <f>IFERROR('2a'!K33/'1k'!$D33*1000, "na")</f>
        <v>0.73699944256194672</v>
      </c>
      <c r="L34" s="143">
        <f>IFERROR('2a'!L33/'1k'!$D33*1000, "na")</f>
        <v>0.36020127686482289</v>
      </c>
      <c r="M34" s="217">
        <f>IFERROR('2a'!M33/'1k'!$D33*1000, "na")</f>
        <v>1.9431755566088507</v>
      </c>
    </row>
    <row r="35" spans="1:13">
      <c r="A35" s="58">
        <f t="shared" ref="A35" si="0">A34+1</f>
        <v>2010</v>
      </c>
      <c r="B35" s="234" t="str">
        <f>IFERROR('2a'!B34/'1k'!$B34*1000, "na")</f>
        <v>na</v>
      </c>
      <c r="C35" s="215" t="str">
        <f>IFERROR('2a'!C34/'1k'!$B34*1000, "na")</f>
        <v>na</v>
      </c>
      <c r="D35" s="215" t="str">
        <f>IFERROR('2a'!D34/'1k'!$B34*1000, "na")</f>
        <v>na</v>
      </c>
      <c r="E35" s="235" t="str">
        <f>IFERROR('2a'!E34/'1k'!$B34*1000, "na")</f>
        <v>na</v>
      </c>
      <c r="F35" s="234" t="str">
        <f>IFERROR('2a'!F34/'1k'!$C34*1000, "na")</f>
        <v>na</v>
      </c>
      <c r="G35" s="215" t="str">
        <f>IFERROR('2a'!G34/'1k'!$C34*1000, "na")</f>
        <v>na</v>
      </c>
      <c r="H35" s="215" t="str">
        <f>IFERROR('2a'!H34/'1k'!$C34*1000, "na")</f>
        <v>na</v>
      </c>
      <c r="I35" s="235" t="str">
        <f>IFERROR('2a'!I34/'1k'!$C34*1000, "na")</f>
        <v>na</v>
      </c>
      <c r="J35" s="234">
        <f>IFERROR('2a'!J34/'1k'!$D34*1000, "na")</f>
        <v>1.0189316065503136</v>
      </c>
      <c r="K35" s="215">
        <f>IFERROR('2a'!K34/'1k'!$D34*1000, "na")</f>
        <v>0.75169990964751621</v>
      </c>
      <c r="L35" s="215">
        <f>IFERROR('2a'!L34/'1k'!$D34*1000, "na")</f>
        <v>0.4164529290435886</v>
      </c>
      <c r="M35" s="235">
        <f>IFERROR('2a'!M34/'1k'!$D34*1000, "na")</f>
        <v>2.1870844452414184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>
        <f>IFERROR((POWER(B$24/B14,1/($A$24-$A$14))-1)*100,"na")</f>
        <v>31.68664165033961</v>
      </c>
      <c r="C39" s="86">
        <f t="shared" ref="C39:M39" si="2">IFERROR((POWER(C$24/C14,1/($A$24-$A$14))-1)*100,"na")</f>
        <v>15.48497660270054</v>
      </c>
      <c r="D39" s="86">
        <f t="shared" si="2"/>
        <v>6.222756497534343</v>
      </c>
      <c r="E39" s="87">
        <f t="shared" si="2"/>
        <v>13.085980909366368</v>
      </c>
      <c r="F39" s="85">
        <f t="shared" si="2"/>
        <v>29.394670262938494</v>
      </c>
      <c r="G39" s="86">
        <f t="shared" si="2"/>
        <v>22.828462669708284</v>
      </c>
      <c r="H39" s="86">
        <f t="shared" si="2"/>
        <v>-28.073826506013333</v>
      </c>
      <c r="I39" s="87">
        <f t="shared" si="2"/>
        <v>8.8542635006747084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>
        <f t="shared" si="3"/>
        <v>11.873390193003374</v>
      </c>
      <c r="K40" s="86">
        <f t="shared" si="3"/>
        <v>5.2887947404825386</v>
      </c>
      <c r="L40" s="86">
        <f t="shared" si="3"/>
        <v>1.6071896155873899</v>
      </c>
      <c r="M40" s="87">
        <f t="shared" si="3"/>
        <v>6.7712584088223116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211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68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M30"/>
  <sheetViews>
    <sheetView zoomScaleNormal="100" workbookViewId="0">
      <selection activeCell="B15" sqref="B15"/>
    </sheetView>
  </sheetViews>
  <sheetFormatPr defaultRowHeight="15"/>
  <cols>
    <col min="2" max="2" width="11.140625" customWidth="1"/>
    <col min="3" max="3" width="9.28515625" bestFit="1" customWidth="1"/>
    <col min="4" max="4" width="19.28515625" customWidth="1"/>
    <col min="5" max="5" width="10.28515625" bestFit="1" customWidth="1"/>
    <col min="6" max="6" width="12.140625" customWidth="1"/>
    <col min="7" max="7" width="9.28515625" bestFit="1" customWidth="1"/>
    <col min="8" max="8" width="19.28515625" customWidth="1"/>
    <col min="9" max="9" width="10.140625" bestFit="1" customWidth="1"/>
    <col min="10" max="10" width="11.5703125" customWidth="1"/>
    <col min="11" max="11" width="10.140625" bestFit="1" customWidth="1"/>
    <col min="12" max="12" width="17.7109375" customWidth="1"/>
    <col min="13" max="13" width="10.140625" bestFit="1" customWidth="1"/>
  </cols>
  <sheetData>
    <row r="1" spans="1:13">
      <c r="A1" s="2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123">
        <f>IFERROR('2c'!B17*'1n'!$B$15, "na")</f>
        <v>150.49429223744289</v>
      </c>
      <c r="C5" s="124">
        <f>IFERROR('2c'!C17*'1n'!$B$15, "na")</f>
        <v>1224.211187214612</v>
      </c>
      <c r="D5" s="124" t="str">
        <f>IFERROR('2c'!D17*'1n'!$B$15, "na")</f>
        <v>na</v>
      </c>
      <c r="E5" s="125" t="str">
        <f>IFERROR('2c'!E17*'1n'!$B$15, "na")</f>
        <v>na</v>
      </c>
      <c r="F5" s="123">
        <f>IFERROR('2c'!F17*'1n'!$B$15, "na")</f>
        <v>41.671090189794192</v>
      </c>
      <c r="G5" s="124">
        <f>IFERROR('2c'!G17*'1n'!$B$15, "na")</f>
        <v>101.70454204016225</v>
      </c>
      <c r="H5" s="124" t="str">
        <f>IFERROR('2c'!H17*'1n'!$B$15, "na")</f>
        <v>na</v>
      </c>
      <c r="I5" s="125" t="str">
        <f>IFERROR('2c'!I17*'1n'!$B$15, "na")</f>
        <v>na</v>
      </c>
      <c r="J5" s="123" t="str">
        <f>IFERROR('2c'!J17*'1n'!$B$15, "na")</f>
        <v>na</v>
      </c>
      <c r="K5" s="124" t="str">
        <f>IFERROR('2c'!K17*'1n'!$B$15, "na")</f>
        <v>na</v>
      </c>
      <c r="L5" s="124" t="str">
        <f>IFERROR('2c'!L17*'1n'!$B$15, "na")</f>
        <v>na</v>
      </c>
      <c r="M5" s="125" t="str">
        <f>IFERROR('2c'!M17*'1n'!$B$15, "na")</f>
        <v>na</v>
      </c>
    </row>
    <row r="6" spans="1:13">
      <c r="A6" s="65">
        <v>1993</v>
      </c>
      <c r="B6" s="123">
        <f>IFERROR('2c'!B18*'1n'!$B$15, "na")</f>
        <v>336.33529567988671</v>
      </c>
      <c r="C6" s="124">
        <f>IFERROR('2c'!C18*'1n'!$B$15, "na")</f>
        <v>897.31936083569406</v>
      </c>
      <c r="D6" s="124" t="str">
        <f>IFERROR('2c'!D18*'1n'!$B$15, "na")</f>
        <v>na</v>
      </c>
      <c r="E6" s="125" t="str">
        <f>IFERROR('2c'!E18*'1n'!$B$15, "na")</f>
        <v>na</v>
      </c>
      <c r="F6" s="123">
        <f>IFERROR('2c'!F18*'1n'!$B$15, "na")</f>
        <v>18.574935739390444</v>
      </c>
      <c r="G6" s="124">
        <f>IFERROR('2c'!G18*'1n'!$B$15, "na")</f>
        <v>185.9675811781986</v>
      </c>
      <c r="H6" s="124" t="str">
        <f>IFERROR('2c'!H18*'1n'!$B$15, "na")</f>
        <v>na</v>
      </c>
      <c r="I6" s="125" t="str">
        <f>IFERROR('2c'!I18*'1n'!$B$15, "na")</f>
        <v>na</v>
      </c>
      <c r="J6" s="123" t="str">
        <f>IFERROR('2c'!J18*'1n'!$B$15, "na")</f>
        <v>na</v>
      </c>
      <c r="K6" s="124" t="str">
        <f>IFERROR('2c'!K18*'1n'!$B$15, "na")</f>
        <v>na</v>
      </c>
      <c r="L6" s="124" t="str">
        <f>IFERROR('2c'!L18*'1n'!$B$15, "na")</f>
        <v>na</v>
      </c>
      <c r="M6" s="125" t="str">
        <f>IFERROR('2c'!M18*'1n'!$B$15, "na")</f>
        <v>na</v>
      </c>
    </row>
    <row r="7" spans="1:13">
      <c r="A7" s="65">
        <v>1994</v>
      </c>
      <c r="B7" s="123">
        <f>IFERROR('2c'!B19*'1n'!$B$15, "na")</f>
        <v>6.9831283957678014</v>
      </c>
      <c r="C7" s="124">
        <f>IFERROR('2c'!C19*'1n'!$B$15, "na")</f>
        <v>640.57763797540758</v>
      </c>
      <c r="D7" s="124">
        <f>IFERROR('2c'!D19*'1n'!$B$15, "na")</f>
        <v>467.88847583643121</v>
      </c>
      <c r="E7" s="125">
        <f>IFERROR('2c'!E19*'1n'!$B$15, "na")</f>
        <v>1115.4492422076066</v>
      </c>
      <c r="F7" s="123">
        <f>IFERROR('2c'!F19*'1n'!$B$15, "na")</f>
        <v>48.098129564536414</v>
      </c>
      <c r="G7" s="124">
        <f>IFERROR('2c'!G19*'1n'!$B$15, "na")</f>
        <v>211.68404757134795</v>
      </c>
      <c r="H7" s="124" t="str">
        <f>IFERROR('2c'!H19*'1n'!$B$15, "na")</f>
        <v>na</v>
      </c>
      <c r="I7" s="125" t="str">
        <f>IFERROR('2c'!I19*'1n'!$B$15, "na")</f>
        <v>na</v>
      </c>
      <c r="J7" s="123" t="str">
        <f>IFERROR('2c'!J19*'1n'!$B$15, "na")</f>
        <v>na</v>
      </c>
      <c r="K7" s="124" t="str">
        <f>IFERROR('2c'!K19*'1n'!$B$15, "na")</f>
        <v>na</v>
      </c>
      <c r="L7" s="124" t="str">
        <f>IFERROR('2c'!L19*'1n'!$B$15, "na")</f>
        <v>na</v>
      </c>
      <c r="M7" s="125" t="str">
        <f>IFERROR('2c'!M19*'1n'!$B$15, "na")</f>
        <v>na</v>
      </c>
    </row>
    <row r="8" spans="1:13">
      <c r="A8" s="65">
        <v>1995</v>
      </c>
      <c r="B8" s="123">
        <f>IFERROR('2c'!B20*'1n'!$B$15, "na")</f>
        <v>50.596293311845287</v>
      </c>
      <c r="C8" s="124">
        <f>IFERROR('2c'!C20*'1n'!$B$15, "na")</f>
        <v>645.92425463336019</v>
      </c>
      <c r="D8" s="124" t="str">
        <f>IFERROR('2c'!D20*'1n'!$B$15, "na")</f>
        <v>na</v>
      </c>
      <c r="E8" s="125" t="str">
        <f>IFERROR('2c'!E20*'1n'!$B$15, "na")</f>
        <v>na</v>
      </c>
      <c r="F8" s="123">
        <f>IFERROR('2c'!F20*'1n'!$B$15, "na")</f>
        <v>142.93926396813848</v>
      </c>
      <c r="G8" s="124">
        <f>IFERROR('2c'!G20*'1n'!$B$15, "na")</f>
        <v>311.36675219239464</v>
      </c>
      <c r="H8" s="124" t="str">
        <f>IFERROR('2c'!H20*'1n'!$B$15, "na")</f>
        <v>na</v>
      </c>
      <c r="I8" s="125" t="str">
        <f>IFERROR('2c'!I20*'1n'!$B$15, "na")</f>
        <v>na</v>
      </c>
      <c r="J8" s="123" t="str">
        <f>IFERROR('2c'!J20*'1n'!$B$15, "na")</f>
        <v>na</v>
      </c>
      <c r="K8" s="124" t="str">
        <f>IFERROR('2c'!K20*'1n'!$B$15, "na")</f>
        <v>na</v>
      </c>
      <c r="L8" s="124" t="str">
        <f>IFERROR('2c'!L20*'1n'!$B$15, "na")</f>
        <v>na</v>
      </c>
      <c r="M8" s="125" t="str">
        <f>IFERROR('2c'!M20*'1n'!$B$15, "na")</f>
        <v>na</v>
      </c>
    </row>
    <row r="9" spans="1:13">
      <c r="A9" s="65">
        <v>1996</v>
      </c>
      <c r="B9" s="123">
        <f>IFERROR('2c'!B21*'1n'!$B$15, "na")</f>
        <v>136.66242498444493</v>
      </c>
      <c r="C9" s="124">
        <f>IFERROR('2c'!C21*'1n'!$B$15, "na")</f>
        <v>784.43518053910861</v>
      </c>
      <c r="D9" s="124">
        <f>IFERROR('2c'!D21*'1n'!$B$15, "na")</f>
        <v>854.23174036087755</v>
      </c>
      <c r="E9" s="125">
        <f>IFERROR('2c'!E21*'1n'!$B$15, "na")</f>
        <v>1775.3293458844307</v>
      </c>
      <c r="F9" s="123">
        <f>IFERROR('2c'!F21*'1n'!$B$15, "na")</f>
        <v>318.68608068394337</v>
      </c>
      <c r="G9" s="124">
        <f>IFERROR('2c'!G21*'1n'!$B$15, "na")</f>
        <v>509.23216671119422</v>
      </c>
      <c r="H9" s="124" t="str">
        <f>IFERROR('2c'!H21*'1n'!$B$15, "na")</f>
        <v>na</v>
      </c>
      <c r="I9" s="125" t="str">
        <f>IFERROR('2c'!I21*'1n'!$B$15, "na")</f>
        <v>na</v>
      </c>
      <c r="J9" s="123" t="str">
        <f>IFERROR('2c'!J21*'1n'!$B$15, "na")</f>
        <v>na</v>
      </c>
      <c r="K9" s="124" t="str">
        <f>IFERROR('2c'!K21*'1n'!$B$15, "na")</f>
        <v>na</v>
      </c>
      <c r="L9" s="124" t="str">
        <f>IFERROR('2c'!L21*'1n'!$B$15, "na")</f>
        <v>na</v>
      </c>
      <c r="M9" s="125" t="str">
        <f>IFERROR('2c'!M21*'1n'!$B$15, "na")</f>
        <v>na</v>
      </c>
    </row>
    <row r="10" spans="1:13">
      <c r="A10" s="65">
        <v>1997</v>
      </c>
      <c r="B10" s="123">
        <f>IFERROR('2c'!B22*'1n'!$B$15, "na")</f>
        <v>603.34507525174149</v>
      </c>
      <c r="C10" s="124">
        <f>IFERROR('2c'!C22*'1n'!$B$15, "na")</f>
        <v>1559.4440033204605</v>
      </c>
      <c r="D10" s="124">
        <f>IFERROR('2c'!D22*'1n'!$B$15, "na")</f>
        <v>4603.0233154076577</v>
      </c>
      <c r="E10" s="125">
        <f>IFERROR('2c'!E22*'1n'!$B$15, "na")</f>
        <v>6765.8123939798606</v>
      </c>
      <c r="F10" s="123">
        <f>IFERROR('2c'!F22*'1n'!$B$15, "na")</f>
        <v>576.58478491941264</v>
      </c>
      <c r="G10" s="124">
        <f>IFERROR('2c'!G22*'1n'!$B$15, "na")</f>
        <v>1250.8544220048161</v>
      </c>
      <c r="H10" s="124">
        <f>IFERROR('2c'!H22*'1n'!$B$15, "na")</f>
        <v>23.503720254235446</v>
      </c>
      <c r="I10" s="125">
        <f>IFERROR('2c'!I22*'1n'!$B$15, "na")</f>
        <v>1850.9429271784645</v>
      </c>
      <c r="J10" s="123">
        <f>IFERROR('2c'!J22*'1n'!$B$15, "na")</f>
        <v>193.19848970374272</v>
      </c>
      <c r="K10" s="124">
        <f>IFERROR('2c'!K22*'1n'!$B$15, "na")</f>
        <v>539.63849291713905</v>
      </c>
      <c r="L10" s="124">
        <f>IFERROR('2c'!L22*'1n'!$B$15, "na")</f>
        <v>373.36344404673713</v>
      </c>
      <c r="M10" s="125">
        <f>IFERROR('2c'!M22*'1n'!$B$15, "na")</f>
        <v>1106.200426667619</v>
      </c>
    </row>
    <row r="11" spans="1:13">
      <c r="A11" s="65">
        <v>1998</v>
      </c>
      <c r="B11" s="123">
        <f>IFERROR('2c'!B23*'1n'!$B$15, "na")</f>
        <v>875.66812993854273</v>
      </c>
      <c r="C11" s="124">
        <f>IFERROR('2c'!C23*'1n'!$B$15, "na")</f>
        <v>1733.1990988453956</v>
      </c>
      <c r="D11" s="124">
        <f>IFERROR('2c'!D23*'1n'!$B$15, "na")</f>
        <v>1056.6934583464476</v>
      </c>
      <c r="E11" s="125">
        <f>IFERROR('2c'!E23*'1n'!$B$15, "na")</f>
        <v>3665.5606871303862</v>
      </c>
      <c r="F11" s="123">
        <f>IFERROR('2c'!F23*'1n'!$B$15, "na")</f>
        <v>1831.1216890097787</v>
      </c>
      <c r="G11" s="124">
        <f>IFERROR('2c'!G23*'1n'!$B$15, "na")</f>
        <v>1885.2668868596595</v>
      </c>
      <c r="H11" s="124">
        <f>IFERROR('2c'!H23*'1n'!$B$15, "na")</f>
        <v>145.22012823003692</v>
      </c>
      <c r="I11" s="125">
        <f>IFERROR('2c'!I23*'1n'!$B$15, "na")</f>
        <v>3861.6087040994757</v>
      </c>
      <c r="J11" s="123">
        <f>IFERROR('2c'!J23*'1n'!$B$15, "na")</f>
        <v>302.421491501974</v>
      </c>
      <c r="K11" s="124">
        <f>IFERROR('2c'!K23*'1n'!$B$15, "na")</f>
        <v>613.4004212233009</v>
      </c>
      <c r="L11" s="124">
        <f>IFERROR('2c'!L23*'1n'!$B$15, "na")</f>
        <v>343.73956543608074</v>
      </c>
      <c r="M11" s="125">
        <f>IFERROR('2c'!M23*'1n'!$B$15, "na")</f>
        <v>1259.5614781613556</v>
      </c>
    </row>
    <row r="12" spans="1:13">
      <c r="A12" s="65">
        <v>1999</v>
      </c>
      <c r="B12" s="123">
        <f>IFERROR('2c'!B24*'1n'!$B$15, "na")</f>
        <v>839.68624999999997</v>
      </c>
      <c r="C12" s="124">
        <f>IFERROR('2c'!C24*'1n'!$B$15, "na")</f>
        <v>2559.355</v>
      </c>
      <c r="D12" s="124">
        <f>IFERROR('2c'!D24*'1n'!$B$15, "na")</f>
        <v>1311.2225000000001</v>
      </c>
      <c r="E12" s="125">
        <f>IFERROR('2c'!E24*'1n'!$B$15, "na")</f>
        <v>4710.2637500000001</v>
      </c>
      <c r="F12" s="123">
        <f>IFERROR('2c'!F24*'1n'!$B$15, "na")</f>
        <v>276.52695209724067</v>
      </c>
      <c r="G12" s="124">
        <f>IFERROR('2c'!G24*'1n'!$B$15, "na")</f>
        <v>880.48294157298483</v>
      </c>
      <c r="H12" s="124">
        <f>IFERROR('2c'!H24*'1n'!$B$15, "na")</f>
        <v>13.617647698362651</v>
      </c>
      <c r="I12" s="125">
        <f>IFERROR('2c'!I24*'1n'!$B$15, "na")</f>
        <v>1170.6275413685883</v>
      </c>
      <c r="J12" s="123">
        <f>IFERROR('2c'!J24*'1n'!$B$15, "na")</f>
        <v>389.6615948109353</v>
      </c>
      <c r="K12" s="124">
        <f>IFERROR('2c'!K24*'1n'!$B$15, "na")</f>
        <v>628.31766946559935</v>
      </c>
      <c r="L12" s="124">
        <f>IFERROR('2c'!L24*'1n'!$B$15, "na")</f>
        <v>404.87177566569682</v>
      </c>
      <c r="M12" s="125">
        <f>IFERROR('2c'!M24*'1n'!$B$15, "na")</f>
        <v>1422.8510399422314</v>
      </c>
    </row>
    <row r="13" spans="1:13">
      <c r="A13" s="65">
        <v>2000</v>
      </c>
      <c r="B13" s="123">
        <f>IFERROR('2c'!B25*'1n'!$B$15, "na")</f>
        <v>209.96892479801122</v>
      </c>
      <c r="C13" s="124">
        <f>IFERROR('2c'!C25*'1n'!$B$15, "na")</f>
        <v>2886.8402734617771</v>
      </c>
      <c r="D13" s="124">
        <f>IFERROR('2c'!D25*'1n'!$B$15, "na")</f>
        <v>476.46364201367317</v>
      </c>
      <c r="E13" s="125">
        <f>IFERROR('2c'!E25*'1n'!$B$15, "na")</f>
        <v>3573.272840273461</v>
      </c>
      <c r="F13" s="123">
        <f>IFERROR('2c'!F25*'1n'!$B$15, "na")</f>
        <v>624.29038603913273</v>
      </c>
      <c r="G13" s="124">
        <f>IFERROR('2c'!G25*'1n'!$B$15, "na")</f>
        <v>1679.8304389212062</v>
      </c>
      <c r="H13" s="124">
        <f>IFERROR('2c'!H25*'1n'!$B$15, "na")</f>
        <v>256.53131676361716</v>
      </c>
      <c r="I13" s="125">
        <f>IFERROR('2c'!I25*'1n'!$B$15, "na")</f>
        <v>2560.6521417239555</v>
      </c>
      <c r="J13" s="123">
        <f>IFERROR('2c'!J25*'1n'!$B$15, "na")</f>
        <v>469.03912984424642</v>
      </c>
      <c r="K13" s="124">
        <f>IFERROR('2c'!K25*'1n'!$B$15, "na")</f>
        <v>634.68025501961654</v>
      </c>
      <c r="L13" s="124">
        <f>IFERROR('2c'!L25*'1n'!$B$15, "na")</f>
        <v>501.94202764148719</v>
      </c>
      <c r="M13" s="125">
        <f>IFERROR('2c'!M25*'1n'!$B$15, "na")</f>
        <v>1605.66141250535</v>
      </c>
    </row>
    <row r="14" spans="1:13">
      <c r="A14" s="65">
        <v>2001</v>
      </c>
      <c r="B14" s="123">
        <f>IFERROR('2c'!B26*'1n'!$B$15, "na")</f>
        <v>42.284607938044537</v>
      </c>
      <c r="C14" s="124">
        <f>IFERROR('2c'!C26*'1n'!$B$15, "na")</f>
        <v>2129.9927395934174</v>
      </c>
      <c r="D14" s="124">
        <f>IFERROR('2c'!D26*'1n'!$B$15, "na")</f>
        <v>1.8990319457889642</v>
      </c>
      <c r="E14" s="125">
        <f>IFERROR('2c'!E26*'1n'!$B$15, "na")</f>
        <v>2174.176379477251</v>
      </c>
      <c r="F14" s="123">
        <f>IFERROR('2c'!F26*'1n'!$B$15, "na")</f>
        <v>2.7651918409061875</v>
      </c>
      <c r="G14" s="124">
        <f>IFERROR('2c'!G26*'1n'!$B$15, "na")</f>
        <v>1207.1067154963166</v>
      </c>
      <c r="H14" s="124">
        <f>IFERROR('2c'!H26*'1n'!$B$15, "na")</f>
        <v>13.435676872631266</v>
      </c>
      <c r="I14" s="125">
        <f>IFERROR('2c'!I26*'1n'!$B$15, "na")</f>
        <v>1223.307584209854</v>
      </c>
      <c r="J14" s="123">
        <f>IFERROR('2c'!J26*'1n'!$B$15, "na")</f>
        <v>439.8982554296382</v>
      </c>
      <c r="K14" s="124">
        <f>IFERROR('2c'!K26*'1n'!$B$15, "na")</f>
        <v>681.85149734797801</v>
      </c>
      <c r="L14" s="124">
        <f>IFERROR('2c'!L26*'1n'!$B$15, "na")</f>
        <v>504.88574888551619</v>
      </c>
      <c r="M14" s="125">
        <f>IFERROR('2c'!M26*'1n'!$B$15, "na")</f>
        <v>1626.6355016631323</v>
      </c>
    </row>
    <row r="15" spans="1:13">
      <c r="A15" s="65">
        <v>2002</v>
      </c>
      <c r="B15" s="123">
        <f>IFERROR('2c'!B27*'1n'!$B$15, "na")</f>
        <v>464.13536708245016</v>
      </c>
      <c r="C15" s="124">
        <f>IFERROR('2c'!C27*'1n'!$B$15, "na")</f>
        <v>1583.2799416281578</v>
      </c>
      <c r="D15" s="124">
        <f>IFERROR('2c'!D27*'1n'!$B$15, "na")</f>
        <v>49.717174524860148</v>
      </c>
      <c r="E15" s="125">
        <f>IFERROR('2c'!E27*'1n'!$B$15, "na")</f>
        <v>2097.132483235468</v>
      </c>
      <c r="F15" s="123">
        <f>IFERROR('2c'!F27*'1n'!$B$15, "na")</f>
        <v>42.927224985590165</v>
      </c>
      <c r="G15" s="124">
        <f>IFERROR('2c'!G27*'1n'!$B$15, "na")</f>
        <v>988.90805456524981</v>
      </c>
      <c r="H15" s="124">
        <f>IFERROR('2c'!H27*'1n'!$B$15, "na")</f>
        <v>46.324103921610487</v>
      </c>
      <c r="I15" s="125">
        <f>IFERROR('2c'!I27*'1n'!$B$15, "na")</f>
        <v>1078.1593834724504</v>
      </c>
      <c r="J15" s="123">
        <f>IFERROR('2c'!J27*'1n'!$B$15, "na")</f>
        <v>490.81576239478011</v>
      </c>
      <c r="K15" s="124">
        <f>IFERROR('2c'!K27*'1n'!$B$15, "na")</f>
        <v>654.21640920510379</v>
      </c>
      <c r="L15" s="124">
        <f>IFERROR('2c'!L27*'1n'!$B$15, "na")</f>
        <v>446.42217390112006</v>
      </c>
      <c r="M15" s="125">
        <f>IFERROR('2c'!M27*'1n'!$B$15, "na")</f>
        <v>1591.4543455010039</v>
      </c>
    </row>
    <row r="16" spans="1:13">
      <c r="A16" s="65">
        <v>2003</v>
      </c>
      <c r="B16" s="123">
        <f>IFERROR('2c'!B28*'1n'!$B$15, "na")</f>
        <v>1041.377107716723</v>
      </c>
      <c r="C16" s="124">
        <f>IFERROR('2c'!C28*'1n'!$B$15, "na")</f>
        <v>1537.2274350327316</v>
      </c>
      <c r="D16" s="124">
        <f>IFERROR('2c'!D28*'1n'!$B$15, "na")</f>
        <v>186.26284467367586</v>
      </c>
      <c r="E16" s="125">
        <f>IFERROR('2c'!E28*'1n'!$B$15, "na")</f>
        <v>2764.8673874231308</v>
      </c>
      <c r="F16" s="123">
        <f>IFERROR('2c'!F28*'1n'!$B$15, "na")</f>
        <v>331.29608963093148</v>
      </c>
      <c r="G16" s="124">
        <f>IFERROR('2c'!G28*'1n'!$B$15, "na")</f>
        <v>1271.401713532513</v>
      </c>
      <c r="H16" s="124">
        <f>IFERROR('2c'!H28*'1n'!$B$15, "na")</f>
        <v>68.423066783831274</v>
      </c>
      <c r="I16" s="125">
        <f>IFERROR('2c'!I28*'1n'!$B$15, "na")</f>
        <v>1671.1208699472759</v>
      </c>
      <c r="J16" s="123">
        <f>IFERROR('2c'!J28*'1n'!$B$15, "na")</f>
        <v>571.67087220924407</v>
      </c>
      <c r="K16" s="124">
        <f>IFERROR('2c'!K28*'1n'!$B$15, "na")</f>
        <v>683.81045564986164</v>
      </c>
      <c r="L16" s="124">
        <f>IFERROR('2c'!L28*'1n'!$B$15, "na")</f>
        <v>435.09622811986497</v>
      </c>
      <c r="M16" s="125">
        <f>IFERROR('2c'!M28*'1n'!$B$15, "na")</f>
        <v>1690.5775559789706</v>
      </c>
    </row>
    <row r="17" spans="1:13">
      <c r="A17" s="65">
        <v>2004</v>
      </c>
      <c r="B17" s="123">
        <f>IFERROR('2c'!B29*'1n'!$B$15, "na")</f>
        <v>1280.9187528333252</v>
      </c>
      <c r="C17" s="124">
        <f>IFERROR('2c'!C29*'1n'!$B$15, "na")</f>
        <v>2036.9696267566615</v>
      </c>
      <c r="D17" s="124">
        <f>IFERROR('2c'!D29*'1n'!$B$15, "na")</f>
        <v>211.09464564549441</v>
      </c>
      <c r="E17" s="125">
        <f>IFERROR('2c'!E29*'1n'!$B$15, "na")</f>
        <v>3528.9830252354805</v>
      </c>
      <c r="F17" s="123">
        <f>IFERROR('2c'!F29*'1n'!$B$15, "na")</f>
        <v>413.98574398574402</v>
      </c>
      <c r="G17" s="124">
        <f>IFERROR('2c'!G29*'1n'!$B$15, "na")</f>
        <v>2474.9830709830712</v>
      </c>
      <c r="H17" s="124">
        <f>IFERROR('2c'!H29*'1n'!$B$15, "na")</f>
        <v>94.029106029106032</v>
      </c>
      <c r="I17" s="125">
        <f>IFERROR('2c'!I29*'1n'!$B$15, "na")</f>
        <v>2982.9979209979215</v>
      </c>
      <c r="J17" s="123">
        <f>IFERROR('2c'!J29*'1n'!$B$15, "na")</f>
        <v>751.41709342353681</v>
      </c>
      <c r="K17" s="124">
        <f>IFERROR('2c'!K29*'1n'!$B$15, "na")</f>
        <v>760.2059470783156</v>
      </c>
      <c r="L17" s="124">
        <f>IFERROR('2c'!L29*'1n'!$B$15, "na")</f>
        <v>457.21171203281909</v>
      </c>
      <c r="M17" s="125">
        <f>IFERROR('2c'!M29*'1n'!$B$15, "na")</f>
        <v>1968.8347525346712</v>
      </c>
    </row>
    <row r="18" spans="1:13">
      <c r="A18" s="65">
        <v>2005</v>
      </c>
      <c r="B18" s="123">
        <f>IFERROR('2c'!B30*'1n'!$B$15, "na")</f>
        <v>1885.3516995342384</v>
      </c>
      <c r="C18" s="124">
        <f>IFERROR('2c'!C30*'1n'!$B$15, "na")</f>
        <v>3064.454662570608</v>
      </c>
      <c r="D18" s="124">
        <f>IFERROR('2c'!D30*'1n'!$B$15, "na")</f>
        <v>217.97512635021309</v>
      </c>
      <c r="E18" s="125">
        <f>IFERROR('2c'!E30*'1n'!$B$15, "na")</f>
        <v>5167.781488455058</v>
      </c>
      <c r="F18" s="123">
        <f>IFERROR('2c'!F30*'1n'!$B$15, "na")</f>
        <v>745.09739540038777</v>
      </c>
      <c r="G18" s="124">
        <f>IFERROR('2c'!G30*'1n'!$B$15, "na")</f>
        <v>3303.5290939318375</v>
      </c>
      <c r="H18" s="124">
        <f>IFERROR('2c'!H30*'1n'!$B$15, "na")</f>
        <v>202.0421169298975</v>
      </c>
      <c r="I18" s="125">
        <f>IFERROR('2c'!I30*'1n'!$B$15, "na")</f>
        <v>4250.668606262122</v>
      </c>
      <c r="J18" s="123">
        <f>IFERROR('2c'!J30*'1n'!$B$15, "na")</f>
        <v>922.48502755293021</v>
      </c>
      <c r="K18" s="124">
        <f>IFERROR('2c'!K30*'1n'!$B$15, "na")</f>
        <v>867.60952114998668</v>
      </c>
      <c r="L18" s="124">
        <f>IFERROR('2c'!L30*'1n'!$B$15, "na")</f>
        <v>465.17145619966442</v>
      </c>
      <c r="M18" s="125">
        <f>IFERROR('2c'!M30*'1n'!$B$15, "na")</f>
        <v>2255.2660049025812</v>
      </c>
    </row>
    <row r="19" spans="1:13">
      <c r="A19" s="65">
        <v>2006</v>
      </c>
      <c r="B19" s="123">
        <f>IFERROR('2c'!B31*'1n'!$B$15, "na")</f>
        <v>1602.2434620479858</v>
      </c>
      <c r="C19" s="124">
        <f>IFERROR('2c'!C31*'1n'!$B$15, "na")</f>
        <v>2561.3552818801827</v>
      </c>
      <c r="D19" s="124">
        <f>IFERROR('2c'!D31*'1n'!$B$15, "na")</f>
        <v>286.77052156420189</v>
      </c>
      <c r="E19" s="125">
        <f>IFERROR('2c'!E31*'1n'!$B$15, "na")</f>
        <v>4450.3692654923707</v>
      </c>
      <c r="F19" s="123">
        <f>IFERROR('2c'!F31*'1n'!$B$15, "na")</f>
        <v>822.66988293721181</v>
      </c>
      <c r="G19" s="124">
        <f>IFERROR('2c'!G31*'1n'!$B$15, "na")</f>
        <v>2933.4031926214971</v>
      </c>
      <c r="H19" s="124">
        <f>IFERROR('2c'!H31*'1n'!$B$15, "na")</f>
        <v>188.70521461511177</v>
      </c>
      <c r="I19" s="125">
        <f>IFERROR('2c'!I31*'1n'!$B$15, "na")</f>
        <v>3944.7782901738201</v>
      </c>
      <c r="J19" s="123">
        <f>IFERROR('2c'!J31*'1n'!$B$15, "na")</f>
        <v>1160.157951278999</v>
      </c>
      <c r="K19" s="124">
        <f>IFERROR('2c'!K31*'1n'!$B$15, "na")</f>
        <v>898.53953137249209</v>
      </c>
      <c r="L19" s="124">
        <f>IFERROR('2c'!L31*'1n'!$B$15, "na")</f>
        <v>491.4607589791238</v>
      </c>
      <c r="M19" s="125">
        <f>IFERROR('2c'!M31*'1n'!$B$15, "na")</f>
        <v>2550.1582416306151</v>
      </c>
    </row>
    <row r="20" spans="1:13">
      <c r="A20" s="65">
        <v>2007</v>
      </c>
      <c r="B20" s="123">
        <f>IFERROR('2c'!B32*'1n'!$B$15, "na")</f>
        <v>3285.3220234964047</v>
      </c>
      <c r="C20" s="124">
        <f>IFERROR('2c'!C32*'1n'!$B$15, "na")</f>
        <v>2508.0562861651765</v>
      </c>
      <c r="D20" s="124">
        <f>IFERROR('2c'!D32*'1n'!$B$15, "na")</f>
        <v>722.87681921795524</v>
      </c>
      <c r="E20" s="125">
        <f>IFERROR('2c'!E32*'1n'!$B$15, "na")</f>
        <v>6516.2551288795357</v>
      </c>
      <c r="F20" s="123">
        <f>IFERROR('2c'!F32*'1n'!$B$15, "na")</f>
        <v>390.48169054855981</v>
      </c>
      <c r="G20" s="124">
        <f>IFERROR('2c'!G32*'1n'!$B$15, "na")</f>
        <v>3652.3075698364455</v>
      </c>
      <c r="H20" s="124">
        <f>IFERROR('2c'!H32*'1n'!$B$15, "na")</f>
        <v>106.94470979881315</v>
      </c>
      <c r="I20" s="125">
        <f>IFERROR('2c'!I32*'1n'!$B$15, "na")</f>
        <v>4149.7339701838182</v>
      </c>
      <c r="J20" s="123">
        <f>IFERROR('2c'!J32*'1n'!$B$15, "na")</f>
        <v>1213.3613148647453</v>
      </c>
      <c r="K20" s="124">
        <f>IFERROR('2c'!K32*'1n'!$B$15, "na")</f>
        <v>1031.7340155987683</v>
      </c>
      <c r="L20" s="124">
        <f>IFERROR('2c'!L32*'1n'!$B$15, "na")</f>
        <v>456.85945329607159</v>
      </c>
      <c r="M20" s="125">
        <f>IFERROR('2c'!M32*'1n'!$B$15, "na")</f>
        <v>2701.9547837595851</v>
      </c>
    </row>
    <row r="21" spans="1:13">
      <c r="A21" s="65">
        <v>2008</v>
      </c>
      <c r="B21" s="123">
        <f>IFERROR('2c'!B33*'1n'!$B$15, "na")</f>
        <v>1301.6252217286496</v>
      </c>
      <c r="C21" s="124">
        <f>IFERROR('2c'!C33*'1n'!$B$15, "na")</f>
        <v>2563.2115708243</v>
      </c>
      <c r="D21" s="124">
        <f>IFERROR('2c'!D33*'1n'!$B$15, "na")</f>
        <v>205.03928197819857</v>
      </c>
      <c r="E21" s="125">
        <f>IFERROR('2c'!E33*'1n'!$B$15, "na")</f>
        <v>4069.8760745311483</v>
      </c>
      <c r="F21" s="123">
        <f>IFERROR('2c'!F33*'1n'!$B$15, "na")</f>
        <v>444.16401926256026</v>
      </c>
      <c r="G21" s="124">
        <f>IFERROR('2c'!G33*'1n'!$B$15, "na")</f>
        <v>3428.2979946812347</v>
      </c>
      <c r="H21" s="124">
        <f>IFERROR('2c'!H33*'1n'!$B$15, "na")</f>
        <v>154.17048803277513</v>
      </c>
      <c r="I21" s="125">
        <f>IFERROR('2c'!I33*'1n'!$B$15, "na")</f>
        <v>4026.63250197657</v>
      </c>
      <c r="J21" s="123">
        <f>IFERROR('2c'!J33*'1n'!$B$15, "na")</f>
        <v>1323.5822425658328</v>
      </c>
      <c r="K21" s="124">
        <f>IFERROR('2c'!K33*'1n'!$B$15, "na")</f>
        <v>1019.4513064877943</v>
      </c>
      <c r="L21" s="124">
        <f>IFERROR('2c'!L33*'1n'!$B$15, "na")</f>
        <v>514.30592148781045</v>
      </c>
      <c r="M21" s="125">
        <f>IFERROR('2c'!M33*'1n'!$B$15, "na")</f>
        <v>2857.3394705414375</v>
      </c>
    </row>
    <row r="22" spans="1:13">
      <c r="A22" s="20">
        <f>A21+1</f>
        <v>2009</v>
      </c>
      <c r="B22" s="123">
        <f>IFERROR('2c'!B34*'1n'!$B$15, "na")</f>
        <v>1700.4889685887733</v>
      </c>
      <c r="C22" s="124">
        <f>IFERROR('2c'!C34*'1n'!$B$15, "na")</f>
        <v>2450.9023268119886</v>
      </c>
      <c r="D22" s="124">
        <f>IFERROR('2c'!D34*'1n'!$B$15, "na")</f>
        <v>312.11350374083167</v>
      </c>
      <c r="E22" s="125">
        <f>IFERROR('2c'!E34*'1n'!$B$15, "na")</f>
        <v>4463.504799141594</v>
      </c>
      <c r="F22" s="123">
        <f>IFERROR('2c'!F34*'1n'!$B$15, "na")</f>
        <v>733.20802751672397</v>
      </c>
      <c r="G22" s="124">
        <f>IFERROR('2c'!G34*'1n'!$B$15, "na")</f>
        <v>3688.6777347452812</v>
      </c>
      <c r="H22" s="124">
        <f>IFERROR('2c'!H34*'1n'!$B$15, "na")</f>
        <v>85.351515315656911</v>
      </c>
      <c r="I22" s="125">
        <f>IFERROR('2c'!I34*'1n'!$B$15, "na")</f>
        <v>4507.2372775776612</v>
      </c>
      <c r="J22" s="123">
        <f>IFERROR('2c'!J34*'1n'!$B$15, "na")</f>
        <v>1142.5407633917009</v>
      </c>
      <c r="K22" s="124">
        <f>IFERROR('2c'!K34*'1n'!$B$15, "na")</f>
        <v>995.36282725481101</v>
      </c>
      <c r="L22" s="124">
        <f>IFERROR('2c'!L34*'1n'!$B$15, "na")</f>
        <v>486.47385685210685</v>
      </c>
      <c r="M22" s="125">
        <f>IFERROR('2c'!M34*'1n'!$B$15, "na")</f>
        <v>2624.3774474986194</v>
      </c>
    </row>
    <row r="23" spans="1:13">
      <c r="A23" s="21">
        <f t="shared" ref="A23" si="0">A22+1</f>
        <v>2010</v>
      </c>
      <c r="B23" s="126">
        <f>IFERROR('2c'!B35*'1n'!$B$15, "na")</f>
        <v>1834.9939963768657</v>
      </c>
      <c r="C23" s="127">
        <f>IFERROR('2c'!C35*'1n'!$B$15, "na")</f>
        <v>2007.5497132933092</v>
      </c>
      <c r="D23" s="127">
        <f>IFERROR('2c'!D35*'1n'!$B$15, "na")</f>
        <v>396.64587606485708</v>
      </c>
      <c r="E23" s="128">
        <f>IFERROR('2c'!E35*'1n'!$B$15, "na")</f>
        <v>4239.1895857350319</v>
      </c>
      <c r="F23" s="126">
        <f>IFERROR('2c'!F35*'1n'!$B$15, "na")</f>
        <v>1324.2718402020434</v>
      </c>
      <c r="G23" s="127">
        <f>IFERROR('2c'!G35*'1n'!$B$15, "na")</f>
        <v>4087.888129950637</v>
      </c>
      <c r="H23" s="127">
        <f>IFERROR('2c'!H35*'1n'!$B$15, "na")</f>
        <v>182.62753989209048</v>
      </c>
      <c r="I23" s="128">
        <f>IFERROR('2c'!I35*'1n'!$B$15, "na")</f>
        <v>5594.78751004477</v>
      </c>
      <c r="J23" s="126">
        <f>IFERROR('2c'!J35*'1n'!$B$15, "na")</f>
        <v>1376.68887044434</v>
      </c>
      <c r="K23" s="127">
        <f>IFERROR('2c'!K35*'1n'!$B$15, "na")</f>
        <v>1015.6294032622606</v>
      </c>
      <c r="L23" s="127">
        <f>IFERROR('2c'!L35*'1n'!$B$15, "na")</f>
        <v>562.67379360161669</v>
      </c>
      <c r="M23" s="128">
        <f>IFERROR('2c'!M35*'1n'!$B$15, "na")</f>
        <v>2954.992067308217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4.2507947392442125</v>
      </c>
      <c r="C26" s="86">
        <f t="shared" ref="C26:M26" si="1">IFERROR((POWER(C$13/C5,1/($A$13-$A5))-1)*100,"na")</f>
        <v>11.319385791953174</v>
      </c>
      <c r="D26" s="86" t="str">
        <f t="shared" si="1"/>
        <v>na</v>
      </c>
      <c r="E26" s="87" t="str">
        <f t="shared" si="1"/>
        <v>na</v>
      </c>
      <c r="F26" s="85">
        <f t="shared" si="1"/>
        <v>40.263274370130333</v>
      </c>
      <c r="G26" s="86">
        <f t="shared" si="1"/>
        <v>41.98440219161246</v>
      </c>
      <c r="H26" s="86" t="str">
        <f t="shared" si="1"/>
        <v>na</v>
      </c>
      <c r="I26" s="87" t="str">
        <f t="shared" si="1"/>
        <v>na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>
        <f>IFERROR((POWER(B$23/B13,1/($A$23-$A$13))-1)*100,"na")</f>
        <v>24.207540547835336</v>
      </c>
      <c r="C27" s="86">
        <f t="shared" ref="C27:M27" si="2">IFERROR((POWER(C$23/C13,1/($A$23-$A$13))-1)*100,"na")</f>
        <v>-3.5672936352431517</v>
      </c>
      <c r="D27" s="86">
        <f t="shared" si="2"/>
        <v>-1.8167694482763119</v>
      </c>
      <c r="E27" s="87">
        <f t="shared" si="2"/>
        <v>1.7235870366988593</v>
      </c>
      <c r="F27" s="85">
        <f t="shared" si="2"/>
        <v>7.8100009142484161</v>
      </c>
      <c r="G27" s="86">
        <f t="shared" si="2"/>
        <v>9.3008037514689548</v>
      </c>
      <c r="H27" s="86">
        <f t="shared" si="2"/>
        <v>-3.3409354364169697</v>
      </c>
      <c r="I27" s="87">
        <f t="shared" si="2"/>
        <v>8.129277519858702</v>
      </c>
      <c r="J27" s="85">
        <f t="shared" si="2"/>
        <v>11.36857752651661</v>
      </c>
      <c r="K27" s="86">
        <f t="shared" si="2"/>
        <v>4.8136941188563931</v>
      </c>
      <c r="L27" s="86">
        <f t="shared" si="2"/>
        <v>1.1487017103260833</v>
      </c>
      <c r="M27" s="87">
        <f t="shared" si="2"/>
        <v>6.2894683820025499</v>
      </c>
    </row>
    <row r="28" spans="1:13">
      <c r="A28" s="29" t="s">
        <v>126</v>
      </c>
      <c r="B28" s="39">
        <f>IFERROR((POWER(B23/B5,1/($A$23-$A5))-1)*100, "na")</f>
        <v>14.905204775210557</v>
      </c>
      <c r="C28" s="89">
        <f t="shared" ref="C28:M28" si="3">IFERROR((POWER(C23/C5,1/($A$23-$A5))-1)*100, "na")</f>
        <v>2.7859814114071568</v>
      </c>
      <c r="D28" s="89" t="str">
        <f t="shared" si="3"/>
        <v>na</v>
      </c>
      <c r="E28" s="90" t="str">
        <f t="shared" si="3"/>
        <v>na</v>
      </c>
      <c r="F28" s="88">
        <f t="shared" si="3"/>
        <v>21.185971559058082</v>
      </c>
      <c r="G28" s="89">
        <f t="shared" si="3"/>
        <v>22.777822056379037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75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M30"/>
  <sheetViews>
    <sheetView zoomScaleNormal="100" workbookViewId="0">
      <selection activeCell="B15" sqref="B15"/>
    </sheetView>
  </sheetViews>
  <sheetFormatPr defaultRowHeight="15"/>
  <cols>
    <col min="1" max="1" width="10.5703125" customWidth="1"/>
    <col min="2" max="3" width="10.42578125" customWidth="1"/>
    <col min="4" max="4" width="19.140625" customWidth="1"/>
    <col min="6" max="6" width="10.7109375" customWidth="1"/>
    <col min="8" max="8" width="18" customWidth="1"/>
    <col min="10" max="10" width="12.28515625" customWidth="1"/>
    <col min="12" max="12" width="18.42578125" customWidth="1"/>
  </cols>
  <sheetData>
    <row r="1" spans="1:13">
      <c r="A1" s="2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292">
        <f>IFERROR('1n'!$B$15*'2i'!B17, "na")</f>
        <v>7.2597041043588925E-2</v>
      </c>
      <c r="C5" s="293">
        <f>IFERROR('1n'!$B$15*'2i'!C17, "na")</f>
        <v>0.59054804327076049</v>
      </c>
      <c r="D5" s="293" t="str">
        <f>IFERROR('1n'!$B$15*'2i'!D17, "na")</f>
        <v>na</v>
      </c>
      <c r="E5" s="294" t="str">
        <f>IFERROR('1n'!$B$15*'2i'!E17, "na")</f>
        <v>na</v>
      </c>
      <c r="F5" s="292">
        <f>IFERROR('1n'!$B$15*'2i'!F17, "na")</f>
        <v>1.9335253131418904E-2</v>
      </c>
      <c r="G5" s="293">
        <f>IFERROR('1n'!$B$15*'2i'!G17, "na")</f>
        <v>4.7190583591767685E-2</v>
      </c>
      <c r="H5" s="293" t="str">
        <f>IFERROR('1n'!$B$15*'2i'!H17, "na")</f>
        <v>na</v>
      </c>
      <c r="I5" s="294" t="str">
        <f>IFERROR('1n'!$B$15*'2i'!I17, "na")</f>
        <v>na</v>
      </c>
      <c r="J5" s="292" t="str">
        <f>IFERROR('1n'!$B$15*'2i'!J17, "na")</f>
        <v>na</v>
      </c>
      <c r="K5" s="293" t="str">
        <f>IFERROR('1n'!$B$15*'2i'!K17, "na")</f>
        <v>na</v>
      </c>
      <c r="L5" s="293" t="str">
        <f>IFERROR('1n'!$B$15*'2i'!L17, "na")</f>
        <v>na</v>
      </c>
      <c r="M5" s="294" t="str">
        <f>IFERROR('1n'!$B$15*'2i'!M17, "na")</f>
        <v>na</v>
      </c>
    </row>
    <row r="6" spans="1:13">
      <c r="A6" s="65">
        <v>1993</v>
      </c>
      <c r="B6" s="292">
        <f>IFERROR('1n'!$B$15*'2i'!B18, "na")</f>
        <v>0.15527016257570928</v>
      </c>
      <c r="C6" s="293">
        <f>IFERROR('1n'!$B$15*'2i'!C18, "na")</f>
        <v>0.41425007969397509</v>
      </c>
      <c r="D6" s="293" t="str">
        <f>IFERROR('1n'!$B$15*'2i'!D18, "na")</f>
        <v>na</v>
      </c>
      <c r="E6" s="294" t="str">
        <f>IFERROR('1n'!$B$15*'2i'!E18, "na")</f>
        <v>na</v>
      </c>
      <c r="F6" s="292">
        <f>IFERROR('1n'!$B$15*'2i'!F18, "na")</f>
        <v>8.7286361305759716E-3</v>
      </c>
      <c r="G6" s="293">
        <f>IFERROR('1n'!$B$15*'2i'!G18, "na")</f>
        <v>8.7388907878995045E-2</v>
      </c>
      <c r="H6" s="293" t="str">
        <f>IFERROR('1n'!$B$15*'2i'!H18, "na")</f>
        <v>na</v>
      </c>
      <c r="I6" s="294" t="str">
        <f>IFERROR('1n'!$B$15*'2i'!I18, "na")</f>
        <v>na</v>
      </c>
      <c r="J6" s="292" t="str">
        <f>IFERROR('1n'!$B$15*'2i'!J18, "na")</f>
        <v>na</v>
      </c>
      <c r="K6" s="293" t="str">
        <f>IFERROR('1n'!$B$15*'2i'!K18, "na")</f>
        <v>na</v>
      </c>
      <c r="L6" s="293" t="str">
        <f>IFERROR('1n'!$B$15*'2i'!L18, "na")</f>
        <v>na</v>
      </c>
      <c r="M6" s="294" t="str">
        <f>IFERROR('1n'!$B$15*'2i'!M18, "na")</f>
        <v>na</v>
      </c>
    </row>
    <row r="7" spans="1:13">
      <c r="A7" s="65">
        <v>1994</v>
      </c>
      <c r="B7" s="292">
        <f>IFERROR('1n'!$B$15*'2i'!B19, "na")</f>
        <v>2.9147767963714497E-3</v>
      </c>
      <c r="C7" s="293">
        <f>IFERROR('1n'!$B$15*'2i'!C19, "na")</f>
        <v>0.26737884936739081</v>
      </c>
      <c r="D7" s="293">
        <f>IFERROR('1n'!$B$15*'2i'!D19, "na")</f>
        <v>0.19529792313201241</v>
      </c>
      <c r="E7" s="294">
        <f>IFERROR('1n'!$B$15*'2i'!E19, "na")</f>
        <v>0.46559154929577468</v>
      </c>
      <c r="F7" s="292">
        <f>IFERROR('1n'!$B$15*'2i'!F19, "na")</f>
        <v>1.9863501251564459E-2</v>
      </c>
      <c r="G7" s="293">
        <f>IFERROR('1n'!$B$15*'2i'!G19, "na")</f>
        <v>8.7420994993742174E-2</v>
      </c>
      <c r="H7" s="293" t="str">
        <f>IFERROR('1n'!$B$15*'2i'!H19, "na")</f>
        <v>na</v>
      </c>
      <c r="I7" s="294" t="str">
        <f>IFERROR('1n'!$B$15*'2i'!I19, "na")</f>
        <v>na</v>
      </c>
      <c r="J7" s="292" t="str">
        <f>IFERROR('1n'!$B$15*'2i'!J19, "na")</f>
        <v>na</v>
      </c>
      <c r="K7" s="293" t="str">
        <f>IFERROR('1n'!$B$15*'2i'!K19, "na")</f>
        <v>na</v>
      </c>
      <c r="L7" s="293" t="str">
        <f>IFERROR('1n'!$B$15*'2i'!L19, "na")</f>
        <v>na</v>
      </c>
      <c r="M7" s="294" t="str">
        <f>IFERROR('1n'!$B$15*'2i'!M19, "na")</f>
        <v>na</v>
      </c>
    </row>
    <row r="8" spans="1:13">
      <c r="A8" s="65">
        <v>1995</v>
      </c>
      <c r="B8" s="292">
        <f>IFERROR('1n'!$B$15*'2i'!B20, "na")</f>
        <v>2.5821087838578793E-2</v>
      </c>
      <c r="C8" s="293">
        <f>IFERROR('1n'!$B$15*'2i'!C20, "na")</f>
        <v>0.32963811821471656</v>
      </c>
      <c r="D8" s="293" t="str">
        <f>IFERROR('1n'!$B$15*'2i'!D20, "na")</f>
        <v>na</v>
      </c>
      <c r="E8" s="294" t="str">
        <f>IFERROR('1n'!$B$15*'2i'!E20, "na")</f>
        <v>na</v>
      </c>
      <c r="F8" s="292">
        <f>IFERROR('1n'!$B$15*'2i'!F20, "na")</f>
        <v>6.4247258894607293E-2</v>
      </c>
      <c r="G8" s="293">
        <f>IFERROR('1n'!$B$15*'2i'!G20, "na")</f>
        <v>0.13995077198478409</v>
      </c>
      <c r="H8" s="293" t="str">
        <f>IFERROR('1n'!$B$15*'2i'!H20, "na")</f>
        <v>na</v>
      </c>
      <c r="I8" s="294" t="str">
        <f>IFERROR('1n'!$B$15*'2i'!I20, "na")</f>
        <v>na</v>
      </c>
      <c r="J8" s="292" t="str">
        <f>IFERROR('1n'!$B$15*'2i'!J20, "na")</f>
        <v>na</v>
      </c>
      <c r="K8" s="293" t="str">
        <f>IFERROR('1n'!$B$15*'2i'!K20, "na")</f>
        <v>na</v>
      </c>
      <c r="L8" s="293" t="str">
        <f>IFERROR('1n'!$B$15*'2i'!L20, "na")</f>
        <v>na</v>
      </c>
      <c r="M8" s="294" t="str">
        <f>IFERROR('1n'!$B$15*'2i'!M20, "na")</f>
        <v>na</v>
      </c>
    </row>
    <row r="9" spans="1:13">
      <c r="A9" s="65">
        <v>1996</v>
      </c>
      <c r="B9" s="292">
        <f>IFERROR('1n'!$B$15*'2i'!B21, "na")</f>
        <v>6.3939157185409448E-2</v>
      </c>
      <c r="C9" s="293">
        <f>IFERROR('1n'!$B$15*'2i'!C21, "na")</f>
        <v>0.36700742223741395</v>
      </c>
      <c r="D9" s="293">
        <f>IFERROR('1n'!$B$15*'2i'!D21, "na")</f>
        <v>0.39966258118072173</v>
      </c>
      <c r="E9" s="294">
        <f>IFERROR('1n'!$B$15*'2i'!E21, "na")</f>
        <v>0.83060916060354506</v>
      </c>
      <c r="F9" s="292">
        <f>IFERROR('1n'!$B$15*'2i'!F21, "na")</f>
        <v>0.14936664162284</v>
      </c>
      <c r="G9" s="293">
        <f>IFERROR('1n'!$B$15*'2i'!G21, "na")</f>
        <v>0.23867468069120962</v>
      </c>
      <c r="H9" s="293" t="str">
        <f>IFERROR('1n'!$B$15*'2i'!H21, "na")</f>
        <v>na</v>
      </c>
      <c r="I9" s="294" t="str">
        <f>IFERROR('1n'!$B$15*'2i'!I21, "na")</f>
        <v>na</v>
      </c>
      <c r="J9" s="292" t="str">
        <f>IFERROR('1n'!$B$15*'2i'!J21, "na")</f>
        <v>na</v>
      </c>
      <c r="K9" s="293" t="str">
        <f>IFERROR('1n'!$B$15*'2i'!K21, "na")</f>
        <v>na</v>
      </c>
      <c r="L9" s="293" t="str">
        <f>IFERROR('1n'!$B$15*'2i'!L21, "na")</f>
        <v>na</v>
      </c>
      <c r="M9" s="294" t="str">
        <f>IFERROR('1n'!$B$15*'2i'!M21, "na")</f>
        <v>na</v>
      </c>
    </row>
    <row r="10" spans="1:13">
      <c r="A10" s="65">
        <v>1997</v>
      </c>
      <c r="B10" s="292">
        <f>IFERROR('1n'!$B$15*'2i'!B22, "na")</f>
        <v>0.30617000000000005</v>
      </c>
      <c r="C10" s="293">
        <f>IFERROR('1n'!$B$15*'2i'!C22, "na")</f>
        <v>0.79134642857142856</v>
      </c>
      <c r="D10" s="293">
        <f>IFERROR('1n'!$B$15*'2i'!D22, "na")</f>
        <v>2.3358235714285711</v>
      </c>
      <c r="E10" s="294">
        <f>IFERROR('1n'!$B$15*'2i'!E22, "na")</f>
        <v>3.4333399999999998</v>
      </c>
      <c r="F10" s="292">
        <f>IFERROR('1n'!$B$15*'2i'!F22, "na")</f>
        <v>0.28568829644533866</v>
      </c>
      <c r="G10" s="293">
        <f>IFERROR('1n'!$B$15*'2i'!G22, "na")</f>
        <v>0.61977783366867878</v>
      </c>
      <c r="H10" s="293">
        <f>IFERROR('1n'!$B$15*'2i'!H22, "na")</f>
        <v>1.1645707578806168E-2</v>
      </c>
      <c r="I10" s="294">
        <f>IFERROR('1n'!$B$15*'2i'!I22, "na")</f>
        <v>0.91711183769282356</v>
      </c>
      <c r="J10" s="292">
        <f>IFERROR('1n'!$B$15*'2i'!J22, "na")</f>
        <v>0.10601085841082111</v>
      </c>
      <c r="K10" s="293">
        <f>IFERROR('1n'!$B$15*'2i'!K22, "na")</f>
        <v>0.29610759356034172</v>
      </c>
      <c r="L10" s="293">
        <f>IFERROR('1n'!$B$15*'2i'!L22, "na")</f>
        <v>0.20487002389775102</v>
      </c>
      <c r="M10" s="294">
        <f>IFERROR('1n'!$B$15*'2i'!M22, "na")</f>
        <v>0.60698847586891391</v>
      </c>
    </row>
    <row r="11" spans="1:13">
      <c r="A11" s="65">
        <v>1998</v>
      </c>
      <c r="B11" s="292">
        <f>IFERROR('1n'!$B$15*'2i'!B23, "na")</f>
        <v>0.44832039691289971</v>
      </c>
      <c r="C11" s="293">
        <f>IFERROR('1n'!$B$15*'2i'!C23, "na")</f>
        <v>0.88735501653803761</v>
      </c>
      <c r="D11" s="293">
        <f>IFERROR('1n'!$B$15*'2i'!D23, "na")</f>
        <v>0.54100088202866592</v>
      </c>
      <c r="E11" s="294">
        <f>IFERROR('1n'!$B$15*'2i'!E23, "na")</f>
        <v>1.8766762954796032</v>
      </c>
      <c r="F11" s="292">
        <f>IFERROR('1n'!$B$15*'2i'!F23, "na")</f>
        <v>0.77951471853196985</v>
      </c>
      <c r="G11" s="293">
        <f>IFERROR('1n'!$B$15*'2i'!G23, "na")</f>
        <v>0.80256451304597165</v>
      </c>
      <c r="H11" s="293">
        <f>IFERROR('1n'!$B$15*'2i'!H23, "na")</f>
        <v>6.1820701519640642E-2</v>
      </c>
      <c r="I11" s="294">
        <f>IFERROR('1n'!$B$15*'2i'!I23, "na")</f>
        <v>1.6438999330975819</v>
      </c>
      <c r="J11" s="292">
        <f>IFERROR('1n'!$B$15*'2i'!J23, "na")</f>
        <v>0.16623733179029782</v>
      </c>
      <c r="K11" s="293">
        <f>IFERROR('1n'!$B$15*'2i'!K23, "na")</f>
        <v>0.33717858091623332</v>
      </c>
      <c r="L11" s="293">
        <f>IFERROR('1n'!$B$15*'2i'!L23, "na")</f>
        <v>0.18894936303982071</v>
      </c>
      <c r="M11" s="294">
        <f>IFERROR('1n'!$B$15*'2i'!M23, "na")</f>
        <v>0.69236527574635176</v>
      </c>
    </row>
    <row r="12" spans="1:13">
      <c r="A12" s="65">
        <v>1999</v>
      </c>
      <c r="B12" s="292">
        <f>IFERROR('1n'!$B$15*'2i'!B24, "na")</f>
        <v>0.42636292472390297</v>
      </c>
      <c r="C12" s="293">
        <f>IFERROR('1n'!$B$15*'2i'!C24, "na")</f>
        <v>1.2995497820843736</v>
      </c>
      <c r="D12" s="293">
        <f>IFERROR('1n'!$B$15*'2i'!D24, "na")</f>
        <v>0.66579232429230306</v>
      </c>
      <c r="E12" s="294">
        <f>IFERROR('1n'!$B$15*'2i'!E24, "na")</f>
        <v>2.3917050311005799</v>
      </c>
      <c r="F12" s="292">
        <f>IFERROR('1n'!$B$15*'2i'!F24, "na")</f>
        <v>0.12785523839397742</v>
      </c>
      <c r="G12" s="293">
        <f>IFERROR('1n'!$B$15*'2i'!G24, "na")</f>
        <v>0.40710084692597248</v>
      </c>
      <c r="H12" s="293">
        <f>IFERROR('1n'!$B$15*'2i'!H24, "na")</f>
        <v>6.2962672521957343E-3</v>
      </c>
      <c r="I12" s="294">
        <f>IFERROR('1n'!$B$15*'2i'!I24, "na")</f>
        <v>0.54125235257214555</v>
      </c>
      <c r="J12" s="292">
        <f>IFERROR('1n'!$B$15*'2i'!J24, "na")</f>
        <v>0.21466951271492635</v>
      </c>
      <c r="K12" s="293">
        <f>IFERROR('1n'!$B$15*'2i'!K24, "na")</f>
        <v>0.34614816992627345</v>
      </c>
      <c r="L12" s="293">
        <f>IFERROR('1n'!$B$15*'2i'!L24, "na")</f>
        <v>0.2230489941826389</v>
      </c>
      <c r="M12" s="294">
        <f>IFERROR('1n'!$B$15*'2i'!M24, "na")</f>
        <v>0.7838666768238387</v>
      </c>
    </row>
    <row r="13" spans="1:13">
      <c r="A13" s="65">
        <v>2000</v>
      </c>
      <c r="B13" s="292">
        <f>IFERROR('1n'!$B$15*'2i'!B25, "na")</f>
        <v>0.10961713173264113</v>
      </c>
      <c r="C13" s="293">
        <f>IFERROR('1n'!$B$15*'2i'!C25, "na")</f>
        <v>1.5071142115509406</v>
      </c>
      <c r="D13" s="293">
        <f>IFERROR('1n'!$B$15*'2i'!D25, "na")</f>
        <v>0.24874432186891629</v>
      </c>
      <c r="E13" s="294">
        <f>IFERROR('1n'!$B$15*'2i'!E25, "na")</f>
        <v>1.8654756651524982</v>
      </c>
      <c r="F13" s="292">
        <f>IFERROR('1n'!$B$15*'2i'!F25, "na")</f>
        <v>0.33579694710685121</v>
      </c>
      <c r="G13" s="293">
        <f>IFERROR('1n'!$B$15*'2i'!G25, "na")</f>
        <v>0.90355697550585734</v>
      </c>
      <c r="H13" s="293">
        <f>IFERROR('1n'!$B$15*'2i'!H25, "na")</f>
        <v>0.13798455804046858</v>
      </c>
      <c r="I13" s="294">
        <f>IFERROR('1n'!$B$15*'2i'!I25, "na")</f>
        <v>1.377338480653177</v>
      </c>
      <c r="J13" s="292">
        <f>IFERROR('1n'!$B$15*'2i'!J25, "na")</f>
        <v>0.25880439424649082</v>
      </c>
      <c r="K13" s="293">
        <f>IFERROR('1n'!$B$15*'2i'!K25, "na")</f>
        <v>0.35020114205632535</v>
      </c>
      <c r="L13" s="293">
        <f>IFERROR('1n'!$B$15*'2i'!L25, "na")</f>
        <v>0.27695941371404958</v>
      </c>
      <c r="M13" s="294">
        <f>IFERROR('1n'!$B$15*'2i'!M25, "na")</f>
        <v>0.88596495001686582</v>
      </c>
    </row>
    <row r="14" spans="1:13">
      <c r="A14" s="65">
        <v>2001</v>
      </c>
      <c r="B14" s="292">
        <f>IFERROR('1n'!$B$15*'2i'!B26, "na")</f>
        <v>2.1778584392014522E-2</v>
      </c>
      <c r="C14" s="293">
        <f>IFERROR('1n'!$B$15*'2i'!C26, "na")</f>
        <v>1.0970475758361422</v>
      </c>
      <c r="D14" s="293">
        <f>IFERROR('1n'!$B$15*'2i'!D26, "na")</f>
        <v>9.7809178117708065E-4</v>
      </c>
      <c r="E14" s="294">
        <f>IFERROR('1n'!$B$15*'2i'!E26, "na")</f>
        <v>1.1198042520093339</v>
      </c>
      <c r="F14" s="292">
        <f>IFERROR('1n'!$B$15*'2i'!F26, "na")</f>
        <v>1.4771114265436484E-3</v>
      </c>
      <c r="G14" s="293">
        <f>IFERROR('1n'!$B$15*'2i'!G26, "na")</f>
        <v>0.6448128105039036</v>
      </c>
      <c r="H14" s="293">
        <f>IFERROR('1n'!$B$15*'2i'!H26, "na")</f>
        <v>7.1770759403832511E-3</v>
      </c>
      <c r="I14" s="294">
        <f>IFERROR('1n'!$B$15*'2i'!I26, "na")</f>
        <v>0.6534669978708304</v>
      </c>
      <c r="J14" s="292">
        <f>IFERROR('1n'!$B$15*'2i'!J26, "na")</f>
        <v>0.24409088206656085</v>
      </c>
      <c r="K14" s="293">
        <f>IFERROR('1n'!$B$15*'2i'!K26, "na")</f>
        <v>0.37834597289666755</v>
      </c>
      <c r="L14" s="293">
        <f>IFERROR('1n'!$B$15*'2i'!L26, "na")</f>
        <v>0.28015116283636582</v>
      </c>
      <c r="M14" s="294">
        <f>IFERROR('1n'!$B$15*'2i'!M26, "na")</f>
        <v>0.90258801779959408</v>
      </c>
    </row>
    <row r="15" spans="1:13">
      <c r="A15" s="65">
        <v>2002</v>
      </c>
      <c r="B15" s="292">
        <f>IFERROR('1n'!$B$15*'2i'!B27, "na")</f>
        <v>0.23402569007925658</v>
      </c>
      <c r="C15" s="293">
        <f>IFERROR('1n'!$B$15*'2i'!C27, "na")</f>
        <v>0.79831921289969943</v>
      </c>
      <c r="D15" s="293">
        <f>IFERROR('1n'!$B$15*'2i'!D27, "na")</f>
        <v>2.5068324678874002E-2</v>
      </c>
      <c r="E15" s="294">
        <f>IFERROR('1n'!$B$15*'2i'!E27, "na")</f>
        <v>1.0574132276578301</v>
      </c>
      <c r="F15" s="292">
        <f>IFERROR('1n'!$B$15*'2i'!F27, "na")</f>
        <v>2.2493020009306655E-2</v>
      </c>
      <c r="G15" s="293">
        <f>IFERROR('1n'!$B$15*'2i'!G27, "na")</f>
        <v>0.51816833410888785</v>
      </c>
      <c r="H15" s="293">
        <f>IFERROR('1n'!$B$15*'2i'!H27, "na")</f>
        <v>2.4272917636109819E-2</v>
      </c>
      <c r="I15" s="294">
        <f>IFERROR('1n'!$B$15*'2i'!I27, "na")</f>
        <v>0.56493427175430422</v>
      </c>
      <c r="J15" s="292">
        <f>IFERROR('1n'!$B$15*'2i'!J27, "na")</f>
        <v>0.2756839281418475</v>
      </c>
      <c r="K15" s="293">
        <f>IFERROR('1n'!$B$15*'2i'!K27, "na")</f>
        <v>0.36746364596059977</v>
      </c>
      <c r="L15" s="293">
        <f>IFERROR('1n'!$B$15*'2i'!L27, "na")</f>
        <v>0.25074870845670422</v>
      </c>
      <c r="M15" s="294">
        <f>IFERROR('1n'!$B$15*'2i'!M27, "na")</f>
        <v>0.89389628255915143</v>
      </c>
    </row>
    <row r="16" spans="1:13">
      <c r="A16" s="65">
        <v>2003</v>
      </c>
      <c r="B16" s="292">
        <f>IFERROR('1n'!$B$15*'2i'!B28, "na")</f>
        <v>0.54405263394260572</v>
      </c>
      <c r="C16" s="293">
        <f>IFERROR('1n'!$B$15*'2i'!C28, "na")</f>
        <v>0.80310257331477075</v>
      </c>
      <c r="D16" s="293">
        <f>IFERROR('1n'!$B$15*'2i'!D28, "na")</f>
        <v>9.7310369605245445E-2</v>
      </c>
      <c r="E16" s="294">
        <f>IFERROR('1n'!$B$15*'2i'!E28, "na")</f>
        <v>1.444465576862622</v>
      </c>
      <c r="F16" s="292">
        <f>IFERROR('1n'!$B$15*'2i'!F28, "na")</f>
        <v>0.1653806455291971</v>
      </c>
      <c r="G16" s="293">
        <f>IFERROR('1n'!$B$15*'2i'!G28, "na")</f>
        <v>0.63467466925182481</v>
      </c>
      <c r="H16" s="293">
        <f>IFERROR('1n'!$B$15*'2i'!H28, "na")</f>
        <v>3.415630702554745E-2</v>
      </c>
      <c r="I16" s="294">
        <f>IFERROR('1n'!$B$15*'2i'!I28, "na")</f>
        <v>0.83421162180656949</v>
      </c>
      <c r="J16" s="292">
        <f>IFERROR('1n'!$B$15*'2i'!J28, "na")</f>
        <v>0.32285453634750494</v>
      </c>
      <c r="K16" s="293">
        <f>IFERROR('1n'!$B$15*'2i'!K28, "na")</f>
        <v>0.38618603525352446</v>
      </c>
      <c r="L16" s="293">
        <f>IFERROR('1n'!$B$15*'2i'!L28, "na")</f>
        <v>0.24572319113150676</v>
      </c>
      <c r="M16" s="294">
        <f>IFERROR('1n'!$B$15*'2i'!M28, "na")</f>
        <v>0.95476376273253616</v>
      </c>
    </row>
    <row r="17" spans="1:13">
      <c r="A17" s="65">
        <v>2004</v>
      </c>
      <c r="B17" s="292">
        <f>IFERROR('1n'!$B$15*'2i'!B29, "na")</f>
        <v>0.78640651801029171</v>
      </c>
      <c r="C17" s="293">
        <f>IFERROR('1n'!$B$15*'2i'!C29, "na")</f>
        <v>1.2505759541166381</v>
      </c>
      <c r="D17" s="293">
        <f>IFERROR('1n'!$B$15*'2i'!D29, "na")</f>
        <v>0.12959932461406518</v>
      </c>
      <c r="E17" s="294">
        <f>IFERROR('1n'!$B$15*'2i'!E29, "na")</f>
        <v>2.1665817967409948</v>
      </c>
      <c r="F17" s="292">
        <f>IFERROR('1n'!$B$15*'2i'!F29, "na")</f>
        <v>0.21248323170731709</v>
      </c>
      <c r="G17" s="293">
        <f>IFERROR('1n'!$B$15*'2i'!G29, "na")</f>
        <v>1.270315243902439</v>
      </c>
      <c r="H17" s="293">
        <f>IFERROR('1n'!$B$15*'2i'!H29, "na")</f>
        <v>4.8261585365853663E-2</v>
      </c>
      <c r="I17" s="294">
        <f>IFERROR('1n'!$B$15*'2i'!I29, "na")</f>
        <v>1.5310600609756098</v>
      </c>
      <c r="J17" s="292">
        <f>IFERROR('1n'!$B$15*'2i'!J29, "na")</f>
        <v>0.41959234435212089</v>
      </c>
      <c r="K17" s="293">
        <f>IFERROR('1n'!$B$15*'2i'!K29, "na")</f>
        <v>0.4245000523899759</v>
      </c>
      <c r="L17" s="293">
        <f>IFERROR('1n'!$B$15*'2i'!L29, "na")</f>
        <v>0.25530765242914855</v>
      </c>
      <c r="M17" s="294">
        <f>IFERROR('1n'!$B$15*'2i'!M29, "na")</f>
        <v>1.0994000491712452</v>
      </c>
    </row>
    <row r="18" spans="1:13">
      <c r="A18" s="65">
        <v>2005</v>
      </c>
      <c r="B18" s="292">
        <f>IFERROR('1n'!$B$15*'2i'!B30, "na")</f>
        <v>1.1190304327878877</v>
      </c>
      <c r="C18" s="293">
        <f>IFERROR('1n'!$B$15*'2i'!C30, "na")</f>
        <v>1.818874445633889</v>
      </c>
      <c r="D18" s="293">
        <f>IFERROR('1n'!$B$15*'2i'!D30, "na")</f>
        <v>0.12937681602691545</v>
      </c>
      <c r="E18" s="294">
        <f>IFERROR('1n'!$B$15*'2i'!E30, "na")</f>
        <v>3.0672816944486923</v>
      </c>
      <c r="F18" s="292">
        <f>IFERROR('1n'!$B$15*'2i'!F30, "na")</f>
        <v>0.41265560579864335</v>
      </c>
      <c r="G18" s="293">
        <f>IFERROR('1n'!$B$15*'2i'!G30, "na")</f>
        <v>1.8295860486766859</v>
      </c>
      <c r="H18" s="293">
        <f>IFERROR('1n'!$B$15*'2i'!H30, "na")</f>
        <v>0.1118965287937226</v>
      </c>
      <c r="I18" s="294">
        <f>IFERROR('1n'!$B$15*'2i'!I30, "na")</f>
        <v>2.3541381832690518</v>
      </c>
      <c r="J18" s="292">
        <f>IFERROR('1n'!$B$15*'2i'!J30, "na")</f>
        <v>0.51936658267657299</v>
      </c>
      <c r="K18" s="293">
        <f>IFERROR('1n'!$B$15*'2i'!K30, "na")</f>
        <v>0.48847122569853485</v>
      </c>
      <c r="L18" s="293">
        <f>IFERROR('1n'!$B$15*'2i'!L30, "na")</f>
        <v>0.26189531791749615</v>
      </c>
      <c r="M18" s="294">
        <f>IFERROR('1n'!$B$15*'2i'!M30, "na")</f>
        <v>1.2697331262926039</v>
      </c>
    </row>
    <row r="19" spans="1:13">
      <c r="A19" s="65">
        <v>2006</v>
      </c>
      <c r="B19" s="292">
        <f>IFERROR('1n'!$B$15*'2i'!B31, "na")</f>
        <v>0.96042057504078304</v>
      </c>
      <c r="C19" s="293">
        <f>IFERROR('1n'!$B$15*'2i'!C31, "na")</f>
        <v>1.5353336561990212</v>
      </c>
      <c r="D19" s="293">
        <f>IFERROR('1n'!$B$15*'2i'!D31, "na")</f>
        <v>0.17189666598694944</v>
      </c>
      <c r="E19" s="294">
        <f>IFERROR('1n'!$B$15*'2i'!E31, "na")</f>
        <v>2.6676508972267539</v>
      </c>
      <c r="F19" s="292">
        <f>IFERROR('1n'!$B$15*'2i'!F31, "na")</f>
        <v>0.43031840988035508</v>
      </c>
      <c r="G19" s="293">
        <f>IFERROR('1n'!$B$15*'2i'!G31, "na")</f>
        <v>1.5343911617136241</v>
      </c>
      <c r="H19" s="293">
        <f>IFERROR('1n'!$B$15*'2i'!H31, "na")</f>
        <v>9.8707062910073348E-2</v>
      </c>
      <c r="I19" s="294">
        <f>IFERROR('1n'!$B$15*'2i'!I31, "na")</f>
        <v>2.0634166345040525</v>
      </c>
      <c r="J19" s="292">
        <f>IFERROR('1n'!$B$15*'2i'!J31, "na")</f>
        <v>0.65386566827500503</v>
      </c>
      <c r="K19" s="293">
        <f>IFERROR('1n'!$B$15*'2i'!K31, "na")</f>
        <v>0.50641738093048205</v>
      </c>
      <c r="L19" s="293">
        <f>IFERROR('1n'!$B$15*'2i'!L31, "na")</f>
        <v>0.27698755781189893</v>
      </c>
      <c r="M19" s="294">
        <f>IFERROR('1n'!$B$15*'2i'!M31, "na")</f>
        <v>1.437270607017386</v>
      </c>
    </row>
    <row r="20" spans="1:13">
      <c r="A20" s="65">
        <v>2007</v>
      </c>
      <c r="B20" s="292">
        <f>IFERROR('1n'!$B$15*'2i'!B32, "na")</f>
        <v>2.1356003655042972</v>
      </c>
      <c r="C20" s="293">
        <f>IFERROR('1n'!$B$15*'2i'!C32, "na")</f>
        <v>1.6303442655339331</v>
      </c>
      <c r="D20" s="293">
        <f>IFERROR('1n'!$B$15*'2i'!D32, "na")</f>
        <v>0.46990096809246273</v>
      </c>
      <c r="E20" s="294">
        <f>IFERROR('1n'!$B$15*'2i'!E32, "na")</f>
        <v>4.235845599130692</v>
      </c>
      <c r="F20" s="292">
        <f>IFERROR('1n'!$B$15*'2i'!F32, "na")</f>
        <v>0.21617291666666666</v>
      </c>
      <c r="G20" s="293">
        <f>IFERROR('1n'!$B$15*'2i'!G32, "na")</f>
        <v>2.0219385416666671</v>
      </c>
      <c r="H20" s="293">
        <f>IFERROR('1n'!$B$15*'2i'!H32, "na")</f>
        <v>5.9205208333333342E-2</v>
      </c>
      <c r="I20" s="294">
        <f>IFERROR('1n'!$B$15*'2i'!I32, "na")</f>
        <v>2.2973166666666671</v>
      </c>
      <c r="J20" s="292">
        <f>IFERROR('1n'!$B$15*'2i'!J32, "na")</f>
        <v>0.68419511726821614</v>
      </c>
      <c r="K20" s="293">
        <f>IFERROR('1n'!$B$15*'2i'!K32, "na")</f>
        <v>0.58177837643595498</v>
      </c>
      <c r="L20" s="293">
        <f>IFERROR('1n'!$B$15*'2i'!L32, "na")</f>
        <v>0.25761576819172172</v>
      </c>
      <c r="M20" s="294">
        <f>IFERROR('1n'!$B$15*'2i'!M32, "na")</f>
        <v>1.5235892618958928</v>
      </c>
    </row>
    <row r="21" spans="1:13">
      <c r="A21" s="65">
        <v>2008</v>
      </c>
      <c r="B21" s="292" t="str">
        <f>IFERROR('1n'!$B$15*'2i'!B33, "na")</f>
        <v>na</v>
      </c>
      <c r="C21" s="293" t="str">
        <f>IFERROR('1n'!$B$15*'2i'!C33, "na")</f>
        <v>na</v>
      </c>
      <c r="D21" s="293" t="str">
        <f>IFERROR('1n'!$B$15*'2i'!D33, "na")</f>
        <v>na</v>
      </c>
      <c r="E21" s="294" t="str">
        <f>IFERROR('1n'!$B$15*'2i'!E33, "na")</f>
        <v>na</v>
      </c>
      <c r="F21" s="292" t="str">
        <f>IFERROR('1n'!$B$15*'2i'!F33, "na")</f>
        <v>na</v>
      </c>
      <c r="G21" s="293" t="str">
        <f>IFERROR('1n'!$B$15*'2i'!G33, "na")</f>
        <v>na</v>
      </c>
      <c r="H21" s="293" t="str">
        <f>IFERROR('1n'!$B$15*'2i'!H33, "na")</f>
        <v>na</v>
      </c>
      <c r="I21" s="294" t="str">
        <f>IFERROR('1n'!$B$15*'2i'!I33, "na")</f>
        <v>na</v>
      </c>
      <c r="J21" s="292">
        <f>IFERROR('1n'!$B$15*'2i'!J33, "na")</f>
        <v>0.75064201049786528</v>
      </c>
      <c r="K21" s="293">
        <f>IFERROR('1n'!$B$15*'2i'!K33, "na")</f>
        <v>0.57816050540479469</v>
      </c>
      <c r="L21" s="293">
        <f>IFERROR('1n'!$B$15*'2i'!L33, "na")</f>
        <v>0.29167785612488317</v>
      </c>
      <c r="M21" s="294">
        <f>IFERROR('1n'!$B$15*'2i'!M33, "na")</f>
        <v>1.6204803720275431</v>
      </c>
    </row>
    <row r="22" spans="1:13">
      <c r="A22" s="20">
        <f>A21+1</f>
        <v>2009</v>
      </c>
      <c r="B22" s="292" t="str">
        <f>IFERROR('1n'!$B$15*'2i'!B34, "na")</f>
        <v>na</v>
      </c>
      <c r="C22" s="293" t="str">
        <f>IFERROR('1n'!$B$15*'2i'!C34, "na")</f>
        <v>na</v>
      </c>
      <c r="D22" s="293" t="str">
        <f>IFERROR('1n'!$B$15*'2i'!D34, "na")</f>
        <v>na</v>
      </c>
      <c r="E22" s="294" t="str">
        <f>IFERROR('1n'!$B$15*'2i'!E34, "na")</f>
        <v>na</v>
      </c>
      <c r="F22" s="292" t="str">
        <f>IFERROR('1n'!$B$15*'2i'!F34, "na")</f>
        <v>na</v>
      </c>
      <c r="G22" s="293" t="str">
        <f>IFERROR('1n'!$B$15*'2i'!G34, "na")</f>
        <v>na</v>
      </c>
      <c r="H22" s="293" t="str">
        <f>IFERROR('1n'!$B$15*'2i'!H34, "na")</f>
        <v>na</v>
      </c>
      <c r="I22" s="294" t="str">
        <f>IFERROR('1n'!$B$15*'2i'!I34, "na")</f>
        <v>na</v>
      </c>
      <c r="J22" s="292">
        <f>IFERROR('1n'!$B$15*'2i'!J34, "na")</f>
        <v>0.65986037300202327</v>
      </c>
      <c r="K22" s="293">
        <f>IFERROR('1n'!$B$15*'2i'!K34, "na")</f>
        <v>0.57485956519831849</v>
      </c>
      <c r="L22" s="293">
        <f>IFERROR('1n'!$B$15*'2i'!L34, "na")</f>
        <v>0.28095699595456186</v>
      </c>
      <c r="M22" s="294">
        <f>IFERROR('1n'!$B$15*'2i'!M34, "na")</f>
        <v>1.5156769341549037</v>
      </c>
    </row>
    <row r="23" spans="1:13">
      <c r="A23" s="21">
        <f t="shared" ref="A23" si="0">A22+1</f>
        <v>2010</v>
      </c>
      <c r="B23" s="295" t="str">
        <f>IFERROR('1n'!$B$15*'2i'!B35, "na")</f>
        <v>na</v>
      </c>
      <c r="C23" s="296" t="str">
        <f>IFERROR('1n'!$B$15*'2i'!C35, "na")</f>
        <v>na</v>
      </c>
      <c r="D23" s="296" t="str">
        <f>IFERROR('1n'!$B$15*'2i'!D35, "na")</f>
        <v>na</v>
      </c>
      <c r="E23" s="297" t="str">
        <f>IFERROR('1n'!$B$15*'2i'!E35, "na")</f>
        <v>na</v>
      </c>
      <c r="F23" s="295" t="str">
        <f>IFERROR('1n'!$B$15*'2i'!F35, "na")</f>
        <v>na</v>
      </c>
      <c r="G23" s="296" t="str">
        <f>IFERROR('1n'!$B$15*'2i'!G35, "na")</f>
        <v>na</v>
      </c>
      <c r="H23" s="296" t="str">
        <f>IFERROR('1n'!$B$15*'2i'!H35, "na")</f>
        <v>na</v>
      </c>
      <c r="I23" s="297" t="str">
        <f>IFERROR('1n'!$B$15*'2i'!I35, "na")</f>
        <v>na</v>
      </c>
      <c r="J23" s="295">
        <f>IFERROR('1n'!$B$15*'2i'!J35, "na")</f>
        <v>0.79476665310924466</v>
      </c>
      <c r="K23" s="296">
        <f>IFERROR('1n'!$B$15*'2i'!K35, "na")</f>
        <v>0.58632592952506268</v>
      </c>
      <c r="L23" s="296">
        <f>IFERROR('1n'!$B$15*'2i'!L35, "na")</f>
        <v>0.32483328465399913</v>
      </c>
      <c r="M23" s="297">
        <f>IFERROR('1n'!$B$15*'2i'!M35, "na")</f>
        <v>1.7059258672883064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5.2858334236150384</v>
      </c>
      <c r="C26" s="86">
        <f t="shared" ref="C26:M26" si="1">IFERROR((POWER(C$13/C5,1/($A$13-$A5))-1)*100,"na")</f>
        <v>12.424603943078672</v>
      </c>
      <c r="D26" s="86" t="str">
        <f t="shared" si="1"/>
        <v>na</v>
      </c>
      <c r="E26" s="87" t="str">
        <f t="shared" si="1"/>
        <v>na</v>
      </c>
      <c r="F26" s="85">
        <f t="shared" si="1"/>
        <v>42.878163775707215</v>
      </c>
      <c r="G26" s="86">
        <f t="shared" si="1"/>
        <v>44.631378106835193</v>
      </c>
      <c r="H26" s="86" t="str">
        <f t="shared" si="1"/>
        <v>na</v>
      </c>
      <c r="I26" s="87" t="str">
        <f t="shared" si="1"/>
        <v>na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 t="str">
        <f>IFERROR((POWER(B$23/B13,1/($A$23-$A$13))-1)*100,"na")</f>
        <v>na</v>
      </c>
      <c r="C27" s="86" t="str">
        <f t="shared" ref="C27:M27" si="2">IFERROR((POWER(C$23/C13,1/($A$23-$A$13))-1)*100,"na")</f>
        <v>na</v>
      </c>
      <c r="D27" s="86" t="str">
        <f t="shared" si="2"/>
        <v>na</v>
      </c>
      <c r="E27" s="87" t="str">
        <f t="shared" si="2"/>
        <v>na</v>
      </c>
      <c r="F27" s="85" t="str">
        <f t="shared" si="2"/>
        <v>na</v>
      </c>
      <c r="G27" s="86" t="str">
        <f t="shared" si="2"/>
        <v>na</v>
      </c>
      <c r="H27" s="86" t="str">
        <f t="shared" si="2"/>
        <v>na</v>
      </c>
      <c r="I27" s="87" t="str">
        <f t="shared" si="2"/>
        <v>na</v>
      </c>
      <c r="J27" s="85">
        <f t="shared" si="2"/>
        <v>11.873390193003374</v>
      </c>
      <c r="K27" s="86">
        <f t="shared" si="2"/>
        <v>5.2887947404825386</v>
      </c>
      <c r="L27" s="86">
        <f t="shared" si="2"/>
        <v>1.6071896155873899</v>
      </c>
      <c r="M27" s="87">
        <f t="shared" si="2"/>
        <v>6.7712584088223116</v>
      </c>
    </row>
    <row r="28" spans="1:13">
      <c r="A28" s="29" t="s">
        <v>126</v>
      </c>
      <c r="B28" s="39" t="str">
        <f>IFERROR((POWER(B23/B5,1/($A$23-$A5))-1)*100, "na")</f>
        <v>na</v>
      </c>
      <c r="C28" s="89" t="str">
        <f t="shared" ref="C28:M28" si="3">IFERROR((POWER(C23/C5,1/($A$23-$A5))-1)*100, "na")</f>
        <v>na</v>
      </c>
      <c r="D28" s="89" t="str">
        <f t="shared" si="3"/>
        <v>na</v>
      </c>
      <c r="E28" s="90" t="str">
        <f t="shared" si="3"/>
        <v>na</v>
      </c>
      <c r="F28" s="88" t="str">
        <f t="shared" si="3"/>
        <v>na</v>
      </c>
      <c r="G28" s="89" t="str">
        <f t="shared" si="3"/>
        <v>na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77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M46"/>
  <sheetViews>
    <sheetView zoomScaleNormal="100" workbookViewId="0"/>
  </sheetViews>
  <sheetFormatPr defaultRowHeight="15"/>
  <cols>
    <col min="1" max="1" width="10.28515625" style="1" customWidth="1"/>
    <col min="2" max="2" width="11.7109375" style="1" customWidth="1"/>
    <col min="3" max="3" width="9.28515625" style="1" bestFit="1" customWidth="1"/>
    <col min="4" max="4" width="18.28515625" style="1" customWidth="1"/>
    <col min="5" max="5" width="9.28515625" style="1" bestFit="1" customWidth="1"/>
    <col min="6" max="6" width="11.85546875" style="1" customWidth="1"/>
    <col min="7" max="7" width="9.28515625" style="1" bestFit="1" customWidth="1"/>
    <col min="8" max="8" width="20.28515625" style="1" customWidth="1"/>
    <col min="9" max="9" width="9.28515625" style="1" bestFit="1" customWidth="1"/>
    <col min="10" max="10" width="14.42578125" style="1" bestFit="1" customWidth="1"/>
    <col min="11" max="11" width="12" style="1" bestFit="1" customWidth="1"/>
    <col min="12" max="12" width="18" style="1" customWidth="1"/>
    <col min="13" max="13" width="12" style="1" bestFit="1" customWidth="1"/>
    <col min="14" max="16384" width="9.140625" style="1"/>
  </cols>
  <sheetData>
    <row r="1" spans="1:13">
      <c r="A1" s="2" t="s">
        <v>81</v>
      </c>
    </row>
    <row r="2" spans="1:13">
      <c r="A2" s="2"/>
    </row>
    <row r="4" spans="1:13" ht="30" customHeight="1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38</v>
      </c>
      <c r="K4" s="379"/>
      <c r="L4" s="379"/>
      <c r="M4" s="380"/>
    </row>
    <row r="5" spans="1:13" ht="75" customHeight="1">
      <c r="B5" s="59" t="s">
        <v>0</v>
      </c>
      <c r="C5" s="60" t="s">
        <v>1</v>
      </c>
      <c r="D5" s="60" t="s">
        <v>2</v>
      </c>
      <c r="E5" s="5" t="s">
        <v>75</v>
      </c>
      <c r="F5" s="60" t="s">
        <v>0</v>
      </c>
      <c r="G5" s="60" t="s">
        <v>1</v>
      </c>
      <c r="H5" s="60" t="s">
        <v>2</v>
      </c>
      <c r="I5" s="5" t="s">
        <v>75</v>
      </c>
      <c r="J5" s="59" t="s">
        <v>39</v>
      </c>
      <c r="K5" s="60" t="s">
        <v>41</v>
      </c>
      <c r="L5" s="60" t="s">
        <v>40</v>
      </c>
      <c r="M5" s="5" t="s">
        <v>75</v>
      </c>
    </row>
    <row r="6" spans="1:13">
      <c r="A6" s="15">
        <v>1981</v>
      </c>
      <c r="B6" s="6">
        <v>30.980400000000003</v>
      </c>
      <c r="C6" s="7">
        <v>25.907299999999999</v>
      </c>
      <c r="D6" s="7">
        <v>10.1678</v>
      </c>
      <c r="E6" s="8">
        <f>(SUM(B6:D6))</f>
        <v>67.055499999999995</v>
      </c>
      <c r="F6" s="6">
        <v>55.431899999999999</v>
      </c>
      <c r="G6" s="7">
        <v>15.890700000000001</v>
      </c>
      <c r="H6" s="7">
        <v>13.8911</v>
      </c>
      <c r="I6" s="7">
        <f t="shared" ref="I6:I36" si="0">(SUM(F6:H6))</f>
        <v>85.213699999999989</v>
      </c>
      <c r="J6" s="6">
        <v>3078.9</v>
      </c>
      <c r="K6" s="7">
        <v>1557.6</v>
      </c>
      <c r="L6" s="7">
        <v>9671.4</v>
      </c>
      <c r="M6" s="153">
        <f t="shared" ref="M6:M36" si="1">(SUM(J6:L6))</f>
        <v>14307.9</v>
      </c>
    </row>
    <row r="7" spans="1:13">
      <c r="A7" s="16">
        <v>1982</v>
      </c>
      <c r="B7" s="9">
        <v>28.164100000000001</v>
      </c>
      <c r="C7" s="10">
        <v>28.3475</v>
      </c>
      <c r="D7" s="10">
        <v>10.819100000000001</v>
      </c>
      <c r="E7" s="11">
        <f t="shared" ref="E7:E36" si="2">(SUM(B7:D7))</f>
        <v>67.330700000000007</v>
      </c>
      <c r="F7" s="9">
        <v>61.449399999999997</v>
      </c>
      <c r="G7" s="10">
        <v>21.979399999999995</v>
      </c>
      <c r="H7" s="10">
        <v>15.8421</v>
      </c>
      <c r="I7" s="10">
        <f t="shared" si="0"/>
        <v>99.270899999999997</v>
      </c>
      <c r="J7" s="9">
        <v>3712.1</v>
      </c>
      <c r="K7" s="10">
        <v>2006.4</v>
      </c>
      <c r="L7" s="10">
        <v>10964.5</v>
      </c>
      <c r="M7" s="97">
        <f t="shared" si="1"/>
        <v>16683</v>
      </c>
    </row>
    <row r="8" spans="1:13">
      <c r="A8" s="16">
        <v>1983</v>
      </c>
      <c r="B8" s="9">
        <v>26.6571</v>
      </c>
      <c r="C8" s="10">
        <v>35.8185</v>
      </c>
      <c r="D8" s="10">
        <v>12.024299999999998</v>
      </c>
      <c r="E8" s="11">
        <f t="shared" si="2"/>
        <v>74.499899999999997</v>
      </c>
      <c r="F8" s="9">
        <v>52.785400000000003</v>
      </c>
      <c r="G8" s="10">
        <v>26.393199999999997</v>
      </c>
      <c r="H8" s="10">
        <v>17.0623</v>
      </c>
      <c r="I8" s="10">
        <f t="shared" si="0"/>
        <v>96.240900000000011</v>
      </c>
      <c r="J8" s="9">
        <v>3678.9</v>
      </c>
      <c r="K8" s="10">
        <v>2417.6</v>
      </c>
      <c r="L8" s="10">
        <v>11548.9</v>
      </c>
      <c r="M8" s="97">
        <f t="shared" si="1"/>
        <v>17645.400000000001</v>
      </c>
    </row>
    <row r="9" spans="1:13">
      <c r="A9" s="16">
        <v>1984</v>
      </c>
      <c r="B9" s="9">
        <v>31.0519</v>
      </c>
      <c r="C9" s="10">
        <v>51.892899999999997</v>
      </c>
      <c r="D9" s="10">
        <v>13.381</v>
      </c>
      <c r="E9" s="11">
        <f t="shared" si="2"/>
        <v>96.325800000000001</v>
      </c>
      <c r="F9" s="9">
        <v>52.712300000000006</v>
      </c>
      <c r="G9" s="10">
        <v>30.584699999999998</v>
      </c>
      <c r="H9" s="10">
        <v>17.771699999999996</v>
      </c>
      <c r="I9" s="10">
        <f t="shared" si="0"/>
        <v>101.06869999999999</v>
      </c>
      <c r="J9" s="9">
        <v>4153.2</v>
      </c>
      <c r="K9" s="10">
        <v>2944.4</v>
      </c>
      <c r="L9" s="10">
        <v>11969</v>
      </c>
      <c r="M9" s="97">
        <f t="shared" si="1"/>
        <v>19066.599999999999</v>
      </c>
    </row>
    <row r="10" spans="1:13">
      <c r="A10" s="16">
        <v>1985</v>
      </c>
      <c r="B10" s="9">
        <v>57.041699999999999</v>
      </c>
      <c r="C10" s="10">
        <v>58.607400000000005</v>
      </c>
      <c r="D10" s="10">
        <v>30.1005</v>
      </c>
      <c r="E10" s="11">
        <f t="shared" si="2"/>
        <v>145.74960000000002</v>
      </c>
      <c r="F10" s="9">
        <v>50.693800000000003</v>
      </c>
      <c r="G10" s="10">
        <v>41.797799999999995</v>
      </c>
      <c r="H10" s="10">
        <v>24.455399999999997</v>
      </c>
      <c r="I10" s="10">
        <f t="shared" si="0"/>
        <v>116.947</v>
      </c>
      <c r="J10" s="9">
        <v>4378.7</v>
      </c>
      <c r="K10" s="10">
        <v>3551.7</v>
      </c>
      <c r="L10" s="10">
        <v>12237.1</v>
      </c>
      <c r="M10" s="97">
        <f t="shared" si="1"/>
        <v>20167.5</v>
      </c>
    </row>
    <row r="11" spans="1:13">
      <c r="A11" s="16">
        <v>1986</v>
      </c>
      <c r="B11" s="9">
        <v>55.865600000000001</v>
      </c>
      <c r="C11" s="10">
        <v>72.694199999999995</v>
      </c>
      <c r="D11" s="10">
        <v>31.8111</v>
      </c>
      <c r="E11" s="11">
        <f t="shared" si="2"/>
        <v>160.37090000000001</v>
      </c>
      <c r="F11" s="9">
        <v>41.272200000000005</v>
      </c>
      <c r="G11" s="10">
        <v>40.177899999999994</v>
      </c>
      <c r="H11" s="10">
        <v>25.9116</v>
      </c>
      <c r="I11" s="10">
        <f t="shared" si="0"/>
        <v>107.36169999999998</v>
      </c>
      <c r="J11" s="9">
        <v>4600.3</v>
      </c>
      <c r="K11" s="10">
        <v>4187.8</v>
      </c>
      <c r="L11" s="10">
        <v>12703.2</v>
      </c>
      <c r="M11" s="97">
        <f t="shared" si="1"/>
        <v>21491.300000000003</v>
      </c>
    </row>
    <row r="12" spans="1:13">
      <c r="A12" s="16">
        <v>1987</v>
      </c>
      <c r="B12" s="9">
        <v>41.692300000000003</v>
      </c>
      <c r="C12" s="10">
        <v>71.031600000000012</v>
      </c>
      <c r="D12" s="10">
        <v>29.084299999999999</v>
      </c>
      <c r="E12" s="11">
        <f t="shared" si="2"/>
        <v>141.8082</v>
      </c>
      <c r="F12" s="9">
        <v>41.732300000000002</v>
      </c>
      <c r="G12" s="10">
        <v>42.106200000000001</v>
      </c>
      <c r="H12" s="10">
        <v>24.929200000000002</v>
      </c>
      <c r="I12" s="10">
        <f t="shared" si="0"/>
        <v>108.76770000000002</v>
      </c>
      <c r="J12" s="9">
        <v>5561.6</v>
      </c>
      <c r="K12" s="10">
        <v>4977</v>
      </c>
      <c r="L12" s="10">
        <v>13395.6</v>
      </c>
      <c r="M12" s="97">
        <f t="shared" si="1"/>
        <v>23934.2</v>
      </c>
    </row>
    <row r="13" spans="1:13">
      <c r="A13" s="16">
        <v>1988</v>
      </c>
      <c r="B13" s="9">
        <v>40.010800000000003</v>
      </c>
      <c r="C13" s="10">
        <v>99.866199999999978</v>
      </c>
      <c r="D13" s="10">
        <v>25.3537</v>
      </c>
      <c r="E13" s="11">
        <f t="shared" si="2"/>
        <v>165.23069999999998</v>
      </c>
      <c r="F13" s="9">
        <v>40.310399999999994</v>
      </c>
      <c r="G13" s="10">
        <v>40.443600000000004</v>
      </c>
      <c r="H13" s="10">
        <v>21.876499999999997</v>
      </c>
      <c r="I13" s="10">
        <f t="shared" si="0"/>
        <v>102.63049999999998</v>
      </c>
      <c r="J13" s="9">
        <v>5848.4</v>
      </c>
      <c r="K13" s="10">
        <v>5987.4</v>
      </c>
      <c r="L13" s="10">
        <v>14213.9</v>
      </c>
      <c r="M13" s="97">
        <f t="shared" si="1"/>
        <v>26049.699999999997</v>
      </c>
    </row>
    <row r="14" spans="1:13">
      <c r="A14" s="16">
        <v>1989</v>
      </c>
      <c r="B14" s="9">
        <v>43.343599999999995</v>
      </c>
      <c r="C14" s="10">
        <v>113.34500000000001</v>
      </c>
      <c r="D14" s="10">
        <v>24.498099999999997</v>
      </c>
      <c r="E14" s="11">
        <f t="shared" si="2"/>
        <v>181.1867</v>
      </c>
      <c r="F14" s="9">
        <v>33.739799999999995</v>
      </c>
      <c r="G14" s="10">
        <v>40.301799999999993</v>
      </c>
      <c r="H14" s="10">
        <v>25.001300000000001</v>
      </c>
      <c r="I14" s="10">
        <f t="shared" si="0"/>
        <v>99.042899999999989</v>
      </c>
      <c r="J14" s="9">
        <v>5986.1</v>
      </c>
      <c r="K14" s="10">
        <v>6946.2</v>
      </c>
      <c r="L14" s="10">
        <v>14902.4</v>
      </c>
      <c r="M14" s="97">
        <f t="shared" si="1"/>
        <v>27834.699999999997</v>
      </c>
    </row>
    <row r="15" spans="1:13">
      <c r="A15" s="16">
        <v>1990</v>
      </c>
      <c r="B15" s="9">
        <v>25.599400000000003</v>
      </c>
      <c r="C15" s="10">
        <v>129.40150000000003</v>
      </c>
      <c r="D15" s="10">
        <v>22.566599999999998</v>
      </c>
      <c r="E15" s="11">
        <f t="shared" si="2"/>
        <v>177.56750000000002</v>
      </c>
      <c r="F15" s="9">
        <v>29.931399999999996</v>
      </c>
      <c r="G15" s="10">
        <v>39.954500000000003</v>
      </c>
      <c r="H15" s="10">
        <v>22.018999999999998</v>
      </c>
      <c r="I15" s="10">
        <f t="shared" si="0"/>
        <v>91.904899999999998</v>
      </c>
      <c r="J15" s="9">
        <v>6037.8</v>
      </c>
      <c r="K15" s="10">
        <v>8010.2</v>
      </c>
      <c r="L15" s="10">
        <v>16057.1</v>
      </c>
      <c r="M15" s="97">
        <f t="shared" si="1"/>
        <v>30105.1</v>
      </c>
    </row>
    <row r="16" spans="1:13">
      <c r="A16" s="16">
        <v>1991</v>
      </c>
      <c r="B16" s="9">
        <v>25.135000000000002</v>
      </c>
      <c r="C16" s="10">
        <v>155.04650000000004</v>
      </c>
      <c r="D16" s="10">
        <v>26.965</v>
      </c>
      <c r="E16" s="11">
        <f t="shared" si="2"/>
        <v>207.14650000000003</v>
      </c>
      <c r="F16" s="9">
        <v>26.035700000000002</v>
      </c>
      <c r="G16" s="10">
        <v>36.988999999999997</v>
      </c>
      <c r="H16" s="10">
        <v>18.367699999999999</v>
      </c>
      <c r="I16" s="10">
        <f t="shared" si="0"/>
        <v>81.392399999999995</v>
      </c>
      <c r="J16" s="9">
        <v>5327.9</v>
      </c>
      <c r="K16" s="10">
        <v>8892.2999999999993</v>
      </c>
      <c r="L16" s="10">
        <v>15949.8</v>
      </c>
      <c r="M16" s="97">
        <f t="shared" si="1"/>
        <v>30170</v>
      </c>
    </row>
    <row r="17" spans="1:13">
      <c r="A17" s="16">
        <v>1992</v>
      </c>
      <c r="B17" s="9">
        <v>43.735800000000005</v>
      </c>
      <c r="C17" s="10">
        <v>172.12200000000001</v>
      </c>
      <c r="D17" s="10">
        <v>22.533199999999997</v>
      </c>
      <c r="E17" s="11">
        <f t="shared" si="2"/>
        <v>238.39100000000002</v>
      </c>
      <c r="F17" s="9">
        <v>25.121099999999998</v>
      </c>
      <c r="G17" s="10">
        <v>32.280400000000007</v>
      </c>
      <c r="H17" s="10">
        <v>15.5434</v>
      </c>
      <c r="I17" s="10">
        <f t="shared" si="0"/>
        <v>72.944900000000004</v>
      </c>
      <c r="J17" s="9">
        <v>5925.3</v>
      </c>
      <c r="K17" s="10">
        <v>9363.7000000000007</v>
      </c>
      <c r="L17" s="10">
        <v>16919.8</v>
      </c>
      <c r="M17" s="97">
        <f t="shared" si="1"/>
        <v>32208.799999999999</v>
      </c>
    </row>
    <row r="18" spans="1:13">
      <c r="A18" s="16">
        <v>1993</v>
      </c>
      <c r="B18" s="9">
        <v>85.641800000000003</v>
      </c>
      <c r="C18" s="10">
        <v>167.24590000000001</v>
      </c>
      <c r="D18" s="10">
        <v>18.798999999999999</v>
      </c>
      <c r="E18" s="11">
        <f t="shared" si="2"/>
        <v>271.68669999999997</v>
      </c>
      <c r="F18" s="9">
        <v>19.194200000000002</v>
      </c>
      <c r="G18" s="10">
        <v>35.498700000000007</v>
      </c>
      <c r="H18" s="10">
        <v>13.1271</v>
      </c>
      <c r="I18" s="10">
        <f t="shared" si="0"/>
        <v>67.820000000000007</v>
      </c>
      <c r="J18" s="9">
        <v>6273.4</v>
      </c>
      <c r="K18" s="10">
        <v>10774.1</v>
      </c>
      <c r="L18" s="10">
        <v>17296.8</v>
      </c>
      <c r="M18" s="97">
        <f t="shared" si="1"/>
        <v>34344.300000000003</v>
      </c>
    </row>
    <row r="19" spans="1:13">
      <c r="A19" s="16">
        <v>1994</v>
      </c>
      <c r="B19" s="9">
        <v>48.084499999999998</v>
      </c>
      <c r="C19" s="10">
        <v>150.43049999999999</v>
      </c>
      <c r="D19" s="10">
        <v>17.061199999999999</v>
      </c>
      <c r="E19" s="11">
        <f t="shared" si="2"/>
        <v>215.57619999999997</v>
      </c>
      <c r="F19" s="9">
        <v>20.456599999999998</v>
      </c>
      <c r="G19" s="10">
        <v>38.753599999999999</v>
      </c>
      <c r="H19" s="10">
        <v>10.805999999999999</v>
      </c>
      <c r="I19" s="10">
        <f t="shared" si="0"/>
        <v>70.016199999999998</v>
      </c>
      <c r="J19" s="9">
        <v>6948.2</v>
      </c>
      <c r="K19" s="10">
        <v>12440.3</v>
      </c>
      <c r="L19" s="10">
        <v>16913.099999999999</v>
      </c>
      <c r="M19" s="97">
        <f t="shared" si="1"/>
        <v>36301.599999999999</v>
      </c>
    </row>
    <row r="20" spans="1:13">
      <c r="A20" s="16">
        <v>1995</v>
      </c>
      <c r="B20" s="9">
        <v>32.5884</v>
      </c>
      <c r="C20" s="10">
        <v>138.34700000000001</v>
      </c>
      <c r="D20" s="10">
        <v>13.4869</v>
      </c>
      <c r="E20" s="11">
        <f t="shared" si="2"/>
        <v>184.42230000000001</v>
      </c>
      <c r="F20" s="9">
        <v>34.182699999999997</v>
      </c>
      <c r="G20" s="10">
        <v>45.270199999999996</v>
      </c>
      <c r="H20" s="10">
        <v>8.7049000000000003</v>
      </c>
      <c r="I20" s="10">
        <f t="shared" si="0"/>
        <v>88.157799999999995</v>
      </c>
      <c r="J20" s="9">
        <v>7544.9</v>
      </c>
      <c r="K20" s="10">
        <v>13364.7</v>
      </c>
      <c r="L20" s="10">
        <v>16146.7</v>
      </c>
      <c r="M20" s="97">
        <f t="shared" si="1"/>
        <v>37056.300000000003</v>
      </c>
    </row>
    <row r="21" spans="1:13">
      <c r="A21" s="16">
        <v>1996</v>
      </c>
      <c r="B21" s="9">
        <v>31.930099999999999</v>
      </c>
      <c r="C21" s="10">
        <v>140.67870000000002</v>
      </c>
      <c r="D21" s="10">
        <v>15.094700000000001</v>
      </c>
      <c r="E21" s="11">
        <f t="shared" si="2"/>
        <v>187.70350000000002</v>
      </c>
      <c r="F21" s="9">
        <v>54.019000000000005</v>
      </c>
      <c r="G21" s="10">
        <v>59.566600000000008</v>
      </c>
      <c r="H21" s="10">
        <v>7.6199000000000003</v>
      </c>
      <c r="I21" s="10">
        <f t="shared" si="0"/>
        <v>121.20550000000001</v>
      </c>
      <c r="J21" s="9">
        <v>7554.8</v>
      </c>
      <c r="K21" s="10">
        <v>14812</v>
      </c>
      <c r="L21" s="10">
        <v>16717</v>
      </c>
      <c r="M21" s="97">
        <f t="shared" si="1"/>
        <v>39083.800000000003</v>
      </c>
    </row>
    <row r="22" spans="1:13">
      <c r="A22" s="16">
        <v>1997</v>
      </c>
      <c r="B22" s="9">
        <v>89.515600000000006</v>
      </c>
      <c r="C22" s="10">
        <v>191.39109999999997</v>
      </c>
      <c r="D22" s="10">
        <v>33.965299999999999</v>
      </c>
      <c r="E22" s="11">
        <f t="shared" si="2"/>
        <v>314.87200000000001</v>
      </c>
      <c r="F22" s="9">
        <v>87.364699999999999</v>
      </c>
      <c r="G22" s="10">
        <v>104.8472</v>
      </c>
      <c r="H22" s="10">
        <v>7.6151</v>
      </c>
      <c r="I22" s="10">
        <f t="shared" si="0"/>
        <v>199.82700000000003</v>
      </c>
      <c r="J22" s="9">
        <v>8649.7000000000007</v>
      </c>
      <c r="K22" s="10">
        <v>16557.5</v>
      </c>
      <c r="L22" s="10">
        <v>17999.900000000001</v>
      </c>
      <c r="M22" s="97">
        <f t="shared" si="1"/>
        <v>43207.100000000006</v>
      </c>
    </row>
    <row r="23" spans="1:13">
      <c r="A23" s="16">
        <v>1998</v>
      </c>
      <c r="B23" s="9">
        <v>141.28820000000002</v>
      </c>
      <c r="C23" s="10">
        <v>240.85770000000002</v>
      </c>
      <c r="D23" s="10">
        <v>32.306500000000007</v>
      </c>
      <c r="E23" s="11">
        <f t="shared" si="2"/>
        <v>414.45240000000007</v>
      </c>
      <c r="F23" s="9">
        <v>193.84249999999997</v>
      </c>
      <c r="G23" s="10">
        <v>160.93719999999999</v>
      </c>
      <c r="H23" s="10">
        <v>13.159599999999999</v>
      </c>
      <c r="I23" s="10">
        <f t="shared" si="0"/>
        <v>367.93929999999995</v>
      </c>
      <c r="J23" s="9">
        <v>10690.9</v>
      </c>
      <c r="K23" s="10">
        <v>18617.7</v>
      </c>
      <c r="L23" s="10">
        <v>18885.099999999999</v>
      </c>
      <c r="M23" s="97">
        <f t="shared" si="1"/>
        <v>48193.7</v>
      </c>
    </row>
    <row r="24" spans="1:13">
      <c r="A24" s="16">
        <v>1999</v>
      </c>
      <c r="B24" s="9">
        <v>142.88139999999999</v>
      </c>
      <c r="C24" s="10">
        <v>328.55590000000001</v>
      </c>
      <c r="D24" s="10">
        <v>31.216099999999997</v>
      </c>
      <c r="E24" s="11">
        <f t="shared" si="2"/>
        <v>502.65339999999998</v>
      </c>
      <c r="F24" s="9">
        <v>110.01979999999999</v>
      </c>
      <c r="G24" s="10">
        <v>148.60669999999999</v>
      </c>
      <c r="H24" s="10">
        <v>10.730500000000001</v>
      </c>
      <c r="I24" s="10">
        <f t="shared" si="0"/>
        <v>269.35699999999997</v>
      </c>
      <c r="J24" s="9">
        <v>11792.6</v>
      </c>
      <c r="K24" s="10">
        <v>20366.099999999999</v>
      </c>
      <c r="L24" s="10">
        <v>19544.099999999999</v>
      </c>
      <c r="M24" s="97">
        <f t="shared" si="1"/>
        <v>51702.799999999996</v>
      </c>
    </row>
    <row r="25" spans="1:13">
      <c r="A25" s="16">
        <v>2000</v>
      </c>
      <c r="B25" s="9">
        <v>90.085999999999999</v>
      </c>
      <c r="C25" s="10">
        <v>420.47969999999998</v>
      </c>
      <c r="D25" s="10">
        <v>25.789999999999996</v>
      </c>
      <c r="E25" s="11">
        <f t="shared" si="2"/>
        <v>536.35569999999996</v>
      </c>
      <c r="F25" s="9">
        <v>94.294399999999996</v>
      </c>
      <c r="G25" s="10">
        <v>187.4631</v>
      </c>
      <c r="H25" s="10">
        <v>19.936500000000002</v>
      </c>
      <c r="I25" s="10">
        <f t="shared" si="0"/>
        <v>301.69400000000002</v>
      </c>
      <c r="J25" s="9">
        <v>13326.8</v>
      </c>
      <c r="K25" s="10">
        <v>22469.3</v>
      </c>
      <c r="L25" s="10">
        <v>21241.9</v>
      </c>
      <c r="M25" s="97">
        <f t="shared" si="1"/>
        <v>57038</v>
      </c>
    </row>
    <row r="26" spans="1:13">
      <c r="A26" s="16">
        <v>2001</v>
      </c>
      <c r="B26" s="9">
        <v>50.7727</v>
      </c>
      <c r="C26" s="10">
        <v>424.82519999999994</v>
      </c>
      <c r="D26" s="10">
        <v>20.0002</v>
      </c>
      <c r="E26" s="11">
        <f t="shared" si="2"/>
        <v>495.59809999999993</v>
      </c>
      <c r="F26" s="9">
        <v>50.239700000000006</v>
      </c>
      <c r="G26" s="10">
        <v>187.2936</v>
      </c>
      <c r="H26" s="10">
        <v>16.064499999999999</v>
      </c>
      <c r="I26" s="10">
        <f t="shared" si="0"/>
        <v>253.59780000000001</v>
      </c>
      <c r="J26" s="9">
        <v>13231.9</v>
      </c>
      <c r="K26" s="10">
        <v>24406.1</v>
      </c>
      <c r="L26" s="10">
        <v>23312.9</v>
      </c>
      <c r="M26" s="97">
        <f t="shared" si="1"/>
        <v>60950.9</v>
      </c>
    </row>
    <row r="27" spans="1:13">
      <c r="A27" s="16">
        <v>2002</v>
      </c>
      <c r="B27" s="9">
        <v>54.377300000000005</v>
      </c>
      <c r="C27" s="10">
        <v>370.30809999999997</v>
      </c>
      <c r="D27" s="10">
        <v>18.279299999999996</v>
      </c>
      <c r="E27" s="11">
        <f t="shared" si="2"/>
        <v>442.96469999999994</v>
      </c>
      <c r="F27" s="9">
        <v>28.993600000000001</v>
      </c>
      <c r="G27" s="10">
        <v>170.25180000000003</v>
      </c>
      <c r="H27" s="10">
        <v>14.492399999999996</v>
      </c>
      <c r="I27" s="10">
        <f t="shared" si="0"/>
        <v>213.73780000000002</v>
      </c>
      <c r="J27" s="9">
        <v>13333.2</v>
      </c>
      <c r="K27" s="10">
        <v>24644.6</v>
      </c>
      <c r="L27" s="10">
        <v>23586</v>
      </c>
      <c r="M27" s="97">
        <f t="shared" si="1"/>
        <v>61563.8</v>
      </c>
    </row>
    <row r="28" spans="1:13">
      <c r="A28" s="16">
        <v>2003</v>
      </c>
      <c r="B28" s="9">
        <v>83.372199999999992</v>
      </c>
      <c r="C28" s="10">
        <v>317.20309999999995</v>
      </c>
      <c r="D28" s="10">
        <v>23.0505</v>
      </c>
      <c r="E28" s="11">
        <f t="shared" si="2"/>
        <v>423.62579999999997</v>
      </c>
      <c r="F28" s="9">
        <v>28.389800000000005</v>
      </c>
      <c r="G28" s="10">
        <v>155.13160000000005</v>
      </c>
      <c r="H28" s="10">
        <v>12.754199999999997</v>
      </c>
      <c r="I28" s="10">
        <f t="shared" si="0"/>
        <v>196.27560000000005</v>
      </c>
      <c r="J28" s="9">
        <v>13504.3</v>
      </c>
      <c r="K28" s="10">
        <v>24416.9</v>
      </c>
      <c r="L28" s="10">
        <v>21106.1</v>
      </c>
      <c r="M28" s="97">
        <f t="shared" si="1"/>
        <v>59027.299999999996</v>
      </c>
    </row>
    <row r="29" spans="1:13">
      <c r="A29" s="16">
        <v>2004</v>
      </c>
      <c r="B29" s="9">
        <v>98.409899999999993</v>
      </c>
      <c r="C29" s="10">
        <v>310.69600000000003</v>
      </c>
      <c r="D29" s="10">
        <v>26.283000000000001</v>
      </c>
      <c r="E29" s="11">
        <f t="shared" si="2"/>
        <v>435.38890000000004</v>
      </c>
      <c r="F29" s="9">
        <v>27.712499999999999</v>
      </c>
      <c r="G29" s="10">
        <v>195.26400000000004</v>
      </c>
      <c r="H29" s="10">
        <v>12.224800000000002</v>
      </c>
      <c r="I29" s="10">
        <f t="shared" si="0"/>
        <v>235.20130000000006</v>
      </c>
      <c r="J29" s="9">
        <v>14115.1</v>
      </c>
      <c r="K29" s="10">
        <v>25552.7</v>
      </c>
      <c r="L29" s="10">
        <v>19344.8</v>
      </c>
      <c r="M29" s="97">
        <f t="shared" si="1"/>
        <v>59012.600000000006</v>
      </c>
    </row>
    <row r="30" spans="1:13">
      <c r="A30" s="16">
        <v>2005</v>
      </c>
      <c r="B30" s="9">
        <v>122.1674</v>
      </c>
      <c r="C30" s="10">
        <v>362.9325</v>
      </c>
      <c r="D30" s="10">
        <v>28.820600000000002</v>
      </c>
      <c r="E30" s="11">
        <f t="shared" si="2"/>
        <v>513.92049999999995</v>
      </c>
      <c r="F30" s="9">
        <v>34.421599999999998</v>
      </c>
      <c r="G30" s="10">
        <v>249.68010000000001</v>
      </c>
      <c r="H30" s="10">
        <v>15.7407</v>
      </c>
      <c r="I30" s="10">
        <f t="shared" si="0"/>
        <v>299.8424</v>
      </c>
      <c r="J30" s="9">
        <v>14970.3</v>
      </c>
      <c r="K30" s="10">
        <v>27534.2</v>
      </c>
      <c r="L30" s="10">
        <v>18446</v>
      </c>
      <c r="M30" s="97">
        <f t="shared" si="1"/>
        <v>60950.5</v>
      </c>
    </row>
    <row r="31" spans="1:13">
      <c r="A31" s="16">
        <v>2006</v>
      </c>
      <c r="B31" s="9">
        <v>118.9491</v>
      </c>
      <c r="C31" s="10">
        <v>364.00939999999997</v>
      </c>
      <c r="D31" s="10">
        <v>33.594300000000004</v>
      </c>
      <c r="E31" s="11">
        <f t="shared" si="2"/>
        <v>516.55279999999993</v>
      </c>
      <c r="F31" s="9">
        <v>37.499999999999993</v>
      </c>
      <c r="G31" s="10">
        <v>265.55469999999997</v>
      </c>
      <c r="H31" s="10">
        <v>17.295999999999999</v>
      </c>
      <c r="I31" s="10">
        <f t="shared" si="0"/>
        <v>320.35069999999996</v>
      </c>
      <c r="J31" s="9">
        <v>16661.900000000001</v>
      </c>
      <c r="K31" s="10">
        <v>29266.400000000001</v>
      </c>
      <c r="L31" s="10">
        <v>18088.099999999999</v>
      </c>
      <c r="M31" s="97">
        <f t="shared" si="1"/>
        <v>64016.4</v>
      </c>
    </row>
    <row r="32" spans="1:13">
      <c r="A32" s="16">
        <v>2007</v>
      </c>
      <c r="B32" s="9">
        <v>180.07940000000002</v>
      </c>
      <c r="C32" s="10">
        <v>379.93849999999998</v>
      </c>
      <c r="D32" s="10">
        <v>59.171500000000002</v>
      </c>
      <c r="E32" s="11">
        <f t="shared" si="2"/>
        <v>619.18940000000009</v>
      </c>
      <c r="F32" s="9">
        <v>28.477799999999998</v>
      </c>
      <c r="G32" s="10">
        <v>315.19060000000007</v>
      </c>
      <c r="H32" s="10">
        <v>15.297600000000003</v>
      </c>
      <c r="I32" s="10">
        <f t="shared" si="0"/>
        <v>358.96600000000007</v>
      </c>
      <c r="J32" s="9">
        <v>17578.099999999999</v>
      </c>
      <c r="K32" s="10">
        <v>32626.5</v>
      </c>
      <c r="L32" s="10">
        <v>17205.2</v>
      </c>
      <c r="M32" s="97">
        <f t="shared" si="1"/>
        <v>67409.8</v>
      </c>
    </row>
    <row r="33" spans="1:13">
      <c r="A33" s="16">
        <v>2008</v>
      </c>
      <c r="B33" s="9">
        <v>139.74960000000002</v>
      </c>
      <c r="C33" s="10">
        <v>395.07309999999995</v>
      </c>
      <c r="D33" s="10">
        <v>52.601199999999999</v>
      </c>
      <c r="E33" s="11">
        <f t="shared" si="2"/>
        <v>587.42389999999989</v>
      </c>
      <c r="F33" s="9">
        <v>24.401299999999999</v>
      </c>
      <c r="G33" s="10">
        <v>356.88380000000001</v>
      </c>
      <c r="H33" s="10">
        <v>15.874999999999996</v>
      </c>
      <c r="I33" s="10">
        <f t="shared" si="0"/>
        <v>397.1601</v>
      </c>
      <c r="J33" s="9">
        <v>18433.7</v>
      </c>
      <c r="K33" s="10">
        <v>35829.1</v>
      </c>
      <c r="L33" s="10">
        <v>17769</v>
      </c>
      <c r="M33" s="97">
        <f t="shared" si="1"/>
        <v>72031.8</v>
      </c>
    </row>
    <row r="34" spans="1:13">
      <c r="A34" s="16">
        <v>2009</v>
      </c>
      <c r="B34" s="9">
        <v>142.1977</v>
      </c>
      <c r="C34" s="10">
        <v>408.25</v>
      </c>
      <c r="D34" s="10">
        <v>56.445800000000013</v>
      </c>
      <c r="E34" s="11">
        <f t="shared" si="2"/>
        <v>606.8934999999999</v>
      </c>
      <c r="F34" s="9">
        <v>28.132100000000001</v>
      </c>
      <c r="G34" s="10">
        <v>387.91030000000001</v>
      </c>
      <c r="H34" s="10">
        <v>14.675299999999998</v>
      </c>
      <c r="I34" s="10">
        <f t="shared" si="0"/>
        <v>430.71769999999998</v>
      </c>
      <c r="J34" s="9">
        <v>18810.5</v>
      </c>
      <c r="K34" s="10">
        <v>37960</v>
      </c>
      <c r="L34" s="10">
        <v>18762.5</v>
      </c>
      <c r="M34" s="97">
        <f t="shared" si="1"/>
        <v>75533</v>
      </c>
    </row>
    <row r="35" spans="1:13">
      <c r="A35" s="16">
        <v>2010</v>
      </c>
      <c r="B35" s="9">
        <v>126.3212</v>
      </c>
      <c r="C35" s="10">
        <v>371.64980000000003</v>
      </c>
      <c r="D35" s="10">
        <v>56.322500000000005</v>
      </c>
      <c r="E35" s="11">
        <f t="shared" si="2"/>
        <v>554.29349999999999</v>
      </c>
      <c r="F35" s="9">
        <v>34.335800000000006</v>
      </c>
      <c r="G35" s="10">
        <v>407.92100000000005</v>
      </c>
      <c r="H35" s="10">
        <v>14.416699999999999</v>
      </c>
      <c r="I35" s="10">
        <f t="shared" si="0"/>
        <v>456.67350000000005</v>
      </c>
      <c r="J35" s="9">
        <v>17835.8</v>
      </c>
      <c r="K35" s="10">
        <v>38813.199999999997</v>
      </c>
      <c r="L35" s="10">
        <v>18130.2</v>
      </c>
      <c r="M35" s="97">
        <f t="shared" si="1"/>
        <v>74779.199999999997</v>
      </c>
    </row>
    <row r="36" spans="1:13">
      <c r="A36" s="17">
        <v>2011</v>
      </c>
      <c r="B36" s="12">
        <v>116.8927</v>
      </c>
      <c r="C36" s="13">
        <v>355.29220000000009</v>
      </c>
      <c r="D36" s="13">
        <v>58.854900000000008</v>
      </c>
      <c r="E36" s="14">
        <f t="shared" si="2"/>
        <v>531.03980000000013</v>
      </c>
      <c r="F36" s="12">
        <v>40.2714</v>
      </c>
      <c r="G36" s="13">
        <v>428.46089999999998</v>
      </c>
      <c r="H36" s="13">
        <v>15.297800000000001</v>
      </c>
      <c r="I36" s="13">
        <f t="shared" si="0"/>
        <v>484.0301</v>
      </c>
      <c r="J36" s="12">
        <v>17455.5</v>
      </c>
      <c r="K36" s="13">
        <v>40201.4</v>
      </c>
      <c r="L36" s="13">
        <v>18502.900000000001</v>
      </c>
      <c r="M36" s="98">
        <f t="shared" si="1"/>
        <v>76159.8</v>
      </c>
    </row>
    <row r="38" spans="1:13">
      <c r="A38" s="384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6"/>
    </row>
    <row r="39" spans="1:13">
      <c r="A39" s="15" t="s">
        <v>53</v>
      </c>
      <c r="B39" s="82">
        <f>(POWER(B15/B6,1/($A15-$A6))-1)*100</f>
        <v>-2.0975318520808139</v>
      </c>
      <c r="C39" s="83">
        <f t="shared" ref="C39" si="3">(POWER(C15/C6,1/($A15-$A6))-1)*100</f>
        <v>19.567463816969678</v>
      </c>
      <c r="D39" s="83">
        <f>(POWER(D15/D6,1/($A15-$A6))-1)*100</f>
        <v>9.2624702760781616</v>
      </c>
      <c r="E39" s="84">
        <f t="shared" ref="E39:M39" si="4">(POWER(E15/E6,1/($A15-$A6))-1)*100</f>
        <v>11.427431419264034</v>
      </c>
      <c r="F39" s="82">
        <f t="shared" si="4"/>
        <v>-6.6180304468951618</v>
      </c>
      <c r="G39" s="83">
        <f t="shared" si="4"/>
        <v>10.787664698545729</v>
      </c>
      <c r="H39" s="83">
        <f>(POWER(H15/H6,1/($A15-$A6))-1)*100</f>
        <v>5.251669869259934</v>
      </c>
      <c r="I39" s="84">
        <f t="shared" si="4"/>
        <v>0.84344969176040063</v>
      </c>
      <c r="J39" s="83">
        <f t="shared" si="4"/>
        <v>7.7700604860698519</v>
      </c>
      <c r="K39" s="83">
        <f t="shared" si="4"/>
        <v>19.95568209681602</v>
      </c>
      <c r="L39" s="83">
        <f t="shared" si="4"/>
        <v>5.7947693983175785</v>
      </c>
      <c r="M39" s="84">
        <f t="shared" si="4"/>
        <v>8.6165539134919644</v>
      </c>
    </row>
    <row r="40" spans="1:13">
      <c r="A40" s="16" t="s">
        <v>71</v>
      </c>
      <c r="B40" s="37">
        <f>(POWER(B$25/B15,1/($A$25-$A$15))-1)*100</f>
        <v>13.407754589636788</v>
      </c>
      <c r="C40" s="34">
        <f t="shared" ref="C40" si="5">(POWER(C$25/C15,1/($A$25-$A$15))-1)*100</f>
        <v>12.507266293068886</v>
      </c>
      <c r="D40" s="34">
        <f>(POWER(D$25/D15,1/($A$25-$A$15))-1)*100</f>
        <v>1.3441118754856651</v>
      </c>
      <c r="E40" s="38">
        <f t="shared" ref="E40:M40" si="6">(POWER(E$25/E15,1/($A$25-$A$15))-1)*100</f>
        <v>11.688624394362513</v>
      </c>
      <c r="F40" s="37">
        <f t="shared" si="6"/>
        <v>12.159454156424276</v>
      </c>
      <c r="G40" s="34">
        <f t="shared" si="6"/>
        <v>16.717240037763492</v>
      </c>
      <c r="H40" s="34">
        <f t="shared" si="6"/>
        <v>-0.98861569110285652</v>
      </c>
      <c r="I40" s="38">
        <f t="shared" si="6"/>
        <v>12.621887228717267</v>
      </c>
      <c r="J40" s="34">
        <f t="shared" si="6"/>
        <v>8.2392353891382442</v>
      </c>
      <c r="K40" s="34">
        <f t="shared" si="6"/>
        <v>10.865040070362797</v>
      </c>
      <c r="L40" s="34">
        <f t="shared" si="6"/>
        <v>2.8377638998998256</v>
      </c>
      <c r="M40" s="38">
        <f t="shared" si="6"/>
        <v>6.5988259388278792</v>
      </c>
    </row>
    <row r="41" spans="1:13">
      <c r="A41" s="16" t="s">
        <v>69</v>
      </c>
      <c r="B41" s="37">
        <f>(POWER(B$35/B25,1/($A$35-$A$25))-1)*100</f>
        <v>3.4384237436104081</v>
      </c>
      <c r="C41" s="34">
        <f>(POWER(C$35/C25,1/($A$35-$A$25))-1)*100</f>
        <v>-1.2268539147648139</v>
      </c>
      <c r="D41" s="34">
        <f>(POWER(D$35/D25,1/($A$35-$A$25))-1)*100</f>
        <v>8.124237586675175</v>
      </c>
      <c r="E41" s="38">
        <f t="shared" ref="E41:L41" si="7">(POWER(E$35/E25,1/($A$35-$A$25))-1)*100</f>
        <v>0.32950938734914725</v>
      </c>
      <c r="F41" s="37">
        <f t="shared" si="7"/>
        <v>-9.6088052127055619</v>
      </c>
      <c r="G41" s="34">
        <f t="shared" si="7"/>
        <v>8.0851493297221531</v>
      </c>
      <c r="H41" s="34">
        <f>(POWER(H$35/H25,1/($A$35-$A$25))-1)*100</f>
        <v>-3.1896713598945303</v>
      </c>
      <c r="I41" s="38">
        <f t="shared" si="7"/>
        <v>4.232682260693621</v>
      </c>
      <c r="J41" s="34">
        <f t="shared" si="7"/>
        <v>2.9571877382235545</v>
      </c>
      <c r="K41" s="34">
        <f t="shared" si="7"/>
        <v>5.6182556894026181</v>
      </c>
      <c r="L41" s="34">
        <f t="shared" si="7"/>
        <v>-1.5714871343504799</v>
      </c>
      <c r="M41" s="38">
        <f>(POWER(M$35/M25,1/($A$35-$A$25))-1)*100</f>
        <v>2.7452261936644851</v>
      </c>
    </row>
    <row r="42" spans="1:13">
      <c r="A42" s="17" t="s">
        <v>70</v>
      </c>
      <c r="B42" s="39">
        <f>(POWER(B35/B6,1/($A$35-$A$6))-1)*100</f>
        <v>4.9658203240329879</v>
      </c>
      <c r="C42" s="40">
        <f>(POWER(C35/C6,1/($A$35-$A$6))-1)*100</f>
        <v>9.6191959043004935</v>
      </c>
      <c r="D42" s="40">
        <f>(POWER(D35/D6,1/($A$35-$A$6))-1)*100</f>
        <v>6.080699994573302</v>
      </c>
      <c r="E42" s="41">
        <f t="shared" ref="E42:M42" si="8">(POWER(E35/E6,1/($A$35-$A$6))-1)*100</f>
        <v>7.555152410416599</v>
      </c>
      <c r="F42" s="39">
        <f t="shared" si="8"/>
        <v>-1.6380450182769124</v>
      </c>
      <c r="G42" s="40">
        <f t="shared" si="8"/>
        <v>11.841025127586446</v>
      </c>
      <c r="H42" s="40">
        <f t="shared" si="8"/>
        <v>0.12814724384861975</v>
      </c>
      <c r="I42" s="41">
        <f t="shared" si="8"/>
        <v>5.9598304658072587</v>
      </c>
      <c r="J42" s="40">
        <f t="shared" si="8"/>
        <v>6.2445823055852445</v>
      </c>
      <c r="K42" s="40">
        <f t="shared" si="8"/>
        <v>11.726445745380797</v>
      </c>
      <c r="L42" s="40">
        <f t="shared" si="8"/>
        <v>2.1905653238743605</v>
      </c>
      <c r="M42" s="41">
        <f t="shared" si="8"/>
        <v>5.8682384419733058</v>
      </c>
    </row>
    <row r="44" spans="1:13">
      <c r="A44" s="1" t="s">
        <v>67</v>
      </c>
    </row>
    <row r="46" spans="1:13">
      <c r="A46" s="1" t="s">
        <v>98</v>
      </c>
    </row>
  </sheetData>
  <mergeCells count="4">
    <mergeCell ref="B4:E4"/>
    <mergeCell ref="F4:I4"/>
    <mergeCell ref="J4:M4"/>
    <mergeCell ref="A38:M38"/>
  </mergeCells>
  <pageMargins left="0.7" right="0.7" top="0.75" bottom="0.75" header="0.3" footer="0.3"/>
  <pageSetup scale="6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44"/>
  <sheetViews>
    <sheetView zoomScaleNormal="100" workbookViewId="0">
      <selection sqref="A1:F2"/>
    </sheetView>
  </sheetViews>
  <sheetFormatPr defaultRowHeight="15"/>
  <cols>
    <col min="1" max="1" width="10" style="1" customWidth="1"/>
    <col min="2" max="2" width="14.7109375" style="1" customWidth="1"/>
    <col min="3" max="3" width="14.5703125" style="1" customWidth="1"/>
    <col min="4" max="4" width="14.42578125" style="1" customWidth="1"/>
    <col min="5" max="5" width="19.5703125" style="1" customWidth="1"/>
    <col min="6" max="6" width="20" style="1" customWidth="1"/>
    <col min="7" max="16384" width="9.140625" style="1"/>
  </cols>
  <sheetData>
    <row r="1" spans="1:7">
      <c r="A1" s="387" t="s">
        <v>83</v>
      </c>
      <c r="B1" s="387"/>
      <c r="C1" s="387"/>
      <c r="D1" s="387"/>
      <c r="E1" s="387"/>
      <c r="F1" s="387"/>
    </row>
    <row r="2" spans="1:7" ht="32.25" customHeight="1">
      <c r="A2" s="387"/>
      <c r="B2" s="387"/>
      <c r="C2" s="387"/>
      <c r="D2" s="387"/>
      <c r="E2" s="387"/>
      <c r="F2" s="387"/>
    </row>
    <row r="3" spans="1:7" ht="18.75" customHeight="1">
      <c r="A3" s="222"/>
      <c r="B3" s="222"/>
      <c r="C3" s="222"/>
      <c r="D3" s="222"/>
      <c r="E3" s="222"/>
      <c r="F3" s="222"/>
    </row>
    <row r="4" spans="1:7">
      <c r="A4" s="117"/>
      <c r="B4" s="117"/>
      <c r="C4" s="117"/>
      <c r="D4" s="117"/>
      <c r="E4" s="389" t="s">
        <v>76</v>
      </c>
      <c r="F4" s="391"/>
      <c r="G4" s="390"/>
    </row>
    <row r="5" spans="1:7" ht="45">
      <c r="B5" s="3" t="s">
        <v>54</v>
      </c>
      <c r="C5" s="4" t="s">
        <v>55</v>
      </c>
      <c r="D5" s="5" t="s">
        <v>56</v>
      </c>
      <c r="E5" s="59" t="s">
        <v>54</v>
      </c>
      <c r="F5" s="60" t="s">
        <v>55</v>
      </c>
      <c r="G5" s="51" t="s">
        <v>56</v>
      </c>
    </row>
    <row r="6" spans="1:7">
      <c r="A6" s="64">
        <v>1981</v>
      </c>
      <c r="B6" s="184" t="s">
        <v>37</v>
      </c>
      <c r="C6" s="63" t="s">
        <v>37</v>
      </c>
      <c r="D6" s="80">
        <f>278406000000/(1000000)</f>
        <v>278406</v>
      </c>
      <c r="E6" s="184" t="s">
        <v>37</v>
      </c>
      <c r="F6" s="63" t="s">
        <v>37</v>
      </c>
      <c r="G6" s="84">
        <f>D6/D6*100</f>
        <v>100</v>
      </c>
    </row>
    <row r="7" spans="1:7">
      <c r="A7" s="65">
        <v>1982</v>
      </c>
      <c r="B7" s="185" t="s">
        <v>37</v>
      </c>
      <c r="C7" s="61" t="s">
        <v>37</v>
      </c>
      <c r="D7" s="53">
        <f>289028000000/(1000000)</f>
        <v>289028</v>
      </c>
      <c r="E7" s="185" t="s">
        <v>37</v>
      </c>
      <c r="F7" s="61" t="s">
        <v>37</v>
      </c>
      <c r="G7" s="87">
        <f t="shared" ref="G7:G33" si="0">D7/D7*100</f>
        <v>100</v>
      </c>
    </row>
    <row r="8" spans="1:7">
      <c r="A8" s="65">
        <v>1983</v>
      </c>
      <c r="B8" s="185" t="s">
        <v>37</v>
      </c>
      <c r="C8" s="61" t="s">
        <v>37</v>
      </c>
      <c r="D8" s="53">
        <f>315788000000/(1000000)</f>
        <v>315788</v>
      </c>
      <c r="E8" s="185" t="s">
        <v>37</v>
      </c>
      <c r="F8" s="61" t="s">
        <v>37</v>
      </c>
      <c r="G8" s="87">
        <f t="shared" si="0"/>
        <v>100</v>
      </c>
    </row>
    <row r="9" spans="1:7">
      <c r="A9" s="65">
        <v>1984</v>
      </c>
      <c r="B9" s="185" t="s">
        <v>37</v>
      </c>
      <c r="C9" s="61" t="s">
        <v>37</v>
      </c>
      <c r="D9" s="53">
        <f>347556000000/(1000000)</f>
        <v>347556</v>
      </c>
      <c r="E9" s="185" t="s">
        <v>37</v>
      </c>
      <c r="F9" s="61" t="s">
        <v>37</v>
      </c>
      <c r="G9" s="87">
        <f t="shared" si="0"/>
        <v>100</v>
      </c>
    </row>
    <row r="10" spans="1:7">
      <c r="A10" s="65">
        <v>1985</v>
      </c>
      <c r="B10" s="185" t="s">
        <v>37</v>
      </c>
      <c r="C10" s="61" t="s">
        <v>37</v>
      </c>
      <c r="D10" s="53">
        <f>376412000000/(1000000)</f>
        <v>376412</v>
      </c>
      <c r="E10" s="185" t="s">
        <v>37</v>
      </c>
      <c r="F10" s="61" t="s">
        <v>37</v>
      </c>
      <c r="G10" s="87">
        <f t="shared" si="0"/>
        <v>100</v>
      </c>
    </row>
    <row r="11" spans="1:7">
      <c r="A11" s="65">
        <v>1986</v>
      </c>
      <c r="B11" s="185" t="s">
        <v>37</v>
      </c>
      <c r="C11" s="61" t="s">
        <v>37</v>
      </c>
      <c r="D11" s="53">
        <f>392949000000/(1000000)</f>
        <v>392949</v>
      </c>
      <c r="E11" s="185" t="s">
        <v>37</v>
      </c>
      <c r="F11" s="61" t="s">
        <v>37</v>
      </c>
      <c r="G11" s="87">
        <f t="shared" si="0"/>
        <v>100</v>
      </c>
    </row>
    <row r="12" spans="1:7">
      <c r="A12" s="65">
        <v>1987</v>
      </c>
      <c r="B12" s="185" t="s">
        <v>37</v>
      </c>
      <c r="C12" s="61" t="s">
        <v>37</v>
      </c>
      <c r="D12" s="53">
        <f>428815000000/(1000000)</f>
        <v>428815</v>
      </c>
      <c r="E12" s="185" t="s">
        <v>37</v>
      </c>
      <c r="F12" s="61" t="s">
        <v>37</v>
      </c>
      <c r="G12" s="87">
        <f t="shared" si="0"/>
        <v>100</v>
      </c>
    </row>
    <row r="13" spans="1:7">
      <c r="A13" s="65">
        <v>1988</v>
      </c>
      <c r="B13" s="185" t="s">
        <v>37</v>
      </c>
      <c r="C13" s="61" t="s">
        <v>37</v>
      </c>
      <c r="D13" s="53">
        <f>470561000000/(1000000)</f>
        <v>470561</v>
      </c>
      <c r="E13" s="185" t="s">
        <v>37</v>
      </c>
      <c r="F13" s="61" t="s">
        <v>37</v>
      </c>
      <c r="G13" s="87">
        <f t="shared" si="0"/>
        <v>100</v>
      </c>
    </row>
    <row r="14" spans="1:7">
      <c r="A14" s="65">
        <v>1989</v>
      </c>
      <c r="B14" s="185" t="s">
        <v>37</v>
      </c>
      <c r="C14" s="61" t="s">
        <v>37</v>
      </c>
      <c r="D14" s="53">
        <f>501432000000/(1000000)</f>
        <v>501432</v>
      </c>
      <c r="E14" s="185" t="s">
        <v>37</v>
      </c>
      <c r="F14" s="61" t="s">
        <v>37</v>
      </c>
      <c r="G14" s="87">
        <f t="shared" si="0"/>
        <v>100</v>
      </c>
    </row>
    <row r="15" spans="1:7">
      <c r="A15" s="65">
        <v>1990</v>
      </c>
      <c r="B15" s="185" t="s">
        <v>37</v>
      </c>
      <c r="C15" s="61" t="s">
        <v>37</v>
      </c>
      <c r="D15" s="53">
        <f>514928000000/(1000000)</f>
        <v>514928</v>
      </c>
      <c r="E15" s="185" t="s">
        <v>37</v>
      </c>
      <c r="F15" s="61" t="s">
        <v>37</v>
      </c>
      <c r="G15" s="87">
        <f t="shared" si="0"/>
        <v>100</v>
      </c>
    </row>
    <row r="16" spans="1:7">
      <c r="A16" s="65">
        <v>1991</v>
      </c>
      <c r="B16" s="185" t="s">
        <v>37</v>
      </c>
      <c r="C16" s="61" t="s">
        <v>37</v>
      </c>
      <c r="D16" s="53">
        <f>511175000000/(1000000)</f>
        <v>511175</v>
      </c>
      <c r="E16" s="185" t="s">
        <v>37</v>
      </c>
      <c r="F16" s="61" t="s">
        <v>37</v>
      </c>
      <c r="G16" s="87">
        <f t="shared" si="0"/>
        <v>100</v>
      </c>
    </row>
    <row r="17" spans="1:7">
      <c r="A17" s="65">
        <v>1992</v>
      </c>
      <c r="B17" s="185" t="s">
        <v>37</v>
      </c>
      <c r="C17" s="61" t="s">
        <v>37</v>
      </c>
      <c r="D17" s="53">
        <f>517611000000/(1000000)</f>
        <v>517611</v>
      </c>
      <c r="E17" s="185" t="s">
        <v>37</v>
      </c>
      <c r="F17" s="61" t="s">
        <v>37</v>
      </c>
      <c r="G17" s="87">
        <f t="shared" si="0"/>
        <v>100</v>
      </c>
    </row>
    <row r="18" spans="1:7">
      <c r="A18" s="65">
        <v>1993</v>
      </c>
      <c r="B18" s="185" t="s">
        <v>37</v>
      </c>
      <c r="C18" s="61" t="s">
        <v>37</v>
      </c>
      <c r="D18" s="53">
        <f>538293000000/(1000000)</f>
        <v>538293</v>
      </c>
      <c r="E18" s="185" t="s">
        <v>37</v>
      </c>
      <c r="F18" s="61" t="s">
        <v>37</v>
      </c>
      <c r="G18" s="87">
        <f t="shared" si="0"/>
        <v>100</v>
      </c>
    </row>
    <row r="19" spans="1:7">
      <c r="A19" s="65">
        <v>1994</v>
      </c>
      <c r="B19" s="185" t="s">
        <v>37</v>
      </c>
      <c r="C19" s="61" t="s">
        <v>37</v>
      </c>
      <c r="D19" s="53">
        <f>578237000000/(1000000)</f>
        <v>578237</v>
      </c>
      <c r="E19" s="185" t="s">
        <v>37</v>
      </c>
      <c r="F19" s="61" t="s">
        <v>37</v>
      </c>
      <c r="G19" s="87">
        <f t="shared" si="0"/>
        <v>100</v>
      </c>
    </row>
    <row r="20" spans="1:7">
      <c r="A20" s="65">
        <v>1995</v>
      </c>
      <c r="B20" s="185" t="s">
        <v>37</v>
      </c>
      <c r="C20" s="61" t="s">
        <v>37</v>
      </c>
      <c r="D20" s="53">
        <f>613306000000/(1000000)</f>
        <v>613306</v>
      </c>
      <c r="E20" s="185" t="s">
        <v>37</v>
      </c>
      <c r="F20" s="61" t="s">
        <v>37</v>
      </c>
      <c r="G20" s="87">
        <f t="shared" si="0"/>
        <v>100</v>
      </c>
    </row>
    <row r="21" spans="1:7">
      <c r="A21" s="65">
        <v>1996</v>
      </c>
      <c r="B21" s="185" t="s">
        <v>37</v>
      </c>
      <c r="C21" s="61" t="s">
        <v>37</v>
      </c>
      <c r="D21" s="53">
        <f>639379000000/(1000000)</f>
        <v>639379</v>
      </c>
      <c r="E21" s="185" t="s">
        <v>37</v>
      </c>
      <c r="F21" s="61" t="s">
        <v>37</v>
      </c>
      <c r="G21" s="87">
        <f t="shared" si="0"/>
        <v>100</v>
      </c>
    </row>
    <row r="22" spans="1:7">
      <c r="A22" s="65">
        <v>1997</v>
      </c>
      <c r="B22" s="185" t="s">
        <v>37</v>
      </c>
      <c r="C22" s="61" t="s">
        <v>37</v>
      </c>
      <c r="D22" s="53">
        <f>679517000000/(1000000)</f>
        <v>679517</v>
      </c>
      <c r="E22" s="185" t="s">
        <v>37</v>
      </c>
      <c r="F22" s="61" t="s">
        <v>37</v>
      </c>
      <c r="G22" s="87">
        <f t="shared" si="0"/>
        <v>100</v>
      </c>
    </row>
    <row r="23" spans="1:7">
      <c r="A23" s="65">
        <v>1998</v>
      </c>
      <c r="B23" s="185" t="s">
        <v>37</v>
      </c>
      <c r="C23" s="61" t="s">
        <v>37</v>
      </c>
      <c r="D23" s="53">
        <f>706587000000/(1000000)</f>
        <v>706587</v>
      </c>
      <c r="E23" s="185" t="s">
        <v>37</v>
      </c>
      <c r="F23" s="61" t="s">
        <v>37</v>
      </c>
      <c r="G23" s="87">
        <f t="shared" si="0"/>
        <v>100</v>
      </c>
    </row>
    <row r="24" spans="1:7">
      <c r="A24" s="65">
        <v>1999</v>
      </c>
      <c r="B24" s="9">
        <f>4947000000/(1000000)</f>
        <v>4947</v>
      </c>
      <c r="C24" s="10">
        <f>4127000000/(1000000)</f>
        <v>4127</v>
      </c>
      <c r="D24" s="53">
        <f>763887000000/(1000000)</f>
        <v>763887</v>
      </c>
      <c r="E24" s="216">
        <f t="shared" ref="E24:E33" si="1">B24/$D24*100</f>
        <v>0.64760887408739776</v>
      </c>
      <c r="F24" s="143">
        <f t="shared" ref="F24:F33" si="2">C24/$D24*100</f>
        <v>0.54026315410525372</v>
      </c>
      <c r="G24" s="87">
        <f t="shared" si="0"/>
        <v>100</v>
      </c>
    </row>
    <row r="25" spans="1:7">
      <c r="A25" s="65">
        <v>2000</v>
      </c>
      <c r="B25" s="9">
        <f>4735000000/(1000000)</f>
        <v>4735</v>
      </c>
      <c r="C25" s="10">
        <f>4840000000/(1000000)</f>
        <v>4840</v>
      </c>
      <c r="D25" s="53">
        <f>844266000000/(1000000)</f>
        <v>844266</v>
      </c>
      <c r="E25" s="216">
        <f t="shared" si="1"/>
        <v>0.56084219902258292</v>
      </c>
      <c r="F25" s="143">
        <f t="shared" si="2"/>
        <v>0.57327903764927168</v>
      </c>
      <c r="G25" s="87">
        <f t="shared" si="0"/>
        <v>100</v>
      </c>
    </row>
    <row r="26" spans="1:7">
      <c r="A26" s="65">
        <v>2001</v>
      </c>
      <c r="B26" s="9">
        <f>4016000000/(1000000)</f>
        <v>4016</v>
      </c>
      <c r="C26" s="10">
        <f>4862000000/(1000000)</f>
        <v>4862</v>
      </c>
      <c r="D26" s="53">
        <f>869687000000/(1000000)</f>
        <v>869687</v>
      </c>
      <c r="E26" s="216">
        <f t="shared" si="1"/>
        <v>0.46177532836526247</v>
      </c>
      <c r="F26" s="143">
        <f t="shared" si="2"/>
        <v>0.55905170480874156</v>
      </c>
      <c r="G26" s="87">
        <f t="shared" si="0"/>
        <v>100</v>
      </c>
    </row>
    <row r="27" spans="1:7">
      <c r="A27" s="65">
        <v>2002</v>
      </c>
      <c r="B27" s="9">
        <f>3938000000/(1000000)</f>
        <v>3938</v>
      </c>
      <c r="C27" s="10">
        <f>5074000000/(1000000)</f>
        <v>5074</v>
      </c>
      <c r="D27" s="53">
        <f>896596000000/(1000000)</f>
        <v>896596</v>
      </c>
      <c r="E27" s="216">
        <f t="shared" si="1"/>
        <v>0.43921677098715589</v>
      </c>
      <c r="F27" s="143">
        <f t="shared" si="2"/>
        <v>0.56591820619320177</v>
      </c>
      <c r="G27" s="87">
        <f t="shared" si="0"/>
        <v>100</v>
      </c>
    </row>
    <row r="28" spans="1:7">
      <c r="A28" s="65">
        <v>2003</v>
      </c>
      <c r="B28" s="9">
        <f>3202000000/(1000000)</f>
        <v>3202</v>
      </c>
      <c r="C28" s="10">
        <f>4967000000/(1000000)</f>
        <v>4967</v>
      </c>
      <c r="D28" s="53">
        <f>945607000000/(1000000)</f>
        <v>945607</v>
      </c>
      <c r="E28" s="216">
        <f t="shared" si="1"/>
        <v>0.3386184746940325</v>
      </c>
      <c r="F28" s="143">
        <f t="shared" si="2"/>
        <v>0.52527106927084932</v>
      </c>
      <c r="G28" s="87">
        <f t="shared" si="0"/>
        <v>100</v>
      </c>
    </row>
    <row r="29" spans="1:7">
      <c r="A29" s="65">
        <v>2004</v>
      </c>
      <c r="B29" s="9">
        <f>3411000000/(1000000)</f>
        <v>3411</v>
      </c>
      <c r="C29" s="10">
        <f>5562000000/(1000000)</f>
        <v>5562</v>
      </c>
      <c r="D29" s="53">
        <f>1011254000000/(1000000)</f>
        <v>1011254</v>
      </c>
      <c r="E29" s="216">
        <f t="shared" si="1"/>
        <v>0.33730398099785019</v>
      </c>
      <c r="F29" s="143">
        <f t="shared" si="2"/>
        <v>0.5500101853738032</v>
      </c>
      <c r="G29" s="87">
        <f t="shared" si="0"/>
        <v>100</v>
      </c>
    </row>
    <row r="30" spans="1:7">
      <c r="A30" s="65">
        <v>2005</v>
      </c>
      <c r="B30" s="9">
        <f>4205000000/(1000000)</f>
        <v>4205</v>
      </c>
      <c r="C30" s="10">
        <f>6170000000/(1000000)</f>
        <v>6170</v>
      </c>
      <c r="D30" s="53">
        <f>1079983000000/(1000000)</f>
        <v>1079983</v>
      </c>
      <c r="E30" s="216">
        <f t="shared" si="1"/>
        <v>0.38935798063488036</v>
      </c>
      <c r="F30" s="143">
        <f t="shared" si="2"/>
        <v>0.57130528906473521</v>
      </c>
      <c r="G30" s="87">
        <f t="shared" si="0"/>
        <v>100</v>
      </c>
    </row>
    <row r="31" spans="1:7">
      <c r="A31" s="65">
        <v>2006</v>
      </c>
      <c r="B31" s="9">
        <f>4563000000/(1000000)</f>
        <v>4563</v>
      </c>
      <c r="C31" s="10">
        <f>6503000000/(1000000)</f>
        <v>6503</v>
      </c>
      <c r="D31" s="53">
        <f>1140215000000/(1000000)</f>
        <v>1140215</v>
      </c>
      <c r="E31" s="216">
        <f t="shared" si="1"/>
        <v>0.40018768390172027</v>
      </c>
      <c r="F31" s="143">
        <f t="shared" si="2"/>
        <v>0.57033103405936592</v>
      </c>
      <c r="G31" s="87">
        <f t="shared" si="0"/>
        <v>100</v>
      </c>
    </row>
    <row r="32" spans="1:7">
      <c r="A32" s="65">
        <v>2007</v>
      </c>
      <c r="B32" s="9">
        <f>4859000000/(1000000)</f>
        <v>4859</v>
      </c>
      <c r="C32" s="10">
        <f>6423000000/(1000000)</f>
        <v>6423</v>
      </c>
      <c r="D32" s="53">
        <f>1203888000000/(1000000)</f>
        <v>1203888</v>
      </c>
      <c r="E32" s="216">
        <f t="shared" si="1"/>
        <v>0.40360897359222786</v>
      </c>
      <c r="F32" s="143">
        <f t="shared" si="2"/>
        <v>0.53352139069415094</v>
      </c>
      <c r="G32" s="87">
        <f t="shared" si="0"/>
        <v>100</v>
      </c>
    </row>
    <row r="33" spans="1:15">
      <c r="A33" s="66">
        <v>2008</v>
      </c>
      <c r="B33" s="12">
        <f>4591000000/(1000000)</f>
        <v>4591</v>
      </c>
      <c r="C33" s="13">
        <f>6331000000/(1000000)</f>
        <v>6331</v>
      </c>
      <c r="D33" s="55">
        <f>1266612000000/(1000000)</f>
        <v>1266612</v>
      </c>
      <c r="E33" s="234">
        <f t="shared" si="1"/>
        <v>0.36246301156155158</v>
      </c>
      <c r="F33" s="215">
        <f t="shared" si="2"/>
        <v>0.49983736140191309</v>
      </c>
      <c r="G33" s="90">
        <f t="shared" si="0"/>
        <v>100</v>
      </c>
    </row>
    <row r="35" spans="1:15">
      <c r="A35" s="384" t="s">
        <v>52</v>
      </c>
      <c r="B35" s="385"/>
      <c r="C35" s="385"/>
      <c r="D35" s="386"/>
      <c r="E35" s="389" t="s">
        <v>77</v>
      </c>
      <c r="F35" s="390"/>
      <c r="G35" s="144"/>
      <c r="H35" s="144"/>
      <c r="I35" s="144"/>
      <c r="J35" s="144"/>
      <c r="K35" s="144"/>
      <c r="L35" s="144"/>
      <c r="M35" s="144"/>
      <c r="N35" s="18"/>
    </row>
    <row r="36" spans="1:15">
      <c r="A36" s="15" t="s">
        <v>53</v>
      </c>
      <c r="B36" s="82" t="s">
        <v>37</v>
      </c>
      <c r="C36" s="83" t="s">
        <v>37</v>
      </c>
      <c r="D36" s="84">
        <f>(POWER(D15/D6,1/($A15-$A6))-1)*100</f>
        <v>7.0715804061902476</v>
      </c>
      <c r="E36" s="224" t="s">
        <v>37</v>
      </c>
      <c r="F36" s="225" t="s">
        <v>37</v>
      </c>
      <c r="G36" s="86"/>
      <c r="H36" s="86"/>
      <c r="I36" s="86"/>
      <c r="J36" s="86"/>
      <c r="K36" s="86"/>
      <c r="L36" s="86"/>
      <c r="M36" s="86"/>
      <c r="N36" s="18"/>
      <c r="O36" s="18"/>
    </row>
    <row r="37" spans="1:15">
      <c r="A37" s="16" t="s">
        <v>71</v>
      </c>
      <c r="B37" s="37" t="s">
        <v>37</v>
      </c>
      <c r="C37" s="34" t="s">
        <v>37</v>
      </c>
      <c r="D37" s="38">
        <f>(POWER(D$25/D15,1/($A$25-$A$15))-1)*100</f>
        <v>5.0686807349439977</v>
      </c>
      <c r="E37" s="57" t="s">
        <v>37</v>
      </c>
      <c r="F37" s="212" t="s">
        <v>37</v>
      </c>
      <c r="G37" s="34"/>
      <c r="H37" s="34"/>
      <c r="I37" s="34"/>
      <c r="J37" s="34"/>
      <c r="K37" s="34"/>
      <c r="L37" s="34"/>
      <c r="M37" s="34"/>
      <c r="N37" s="18"/>
      <c r="O37" s="18"/>
    </row>
    <row r="38" spans="1:15">
      <c r="A38" s="16" t="s">
        <v>59</v>
      </c>
      <c r="B38" s="37">
        <f t="shared" ref="B38:C38" si="3">(POWER(B$33/B25,1/($A$33-$A$25))-1)*100</f>
        <v>-0.38530405878998142</v>
      </c>
      <c r="C38" s="34">
        <f t="shared" si="3"/>
        <v>3.4137695592055373</v>
      </c>
      <c r="D38" s="38">
        <f>(POWER(D$33/D25,1/($A$33-$A$25))-1)*100</f>
        <v>5.2011621097611593</v>
      </c>
      <c r="E38" s="216">
        <f>E33-E25</f>
        <v>-0.19837918746103134</v>
      </c>
      <c r="F38" s="217">
        <f>F33-F25</f>
        <v>-7.3441676247358589E-2</v>
      </c>
      <c r="G38" s="34"/>
      <c r="H38" s="34"/>
      <c r="I38" s="34"/>
      <c r="J38" s="34"/>
      <c r="K38" s="34"/>
      <c r="L38" s="34"/>
      <c r="M38" s="34"/>
      <c r="N38" s="18"/>
      <c r="O38" s="18"/>
    </row>
    <row r="39" spans="1:15">
      <c r="A39" s="17" t="s">
        <v>58</v>
      </c>
      <c r="B39" s="39" t="s">
        <v>37</v>
      </c>
      <c r="C39" s="40" t="s">
        <v>37</v>
      </c>
      <c r="D39" s="41">
        <f>(POWER(D33/D6,1/($A$33-$A$6))-1)*100</f>
        <v>5.7716000997528605</v>
      </c>
      <c r="E39" s="58" t="s">
        <v>37</v>
      </c>
      <c r="F39" s="213" t="s">
        <v>37</v>
      </c>
      <c r="G39" s="34"/>
      <c r="H39" s="34"/>
      <c r="I39" s="34"/>
      <c r="J39" s="34"/>
      <c r="K39" s="34"/>
      <c r="L39" s="34"/>
      <c r="M39" s="34"/>
      <c r="N39" s="18"/>
      <c r="O39" s="18"/>
    </row>
    <row r="40" spans="1: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5" ht="61.5" customHeight="1">
      <c r="A41" s="388" t="s">
        <v>57</v>
      </c>
      <c r="B41" s="388"/>
      <c r="C41" s="388"/>
      <c r="D41" s="119"/>
      <c r="E41" s="119"/>
      <c r="F41" s="119"/>
      <c r="G41" s="119"/>
      <c r="H41" s="119"/>
      <c r="I41" s="119"/>
    </row>
    <row r="42" spans="1:15" ht="15" customHeight="1">
      <c r="A42" s="388"/>
      <c r="B42" s="388"/>
      <c r="C42" s="388"/>
      <c r="D42" s="388"/>
      <c r="E42" s="388"/>
    </row>
    <row r="43" spans="1:15">
      <c r="A43" s="388"/>
      <c r="B43" s="388"/>
      <c r="C43" s="388"/>
      <c r="D43" s="388"/>
      <c r="E43" s="388"/>
    </row>
    <row r="44" spans="1:15">
      <c r="A44" s="388"/>
      <c r="B44" s="388"/>
      <c r="C44" s="388"/>
      <c r="D44" s="388"/>
      <c r="E44" s="388"/>
    </row>
  </sheetData>
  <mergeCells count="6">
    <mergeCell ref="A35:D35"/>
    <mergeCell ref="A1:F2"/>
    <mergeCell ref="A41:C41"/>
    <mergeCell ref="A42:E44"/>
    <mergeCell ref="E35:F35"/>
    <mergeCell ref="E4:G4"/>
  </mergeCells>
  <pageMargins left="0.7" right="0.7" top="0.75" bottom="0.75" header="0.3" footer="0.3"/>
  <pageSetup scale="88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G45"/>
  <sheetViews>
    <sheetView zoomScaleNormal="100" workbookViewId="0">
      <selection activeCell="B15" sqref="B15"/>
    </sheetView>
  </sheetViews>
  <sheetFormatPr defaultRowHeight="15"/>
  <cols>
    <col min="1" max="1" width="13.5703125" style="1" customWidth="1"/>
    <col min="2" max="2" width="19" style="1" customWidth="1"/>
    <col min="3" max="3" width="17" style="1" customWidth="1"/>
    <col min="4" max="4" width="13.5703125" style="1" customWidth="1"/>
    <col min="5" max="5" width="18.28515625" style="1" customWidth="1"/>
    <col min="6" max="6" width="21.42578125" style="1" customWidth="1"/>
    <col min="7" max="16384" width="9.140625" style="1"/>
  </cols>
  <sheetData>
    <row r="1" spans="1:7">
      <c r="A1" s="387" t="s">
        <v>183</v>
      </c>
      <c r="B1" s="387"/>
      <c r="C1" s="387"/>
      <c r="D1" s="387"/>
      <c r="E1" s="387"/>
    </row>
    <row r="2" spans="1:7">
      <c r="A2" s="42"/>
      <c r="B2" s="42"/>
      <c r="C2" s="42"/>
      <c r="D2" s="42"/>
      <c r="E2" s="42"/>
    </row>
    <row r="3" spans="1:7">
      <c r="E3" s="397" t="s">
        <v>76</v>
      </c>
      <c r="F3" s="397"/>
      <c r="G3" s="397"/>
    </row>
    <row r="4" spans="1:7" ht="30">
      <c r="A4" s="62"/>
      <c r="B4" s="3" t="s">
        <v>44</v>
      </c>
      <c r="C4" s="4" t="s">
        <v>45</v>
      </c>
      <c r="D4" s="5" t="s">
        <v>38</v>
      </c>
      <c r="E4" s="273" t="s">
        <v>44</v>
      </c>
      <c r="F4" s="274" t="s">
        <v>45</v>
      </c>
      <c r="G4" s="135" t="s">
        <v>42</v>
      </c>
    </row>
    <row r="5" spans="1:7">
      <c r="A5" s="64">
        <v>1981</v>
      </c>
      <c r="B5" s="7">
        <v>3026.1</v>
      </c>
      <c r="C5" s="7">
        <v>12322.3</v>
      </c>
      <c r="D5" s="8">
        <v>345228.3</v>
      </c>
      <c r="E5" s="216">
        <f>B5/$D5*100</f>
        <v>0.87655038709167232</v>
      </c>
      <c r="F5" s="143">
        <f t="shared" ref="F5:G35" si="0">C5/$D5*100</f>
        <v>3.5693192012358197</v>
      </c>
      <c r="G5" s="87">
        <f t="shared" si="0"/>
        <v>100</v>
      </c>
    </row>
    <row r="6" spans="1:7">
      <c r="A6" s="65">
        <v>1982</v>
      </c>
      <c r="B6" s="10">
        <v>3091.5</v>
      </c>
      <c r="C6" s="10">
        <v>13716.6</v>
      </c>
      <c r="D6" s="11">
        <v>385232.7</v>
      </c>
      <c r="E6" s="216">
        <f t="shared" ref="E6:E35" si="1">B6/$D6*100</f>
        <v>0.80250196829085385</v>
      </c>
      <c r="F6" s="143">
        <f t="shared" si="0"/>
        <v>3.5606011639198853</v>
      </c>
      <c r="G6" s="87">
        <f t="shared" si="0"/>
        <v>100</v>
      </c>
    </row>
    <row r="7" spans="1:7">
      <c r="A7" s="65">
        <v>1983</v>
      </c>
      <c r="B7" s="10">
        <v>3438</v>
      </c>
      <c r="C7" s="10">
        <v>14407.1</v>
      </c>
      <c r="D7" s="11">
        <v>400659.6</v>
      </c>
      <c r="E7" s="216">
        <f t="shared" si="1"/>
        <v>0.85808501780563851</v>
      </c>
      <c r="F7" s="143">
        <f t="shared" si="0"/>
        <v>3.5958454508515461</v>
      </c>
      <c r="G7" s="87">
        <f t="shared" si="0"/>
        <v>100</v>
      </c>
    </row>
    <row r="8" spans="1:7">
      <c r="A8" s="65">
        <v>1984</v>
      </c>
      <c r="B8" s="10">
        <v>3931.5</v>
      </c>
      <c r="C8" s="10">
        <v>15023.8</v>
      </c>
      <c r="D8" s="11">
        <v>417365.7</v>
      </c>
      <c r="E8" s="216">
        <f t="shared" si="1"/>
        <v>0.94197965956474139</v>
      </c>
      <c r="F8" s="143">
        <f t="shared" si="0"/>
        <v>3.5996729007678399</v>
      </c>
      <c r="G8" s="87">
        <f t="shared" si="0"/>
        <v>100</v>
      </c>
    </row>
    <row r="9" spans="1:7">
      <c r="A9" s="65">
        <v>1985</v>
      </c>
      <c r="B9" s="10">
        <v>4094.5</v>
      </c>
      <c r="C9" s="10">
        <v>16079.3</v>
      </c>
      <c r="D9" s="11">
        <v>439661.9</v>
      </c>
      <c r="E9" s="216">
        <f t="shared" si="1"/>
        <v>0.93128378874767181</v>
      </c>
      <c r="F9" s="143">
        <f t="shared" si="0"/>
        <v>3.6571965867408567</v>
      </c>
      <c r="G9" s="87">
        <f t="shared" si="0"/>
        <v>100</v>
      </c>
    </row>
    <row r="10" spans="1:7">
      <c r="A10" s="65">
        <v>1986</v>
      </c>
      <c r="B10" s="10">
        <v>4213.3999999999996</v>
      </c>
      <c r="C10" s="10">
        <v>16384.599999999999</v>
      </c>
      <c r="D10" s="11">
        <v>461421.4</v>
      </c>
      <c r="E10" s="216">
        <f t="shared" si="1"/>
        <v>0.91313493479062724</v>
      </c>
      <c r="F10" s="143">
        <f t="shared" si="0"/>
        <v>3.5508972925833082</v>
      </c>
      <c r="G10" s="87">
        <f t="shared" si="0"/>
        <v>100</v>
      </c>
    </row>
    <row r="11" spans="1:7">
      <c r="A11" s="65">
        <v>1987</v>
      </c>
      <c r="B11" s="10">
        <v>3887.5</v>
      </c>
      <c r="C11" s="10">
        <v>16213.4</v>
      </c>
      <c r="D11" s="11">
        <v>482560.2</v>
      </c>
      <c r="E11" s="216">
        <f t="shared" si="1"/>
        <v>0.80559896982801316</v>
      </c>
      <c r="F11" s="143">
        <f t="shared" si="0"/>
        <v>3.3598709549606456</v>
      </c>
      <c r="G11" s="87">
        <f t="shared" si="0"/>
        <v>100</v>
      </c>
    </row>
    <row r="12" spans="1:7">
      <c r="A12" s="65">
        <v>1988</v>
      </c>
      <c r="B12" s="10">
        <v>4953.3</v>
      </c>
      <c r="C12" s="10">
        <v>16473.900000000001</v>
      </c>
      <c r="D12" s="11">
        <v>515684.6</v>
      </c>
      <c r="E12" s="216">
        <f t="shared" si="1"/>
        <v>0.96052897449332408</v>
      </c>
      <c r="F12" s="143">
        <f t="shared" si="0"/>
        <v>3.1945689283721102</v>
      </c>
      <c r="G12" s="87">
        <f t="shared" si="0"/>
        <v>100</v>
      </c>
    </row>
    <row r="13" spans="1:7">
      <c r="A13" s="65">
        <v>1989</v>
      </c>
      <c r="B13" s="10">
        <v>5605.3</v>
      </c>
      <c r="C13" s="10">
        <v>16926.8</v>
      </c>
      <c r="D13" s="11">
        <v>553752.19999999995</v>
      </c>
      <c r="E13" s="216">
        <f t="shared" si="1"/>
        <v>1.0122397707855608</v>
      </c>
      <c r="F13" s="143">
        <f t="shared" si="0"/>
        <v>3.0567463208272585</v>
      </c>
      <c r="G13" s="87">
        <f t="shared" si="0"/>
        <v>100</v>
      </c>
    </row>
    <row r="14" spans="1:7">
      <c r="A14" s="65">
        <v>1990</v>
      </c>
      <c r="B14" s="10">
        <v>6205.7</v>
      </c>
      <c r="C14" s="10">
        <v>16936.2</v>
      </c>
      <c r="D14" s="11">
        <v>585116.19999999995</v>
      </c>
      <c r="E14" s="216">
        <f t="shared" si="1"/>
        <v>1.0605927506365402</v>
      </c>
      <c r="F14" s="143">
        <f t="shared" si="0"/>
        <v>2.8945019809740362</v>
      </c>
      <c r="G14" s="87">
        <f t="shared" si="0"/>
        <v>100</v>
      </c>
    </row>
    <row r="15" spans="1:7">
      <c r="A15" s="65">
        <v>1991</v>
      </c>
      <c r="B15" s="10">
        <v>7141</v>
      </c>
      <c r="C15" s="10">
        <v>16260.4</v>
      </c>
      <c r="D15" s="11">
        <v>582774.30000000005</v>
      </c>
      <c r="E15" s="216">
        <f t="shared" si="1"/>
        <v>1.2253457298992079</v>
      </c>
      <c r="F15" s="143">
        <f t="shared" si="0"/>
        <v>2.7901710833851112</v>
      </c>
      <c r="G15" s="87">
        <f t="shared" si="0"/>
        <v>100</v>
      </c>
    </row>
    <row r="16" spans="1:7">
      <c r="A16" s="65">
        <v>1992</v>
      </c>
      <c r="B16" s="10">
        <v>8342.2999999999993</v>
      </c>
      <c r="C16" s="10">
        <v>15613.8</v>
      </c>
      <c r="D16" s="11">
        <v>586374.30000000005</v>
      </c>
      <c r="E16" s="216">
        <f t="shared" si="1"/>
        <v>1.4226919563152747</v>
      </c>
      <c r="F16" s="143">
        <f t="shared" si="0"/>
        <v>2.6627701793888301</v>
      </c>
      <c r="G16" s="87">
        <f t="shared" si="0"/>
        <v>100</v>
      </c>
    </row>
    <row r="17" spans="1:7">
      <c r="A17" s="65">
        <v>1993</v>
      </c>
      <c r="B17" s="10">
        <v>8181.1</v>
      </c>
      <c r="C17" s="10">
        <v>15161.5</v>
      </c>
      <c r="D17" s="11">
        <v>596173</v>
      </c>
      <c r="E17" s="216">
        <f t="shared" si="1"/>
        <v>1.3722694586973916</v>
      </c>
      <c r="F17" s="143">
        <f t="shared" si="0"/>
        <v>2.5431376462872355</v>
      </c>
      <c r="G17" s="87">
        <f t="shared" si="0"/>
        <v>100</v>
      </c>
    </row>
    <row r="18" spans="1:7">
      <c r="A18" s="65">
        <v>1994</v>
      </c>
      <c r="B18" s="10">
        <v>8213.7999999999993</v>
      </c>
      <c r="C18" s="10">
        <v>15130.4</v>
      </c>
      <c r="D18" s="11">
        <v>621284.69999999995</v>
      </c>
      <c r="E18" s="216">
        <f t="shared" si="1"/>
        <v>1.3220670008451842</v>
      </c>
      <c r="F18" s="143">
        <f t="shared" si="0"/>
        <v>2.4353408348861643</v>
      </c>
      <c r="G18" s="87">
        <f t="shared" si="0"/>
        <v>100</v>
      </c>
    </row>
    <row r="19" spans="1:7">
      <c r="A19" s="65">
        <v>1995</v>
      </c>
      <c r="B19" s="10">
        <v>7835.6</v>
      </c>
      <c r="C19" s="10">
        <v>15281.7</v>
      </c>
      <c r="D19" s="11">
        <v>639841.1</v>
      </c>
      <c r="E19" s="216">
        <f t="shared" si="1"/>
        <v>1.2246165493276377</v>
      </c>
      <c r="F19" s="143">
        <f t="shared" si="0"/>
        <v>2.3883586096610552</v>
      </c>
      <c r="G19" s="87">
        <f t="shared" si="0"/>
        <v>100</v>
      </c>
    </row>
    <row r="20" spans="1:7">
      <c r="A20" s="65">
        <v>1996</v>
      </c>
      <c r="B20" s="10">
        <v>7724.5</v>
      </c>
      <c r="C20" s="10">
        <v>15963.4</v>
      </c>
      <c r="D20" s="11">
        <v>660762.80000000005</v>
      </c>
      <c r="E20" s="216">
        <f t="shared" si="1"/>
        <v>1.169027675286805</v>
      </c>
      <c r="F20" s="143">
        <f t="shared" si="0"/>
        <v>2.4159047694573603</v>
      </c>
      <c r="G20" s="87">
        <f t="shared" si="0"/>
        <v>100</v>
      </c>
    </row>
    <row r="21" spans="1:7">
      <c r="A21" s="65">
        <v>1997</v>
      </c>
      <c r="B21" s="10">
        <v>8604.2000000000007</v>
      </c>
      <c r="C21" s="10">
        <v>16519.900000000001</v>
      </c>
      <c r="D21" s="11">
        <v>696765.4</v>
      </c>
      <c r="E21" s="216">
        <f t="shared" si="1"/>
        <v>1.2348776216499844</v>
      </c>
      <c r="F21" s="143">
        <f t="shared" si="0"/>
        <v>2.3709414962338831</v>
      </c>
      <c r="G21" s="87">
        <f t="shared" si="0"/>
        <v>100</v>
      </c>
    </row>
    <row r="22" spans="1:7">
      <c r="A22" s="65">
        <v>1998</v>
      </c>
      <c r="B22" s="10">
        <v>9493</v>
      </c>
      <c r="C22" s="10">
        <v>17051</v>
      </c>
      <c r="D22" s="11">
        <v>736271.2</v>
      </c>
      <c r="E22" s="216">
        <f t="shared" si="1"/>
        <v>1.2893346908041494</v>
      </c>
      <c r="F22" s="143">
        <f t="shared" si="0"/>
        <v>2.3158586129676131</v>
      </c>
      <c r="G22" s="87">
        <f t="shared" si="0"/>
        <v>100</v>
      </c>
    </row>
    <row r="23" spans="1:7">
      <c r="A23" s="65">
        <v>1999</v>
      </c>
      <c r="B23" s="10">
        <v>10972.8</v>
      </c>
      <c r="C23" s="10">
        <v>17291.7</v>
      </c>
      <c r="D23" s="11">
        <v>763619.7</v>
      </c>
      <c r="E23" s="216">
        <f t="shared" si="1"/>
        <v>1.4369456419209721</v>
      </c>
      <c r="F23" s="143">
        <f t="shared" si="0"/>
        <v>2.2644386990016105</v>
      </c>
      <c r="G23" s="87">
        <f t="shared" si="0"/>
        <v>100</v>
      </c>
    </row>
    <row r="24" spans="1:7">
      <c r="A24" s="65">
        <v>2000</v>
      </c>
      <c r="B24" s="10">
        <v>11826.6</v>
      </c>
      <c r="C24" s="10">
        <v>17493.400000000001</v>
      </c>
      <c r="D24" s="11">
        <v>801546.5</v>
      </c>
      <c r="E24" s="216">
        <f t="shared" si="1"/>
        <v>1.4754727267850338</v>
      </c>
      <c r="F24" s="143">
        <f t="shared" si="0"/>
        <v>2.1824560396683164</v>
      </c>
      <c r="G24" s="87">
        <f t="shared" si="0"/>
        <v>100</v>
      </c>
    </row>
    <row r="25" spans="1:7">
      <c r="A25" s="65">
        <v>2001</v>
      </c>
      <c r="B25" s="10">
        <v>13928.2</v>
      </c>
      <c r="C25" s="10">
        <v>17712.3</v>
      </c>
      <c r="D25" s="11">
        <v>832003.5</v>
      </c>
      <c r="E25" s="216">
        <f t="shared" si="1"/>
        <v>1.6740554576993967</v>
      </c>
      <c r="F25" s="143">
        <f t="shared" si="0"/>
        <v>2.1288732559418317</v>
      </c>
      <c r="G25" s="87">
        <f t="shared" si="0"/>
        <v>100</v>
      </c>
    </row>
    <row r="26" spans="1:7">
      <c r="A26" s="65">
        <v>2002</v>
      </c>
      <c r="B26" s="10">
        <v>14554.3</v>
      </c>
      <c r="C26" s="10">
        <v>17666.8</v>
      </c>
      <c r="D26" s="11">
        <v>847253.4</v>
      </c>
      <c r="E26" s="216">
        <f t="shared" si="1"/>
        <v>1.7178213743373587</v>
      </c>
      <c r="F26" s="143">
        <f t="shared" si="0"/>
        <v>2.085184904539775</v>
      </c>
      <c r="G26" s="87">
        <f t="shared" si="0"/>
        <v>100</v>
      </c>
    </row>
    <row r="27" spans="1:7">
      <c r="A27" s="65">
        <v>2003</v>
      </c>
      <c r="B27" s="10">
        <v>13142.2</v>
      </c>
      <c r="C27" s="10">
        <v>17931.2</v>
      </c>
      <c r="D27" s="11">
        <v>847104.9</v>
      </c>
      <c r="E27" s="216">
        <f t="shared" si="1"/>
        <v>1.55142533114848</v>
      </c>
      <c r="F27" s="143">
        <f t="shared" si="0"/>
        <v>2.1167626347102937</v>
      </c>
      <c r="G27" s="87">
        <f t="shared" si="0"/>
        <v>100</v>
      </c>
    </row>
    <row r="28" spans="1:7">
      <c r="A28" s="65">
        <v>2004</v>
      </c>
      <c r="B28" s="10">
        <v>12328.9</v>
      </c>
      <c r="C28" s="10">
        <v>18205.099999999999</v>
      </c>
      <c r="D28" s="11">
        <v>884967.7</v>
      </c>
      <c r="E28" s="216">
        <f t="shared" si="1"/>
        <v>1.393146891123823</v>
      </c>
      <c r="F28" s="143">
        <f t="shared" si="0"/>
        <v>2.0571485264377443</v>
      </c>
      <c r="G28" s="87">
        <f t="shared" si="0"/>
        <v>100</v>
      </c>
    </row>
    <row r="29" spans="1:7">
      <c r="A29" s="65">
        <v>2005</v>
      </c>
      <c r="B29" s="10">
        <v>13453.9</v>
      </c>
      <c r="C29" s="10">
        <v>18966.8</v>
      </c>
      <c r="D29" s="11">
        <v>941887.1</v>
      </c>
      <c r="E29" s="216">
        <f t="shared" si="1"/>
        <v>1.4283983717369098</v>
      </c>
      <c r="F29" s="143">
        <f t="shared" si="0"/>
        <v>2.0137020668400702</v>
      </c>
      <c r="G29" s="87">
        <f t="shared" si="0"/>
        <v>100</v>
      </c>
    </row>
    <row r="30" spans="1:7">
      <c r="A30" s="65">
        <v>2006</v>
      </c>
      <c r="B30" s="10">
        <v>13272.7</v>
      </c>
      <c r="C30" s="10">
        <v>19957.900000000001</v>
      </c>
      <c r="D30" s="11">
        <v>1019940.8</v>
      </c>
      <c r="E30" s="216">
        <f t="shared" si="1"/>
        <v>1.3013206256676857</v>
      </c>
      <c r="F30" s="143">
        <f t="shared" si="0"/>
        <v>1.9567704321662591</v>
      </c>
      <c r="G30" s="87">
        <f t="shared" si="0"/>
        <v>100</v>
      </c>
    </row>
    <row r="31" spans="1:7">
      <c r="A31" s="65">
        <v>2007</v>
      </c>
      <c r="B31" s="10">
        <v>14843.2</v>
      </c>
      <c r="C31" s="10">
        <v>20513.5</v>
      </c>
      <c r="D31" s="11">
        <v>1096787.1000000001</v>
      </c>
      <c r="E31" s="216">
        <f t="shared" si="1"/>
        <v>1.3533346626706313</v>
      </c>
      <c r="F31" s="143">
        <f t="shared" si="0"/>
        <v>1.8703265200693917</v>
      </c>
      <c r="G31" s="87">
        <f t="shared" si="0"/>
        <v>100</v>
      </c>
    </row>
    <row r="32" spans="1:7">
      <c r="A32" s="65">
        <v>2008</v>
      </c>
      <c r="B32" s="10">
        <v>16264.8</v>
      </c>
      <c r="C32" s="10">
        <v>21933.3</v>
      </c>
      <c r="D32" s="11">
        <v>1190213.8999999999</v>
      </c>
      <c r="E32" s="216">
        <f t="shared" si="1"/>
        <v>1.366544282502498</v>
      </c>
      <c r="F32" s="143">
        <f t="shared" si="0"/>
        <v>1.8428032137752719</v>
      </c>
      <c r="G32" s="87">
        <f t="shared" si="0"/>
        <v>100</v>
      </c>
    </row>
    <row r="33" spans="1:7">
      <c r="A33" s="65">
        <v>2009</v>
      </c>
      <c r="B33" s="10">
        <v>16010</v>
      </c>
      <c r="C33" s="10">
        <v>21367</v>
      </c>
      <c r="D33" s="11">
        <v>1203922.8</v>
      </c>
      <c r="E33" s="216">
        <f t="shared" si="1"/>
        <v>1.3298194867644337</v>
      </c>
      <c r="F33" s="143">
        <f t="shared" si="0"/>
        <v>1.7747815723732452</v>
      </c>
      <c r="G33" s="87">
        <f t="shared" si="0"/>
        <v>100</v>
      </c>
    </row>
    <row r="34" spans="1:7">
      <c r="A34" s="65">
        <v>2010</v>
      </c>
      <c r="B34" s="10">
        <v>13905.6</v>
      </c>
      <c r="C34" s="10">
        <v>22251.599999999999</v>
      </c>
      <c r="D34" s="11">
        <v>1212021.2</v>
      </c>
      <c r="E34" s="216">
        <f t="shared" si="1"/>
        <v>1.1473066642728691</v>
      </c>
      <c r="F34" s="143">
        <f t="shared" si="0"/>
        <v>1.8359084808087516</v>
      </c>
      <c r="G34" s="87">
        <f t="shared" si="0"/>
        <v>100</v>
      </c>
    </row>
    <row r="35" spans="1:7">
      <c r="A35" s="66">
        <v>2011</v>
      </c>
      <c r="B35" s="13">
        <v>12792.1</v>
      </c>
      <c r="C35" s="13">
        <v>23799.599999999999</v>
      </c>
      <c r="D35" s="14">
        <v>1251501.7</v>
      </c>
      <c r="E35" s="234">
        <f t="shared" si="1"/>
        <v>1.022140041839336</v>
      </c>
      <c r="F35" s="215">
        <f t="shared" si="0"/>
        <v>1.9016833936382187</v>
      </c>
      <c r="G35" s="90">
        <f t="shared" si="0"/>
        <v>100</v>
      </c>
    </row>
    <row r="37" spans="1:7">
      <c r="A37" s="384" t="s">
        <v>52</v>
      </c>
      <c r="B37" s="385"/>
      <c r="C37" s="385"/>
      <c r="D37" s="386"/>
      <c r="E37" s="389" t="s">
        <v>77</v>
      </c>
      <c r="F37" s="390"/>
    </row>
    <row r="38" spans="1:7">
      <c r="A38" s="15" t="s">
        <v>53</v>
      </c>
      <c r="B38" s="84">
        <f>(POWER(B14/B5,1/($A14-$A5))-1)*100</f>
        <v>8.3069657265307342</v>
      </c>
      <c r="C38" s="84">
        <f t="shared" ref="C38:D38" si="2">(POWER(C14/C5,1/($A14-$A5))-1)*100</f>
        <v>3.5969889603850946</v>
      </c>
      <c r="D38" s="84">
        <f t="shared" si="2"/>
        <v>6.0375111971460393</v>
      </c>
      <c r="E38" s="236">
        <f>E14-E5</f>
        <v>0.18404236354486792</v>
      </c>
      <c r="F38" s="237">
        <f>F14-F5</f>
        <v>-0.67481722026178348</v>
      </c>
    </row>
    <row r="39" spans="1:7">
      <c r="A39" s="16" t="s">
        <v>71</v>
      </c>
      <c r="B39" s="38">
        <f>(POWER(B$24/B14,1/($A$24-$A$14))-1)*100</f>
        <v>6.6613099570282053</v>
      </c>
      <c r="C39" s="38">
        <f t="shared" ref="C39:D39" si="3">(POWER(C$24/C14,1/($A$24-$A$14))-1)*100</f>
        <v>0.32422772480344975</v>
      </c>
      <c r="D39" s="38">
        <f t="shared" si="3"/>
        <v>3.1973772673193457</v>
      </c>
      <c r="E39" s="216">
        <f>E24-E14</f>
        <v>0.41487997614849359</v>
      </c>
      <c r="F39" s="217">
        <f>F24-F14</f>
        <v>-0.71204594130571985</v>
      </c>
    </row>
    <row r="40" spans="1:7">
      <c r="A40" s="16" t="s">
        <v>69</v>
      </c>
      <c r="B40" s="38">
        <f>(POWER(B$34/B24,1/($A$34-$A$24))-1)*100</f>
        <v>1.6325874647105554</v>
      </c>
      <c r="C40" s="38">
        <f t="shared" ref="C40:D40" si="4">(POWER(C$34/C24,1/($A$34-$A$24))-1)*100</f>
        <v>2.435077832933108</v>
      </c>
      <c r="D40" s="38">
        <f t="shared" si="4"/>
        <v>4.2216991824364003</v>
      </c>
      <c r="E40" s="216">
        <f>E34-E24</f>
        <v>-0.32816606251216474</v>
      </c>
      <c r="F40" s="217">
        <f>F34-F24</f>
        <v>-0.34654755885956479</v>
      </c>
    </row>
    <row r="41" spans="1:7">
      <c r="A41" s="17" t="s">
        <v>70</v>
      </c>
      <c r="B41" s="41">
        <f>(POWER(B34/B5,1/($A$34-$A$5))-1)*100</f>
        <v>5.3994036612017071</v>
      </c>
      <c r="C41" s="41">
        <f t="shared" ref="C41:D41" si="5">(POWER(C34/C5,1/($A$34-$A$5))-1)*100</f>
        <v>2.0588502033098921</v>
      </c>
      <c r="D41" s="41">
        <f t="shared" si="5"/>
        <v>4.4256118367153485</v>
      </c>
      <c r="E41" s="234">
        <f>E34-E5</f>
        <v>0.27075627718119677</v>
      </c>
      <c r="F41" s="235">
        <f>F34-F5</f>
        <v>-1.7334107204270681</v>
      </c>
    </row>
    <row r="42" spans="1:7">
      <c r="A42" s="26"/>
      <c r="B42" s="34"/>
      <c r="C42" s="34"/>
      <c r="D42" s="34"/>
    </row>
    <row r="43" spans="1:7">
      <c r="A43" s="1" t="s">
        <v>46</v>
      </c>
    </row>
    <row r="45" spans="1:7">
      <c r="A45" s="1" t="s">
        <v>98</v>
      </c>
    </row>
  </sheetData>
  <mergeCells count="4">
    <mergeCell ref="A37:D37"/>
    <mergeCell ref="A1:E1"/>
    <mergeCell ref="E3:G3"/>
    <mergeCell ref="E37:F37"/>
  </mergeCells>
  <pageMargins left="0.7" right="0.7" top="0.75" bottom="0.75" header="0.3" footer="0.3"/>
  <pageSetup scale="7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M46"/>
  <sheetViews>
    <sheetView zoomScaleNormal="100" workbookViewId="0">
      <selection activeCell="B15" sqref="B15"/>
    </sheetView>
  </sheetViews>
  <sheetFormatPr defaultRowHeight="15"/>
  <cols>
    <col min="1" max="1" width="10.28515625" style="1" customWidth="1"/>
    <col min="2" max="2" width="10.7109375" style="1" customWidth="1"/>
    <col min="3" max="3" width="9.140625" style="1"/>
    <col min="4" max="4" width="18.85546875" style="1" customWidth="1"/>
    <col min="5" max="5" width="9.140625" style="1"/>
    <col min="6" max="6" width="10.28515625" style="1" customWidth="1"/>
    <col min="7" max="7" width="9.140625" style="1"/>
    <col min="8" max="8" width="18" style="1" customWidth="1"/>
    <col min="9" max="9" width="9.140625" style="1"/>
    <col min="10" max="10" width="9.85546875" style="1" customWidth="1"/>
    <col min="11" max="11" width="9.140625" style="1"/>
    <col min="12" max="12" width="17.42578125" style="1" customWidth="1"/>
    <col min="13" max="16384" width="9.140625" style="1"/>
  </cols>
  <sheetData>
    <row r="1" spans="1:13">
      <c r="A1" s="398" t="s">
        <v>135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3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60">
      <c r="B5" s="59" t="s">
        <v>0</v>
      </c>
      <c r="C5" s="60" t="s">
        <v>1</v>
      </c>
      <c r="D5" s="60" t="s">
        <v>2</v>
      </c>
      <c r="E5" s="5" t="s">
        <v>75</v>
      </c>
      <c r="F5" s="60" t="s">
        <v>0</v>
      </c>
      <c r="G5" s="60" t="s">
        <v>1</v>
      </c>
      <c r="H5" s="60" t="s">
        <v>2</v>
      </c>
      <c r="I5" s="5" t="s">
        <v>75</v>
      </c>
      <c r="J5" s="273" t="s">
        <v>39</v>
      </c>
      <c r="K5" s="274" t="s">
        <v>41</v>
      </c>
      <c r="L5" s="274" t="s">
        <v>40</v>
      </c>
      <c r="M5" s="275" t="s">
        <v>75</v>
      </c>
    </row>
    <row r="6" spans="1:13">
      <c r="A6" s="15">
        <v>1981</v>
      </c>
      <c r="B6" s="167" t="s">
        <v>37</v>
      </c>
      <c r="C6" s="155" t="s">
        <v>37</v>
      </c>
      <c r="D6" s="155" t="s">
        <v>37</v>
      </c>
      <c r="E6" s="168" t="s">
        <v>37</v>
      </c>
      <c r="F6" s="155" t="s">
        <v>37</v>
      </c>
      <c r="G6" s="155" t="s">
        <v>37</v>
      </c>
      <c r="H6" s="155" t="s">
        <v>37</v>
      </c>
      <c r="I6" s="155" t="s">
        <v>37</v>
      </c>
      <c r="J6" s="263">
        <f>'3a'!J6/'1b'!$D6*100</f>
        <v>1.1059028900239218</v>
      </c>
      <c r="K6" s="264">
        <f>'3a'!K6/'1b'!$D6*100</f>
        <v>0.55947070106247709</v>
      </c>
      <c r="L6" s="264">
        <f>'3a'!L6/'1b'!$D6*100</f>
        <v>3.4738475463890861</v>
      </c>
      <c r="M6" s="170">
        <f>'3a'!M6/'1b'!$D6*100</f>
        <v>5.1392211374754853</v>
      </c>
    </row>
    <row r="7" spans="1:13">
      <c r="A7" s="16">
        <v>1982</v>
      </c>
      <c r="B7" s="169" t="s">
        <v>37</v>
      </c>
      <c r="C7" s="156" t="s">
        <v>37</v>
      </c>
      <c r="D7" s="156" t="s">
        <v>37</v>
      </c>
      <c r="E7" s="170" t="s">
        <v>37</v>
      </c>
      <c r="F7" s="156" t="s">
        <v>37</v>
      </c>
      <c r="G7" s="156" t="s">
        <v>37</v>
      </c>
      <c r="H7" s="156" t="s">
        <v>37</v>
      </c>
      <c r="I7" s="156" t="s">
        <v>37</v>
      </c>
      <c r="J7" s="263">
        <f>'3a'!J7/'1b'!$D7*100</f>
        <v>1.284339233569066</v>
      </c>
      <c r="K7" s="264">
        <f>'3a'!K7/'1b'!$D7*100</f>
        <v>0.69418879831711811</v>
      </c>
      <c r="L7" s="264">
        <f>'3a'!L7/'1b'!$D7*100</f>
        <v>3.7935770928768147</v>
      </c>
      <c r="M7" s="170">
        <f>'3a'!M7/'1b'!$D7*100</f>
        <v>5.7721051247629989</v>
      </c>
    </row>
    <row r="8" spans="1:13">
      <c r="A8" s="16">
        <v>1983</v>
      </c>
      <c r="B8" s="169" t="s">
        <v>37</v>
      </c>
      <c r="C8" s="156" t="s">
        <v>37</v>
      </c>
      <c r="D8" s="156" t="s">
        <v>37</v>
      </c>
      <c r="E8" s="170" t="s">
        <v>37</v>
      </c>
      <c r="F8" s="156" t="s">
        <v>37</v>
      </c>
      <c r="G8" s="156" t="s">
        <v>37</v>
      </c>
      <c r="H8" s="156" t="s">
        <v>37</v>
      </c>
      <c r="I8" s="156" t="s">
        <v>37</v>
      </c>
      <c r="J8" s="263">
        <f>'3a'!J8/'1b'!$D8*100</f>
        <v>1.1649904366220376</v>
      </c>
      <c r="K8" s="264">
        <f>'3a'!K8/'1b'!$D8*100</f>
        <v>0.7655769060255615</v>
      </c>
      <c r="L8" s="264">
        <f>'3a'!L8/'1b'!$D8*100</f>
        <v>3.6571687334540894</v>
      </c>
      <c r="M8" s="170">
        <f>'3a'!M8/'1b'!$D8*100</f>
        <v>5.587736076101689</v>
      </c>
    </row>
    <row r="9" spans="1:13">
      <c r="A9" s="16">
        <v>1984</v>
      </c>
      <c r="B9" s="169" t="s">
        <v>37</v>
      </c>
      <c r="C9" s="156" t="s">
        <v>37</v>
      </c>
      <c r="D9" s="156" t="s">
        <v>37</v>
      </c>
      <c r="E9" s="170" t="s">
        <v>37</v>
      </c>
      <c r="F9" s="156" t="s">
        <v>37</v>
      </c>
      <c r="G9" s="156" t="s">
        <v>37</v>
      </c>
      <c r="H9" s="156" t="s">
        <v>37</v>
      </c>
      <c r="I9" s="156" t="s">
        <v>37</v>
      </c>
      <c r="J9" s="263">
        <f>'3a'!J9/'1b'!$D9*100</f>
        <v>1.1949728964540967</v>
      </c>
      <c r="K9" s="264">
        <f>'3a'!K9/'1b'!$D9*100</f>
        <v>0.84717282970226382</v>
      </c>
      <c r="L9" s="264">
        <f>'3a'!L9/'1b'!$D9*100</f>
        <v>3.4437615808675437</v>
      </c>
      <c r="M9" s="170">
        <f>'3a'!M9/'1b'!$D9*100</f>
        <v>5.4859073070239042</v>
      </c>
    </row>
    <row r="10" spans="1:13">
      <c r="A10" s="16">
        <v>1985</v>
      </c>
      <c r="B10" s="169" t="s">
        <v>37</v>
      </c>
      <c r="C10" s="156" t="s">
        <v>37</v>
      </c>
      <c r="D10" s="156" t="s">
        <v>37</v>
      </c>
      <c r="E10" s="170" t="s">
        <v>37</v>
      </c>
      <c r="F10" s="156" t="s">
        <v>37</v>
      </c>
      <c r="G10" s="156" t="s">
        <v>37</v>
      </c>
      <c r="H10" s="156" t="s">
        <v>37</v>
      </c>
      <c r="I10" s="156" t="s">
        <v>37</v>
      </c>
      <c r="J10" s="263">
        <f>'3a'!J10/'1b'!$D10*100</f>
        <v>1.1632732218951574</v>
      </c>
      <c r="K10" s="264">
        <f>'3a'!K10/'1b'!$D10*100</f>
        <v>0.94356715513851841</v>
      </c>
      <c r="L10" s="264">
        <f>'3a'!L10/'1b'!$D10*100</f>
        <v>3.2509856221374451</v>
      </c>
      <c r="M10" s="170">
        <f>'3a'!M10/'1b'!$D10*100</f>
        <v>5.357825999171121</v>
      </c>
    </row>
    <row r="11" spans="1:13">
      <c r="A11" s="16">
        <v>1986</v>
      </c>
      <c r="B11" s="169" t="s">
        <v>37</v>
      </c>
      <c r="C11" s="156" t="s">
        <v>37</v>
      </c>
      <c r="D11" s="156" t="s">
        <v>37</v>
      </c>
      <c r="E11" s="170" t="s">
        <v>37</v>
      </c>
      <c r="F11" s="156" t="s">
        <v>37</v>
      </c>
      <c r="G11" s="156" t="s">
        <v>37</v>
      </c>
      <c r="H11" s="156" t="s">
        <v>37</v>
      </c>
      <c r="I11" s="156" t="s">
        <v>37</v>
      </c>
      <c r="J11" s="263">
        <f>'3a'!J11/'1b'!$D11*100</f>
        <v>1.17071172085945</v>
      </c>
      <c r="K11" s="264">
        <f>'3a'!K11/'1b'!$D11*100</f>
        <v>1.0657362660294338</v>
      </c>
      <c r="L11" s="264">
        <f>'3a'!L11/'1b'!$D11*100</f>
        <v>3.2327859340525107</v>
      </c>
      <c r="M11" s="170">
        <f>'3a'!M11/'1b'!$D11*100</f>
        <v>5.4692339209413952</v>
      </c>
    </row>
    <row r="12" spans="1:13">
      <c r="A12" s="16">
        <v>1987</v>
      </c>
      <c r="B12" s="169" t="s">
        <v>37</v>
      </c>
      <c r="C12" s="156" t="s">
        <v>37</v>
      </c>
      <c r="D12" s="156" t="s">
        <v>37</v>
      </c>
      <c r="E12" s="170" t="s">
        <v>37</v>
      </c>
      <c r="F12" s="156" t="s">
        <v>37</v>
      </c>
      <c r="G12" s="156" t="s">
        <v>37</v>
      </c>
      <c r="H12" s="156" t="s">
        <v>37</v>
      </c>
      <c r="I12" s="156" t="s">
        <v>37</v>
      </c>
      <c r="J12" s="263">
        <f>'3a'!J12/'1b'!$D12*100</f>
        <v>1.2969695556358805</v>
      </c>
      <c r="K12" s="264">
        <f>'3a'!K12/'1b'!$D12*100</f>
        <v>1.1606403693900633</v>
      </c>
      <c r="L12" s="264">
        <f>'3a'!L12/'1b'!$D12*100</f>
        <v>3.1238646036169446</v>
      </c>
      <c r="M12" s="170">
        <f>'3a'!M12/'1b'!$D12*100</f>
        <v>5.5814745286428877</v>
      </c>
    </row>
    <row r="13" spans="1:13">
      <c r="A13" s="16">
        <v>1988</v>
      </c>
      <c r="B13" s="169" t="s">
        <v>37</v>
      </c>
      <c r="C13" s="156" t="s">
        <v>37</v>
      </c>
      <c r="D13" s="156" t="s">
        <v>37</v>
      </c>
      <c r="E13" s="170" t="s">
        <v>37</v>
      </c>
      <c r="F13" s="156" t="s">
        <v>37</v>
      </c>
      <c r="G13" s="156" t="s">
        <v>37</v>
      </c>
      <c r="H13" s="156" t="s">
        <v>37</v>
      </c>
      <c r="I13" s="156" t="s">
        <v>37</v>
      </c>
      <c r="J13" s="263">
        <f>'3a'!J13/'1b'!$D13*100</f>
        <v>1.2428569303448438</v>
      </c>
      <c r="K13" s="264">
        <f>'3a'!K13/'1b'!$D13*100</f>
        <v>1.2723961399265982</v>
      </c>
      <c r="L13" s="264">
        <f>'3a'!L13/'1b'!$D13*100</f>
        <v>3.0206285688784238</v>
      </c>
      <c r="M13" s="170">
        <f>'3a'!M13/'1b'!$D13*100</f>
        <v>5.5358816391498653</v>
      </c>
    </row>
    <row r="14" spans="1:13">
      <c r="A14" s="16">
        <v>1989</v>
      </c>
      <c r="B14" s="169" t="s">
        <v>37</v>
      </c>
      <c r="C14" s="156" t="s">
        <v>37</v>
      </c>
      <c r="D14" s="156" t="s">
        <v>37</v>
      </c>
      <c r="E14" s="170" t="s">
        <v>37</v>
      </c>
      <c r="F14" s="156" t="s">
        <v>37</v>
      </c>
      <c r="G14" s="156" t="s">
        <v>37</v>
      </c>
      <c r="H14" s="156" t="s">
        <v>37</v>
      </c>
      <c r="I14" s="156" t="s">
        <v>37</v>
      </c>
      <c r="J14" s="263">
        <f>'3a'!J14/'1b'!$D14*100</f>
        <v>1.1938009540675505</v>
      </c>
      <c r="K14" s="264">
        <f>'3a'!K14/'1b'!$D14*100</f>
        <v>1.3852725793327909</v>
      </c>
      <c r="L14" s="264">
        <f>'3a'!L14/'1b'!$D14*100</f>
        <v>2.9719682828379521</v>
      </c>
      <c r="M14" s="170">
        <f>'3a'!M14/'1b'!$D14*100</f>
        <v>5.5510418162382935</v>
      </c>
    </row>
    <row r="15" spans="1:13">
      <c r="A15" s="16">
        <v>1990</v>
      </c>
      <c r="B15" s="169" t="s">
        <v>37</v>
      </c>
      <c r="C15" s="156" t="s">
        <v>37</v>
      </c>
      <c r="D15" s="156" t="s">
        <v>37</v>
      </c>
      <c r="E15" s="170" t="s">
        <v>37</v>
      </c>
      <c r="F15" s="156" t="s">
        <v>37</v>
      </c>
      <c r="G15" s="156" t="s">
        <v>37</v>
      </c>
      <c r="H15" s="156" t="s">
        <v>37</v>
      </c>
      <c r="I15" s="156" t="s">
        <v>37</v>
      </c>
      <c r="J15" s="263">
        <f>'3a'!J15/'1b'!$D15*100</f>
        <v>1.1725522791535905</v>
      </c>
      <c r="K15" s="264">
        <f>'3a'!K15/'1b'!$D15*100</f>
        <v>1.5555961221763042</v>
      </c>
      <c r="L15" s="264">
        <f>'3a'!L15/'1b'!$D15*100</f>
        <v>3.1183194543703197</v>
      </c>
      <c r="M15" s="170">
        <f>'3a'!M15/'1b'!$D15*100</f>
        <v>5.8464678557002134</v>
      </c>
    </row>
    <row r="16" spans="1:13">
      <c r="A16" s="16">
        <v>1991</v>
      </c>
      <c r="B16" s="169" t="s">
        <v>37</v>
      </c>
      <c r="C16" s="156" t="s">
        <v>37</v>
      </c>
      <c r="D16" s="156" t="s">
        <v>37</v>
      </c>
      <c r="E16" s="170" t="s">
        <v>37</v>
      </c>
      <c r="F16" s="156" t="s">
        <v>37</v>
      </c>
      <c r="G16" s="156" t="s">
        <v>37</v>
      </c>
      <c r="H16" s="156" t="s">
        <v>37</v>
      </c>
      <c r="I16" s="156" t="s">
        <v>37</v>
      </c>
      <c r="J16" s="263">
        <f>'3a'!J16/'1b'!$D16*100</f>
        <v>1.0422849317748324</v>
      </c>
      <c r="K16" s="264">
        <f>'3a'!K16/'1b'!$D16*100</f>
        <v>1.7395803785396389</v>
      </c>
      <c r="L16" s="264">
        <f>'3a'!L16/'1b'!$D16*100</f>
        <v>3.1202230156013107</v>
      </c>
      <c r="M16" s="170">
        <f>'3a'!M16/'1b'!$D16*100</f>
        <v>5.9020883259157824</v>
      </c>
    </row>
    <row r="17" spans="1:13">
      <c r="A17" s="16">
        <v>1992</v>
      </c>
      <c r="B17" s="169" t="s">
        <v>37</v>
      </c>
      <c r="C17" s="156" t="s">
        <v>37</v>
      </c>
      <c r="D17" s="156" t="s">
        <v>37</v>
      </c>
      <c r="E17" s="170" t="s">
        <v>37</v>
      </c>
      <c r="F17" s="156" t="s">
        <v>37</v>
      </c>
      <c r="G17" s="156" t="s">
        <v>37</v>
      </c>
      <c r="H17" s="156" t="s">
        <v>37</v>
      </c>
      <c r="I17" s="156" t="s">
        <v>37</v>
      </c>
      <c r="J17" s="263">
        <f>'3a'!J17/'1b'!$D17*100</f>
        <v>1.1447399688182824</v>
      </c>
      <c r="K17" s="264">
        <f>'3a'!K17/'1b'!$D17*100</f>
        <v>1.8090226057792436</v>
      </c>
      <c r="L17" s="264">
        <f>'3a'!L17/'1b'!$D17*100</f>
        <v>3.2688254306805691</v>
      </c>
      <c r="M17" s="170">
        <f>'3a'!M17/'1b'!$D17*100</f>
        <v>6.2225880052780953</v>
      </c>
    </row>
    <row r="18" spans="1:13">
      <c r="A18" s="16">
        <v>1993</v>
      </c>
      <c r="B18" s="169" t="s">
        <v>37</v>
      </c>
      <c r="C18" s="156" t="s">
        <v>37</v>
      </c>
      <c r="D18" s="156" t="s">
        <v>37</v>
      </c>
      <c r="E18" s="170" t="s">
        <v>37</v>
      </c>
      <c r="F18" s="156" t="s">
        <v>37</v>
      </c>
      <c r="G18" s="156" t="s">
        <v>37</v>
      </c>
      <c r="H18" s="156" t="s">
        <v>37</v>
      </c>
      <c r="I18" s="156" t="s">
        <v>37</v>
      </c>
      <c r="J18" s="263">
        <f>'3a'!J18/'1b'!$D18*100</f>
        <v>1.1654247779555</v>
      </c>
      <c r="K18" s="264">
        <f>'3a'!K18/'1b'!$D18*100</f>
        <v>2.001530764843682</v>
      </c>
      <c r="L18" s="264">
        <f>'3a'!L18/'1b'!$D18*100</f>
        <v>3.2132686102178551</v>
      </c>
      <c r="M18" s="170">
        <f>'3a'!M18/'1b'!$D18*100</f>
        <v>6.3802241530170374</v>
      </c>
    </row>
    <row r="19" spans="1:13">
      <c r="A19" s="16">
        <v>1994</v>
      </c>
      <c r="B19" s="169" t="s">
        <v>37</v>
      </c>
      <c r="C19" s="156" t="s">
        <v>37</v>
      </c>
      <c r="D19" s="156" t="s">
        <v>37</v>
      </c>
      <c r="E19" s="170" t="s">
        <v>37</v>
      </c>
      <c r="F19" s="156" t="s">
        <v>37</v>
      </c>
      <c r="G19" s="156" t="s">
        <v>37</v>
      </c>
      <c r="H19" s="156" t="s">
        <v>37</v>
      </c>
      <c r="I19" s="156" t="s">
        <v>37</v>
      </c>
      <c r="J19" s="263">
        <f>'3a'!J19/'1b'!$D19*100</f>
        <v>1.2016180216762329</v>
      </c>
      <c r="K19" s="264">
        <f>'3a'!K19/'1b'!$D19*100</f>
        <v>2.151418881877154</v>
      </c>
      <c r="L19" s="264">
        <f>'3a'!L19/'1b'!$D19*100</f>
        <v>2.9249425408612728</v>
      </c>
      <c r="M19" s="170">
        <f>'3a'!M19/'1b'!$D19*100</f>
        <v>6.2779794444146608</v>
      </c>
    </row>
    <row r="20" spans="1:13">
      <c r="A20" s="16">
        <v>1995</v>
      </c>
      <c r="B20" s="169" t="s">
        <v>37</v>
      </c>
      <c r="C20" s="156" t="s">
        <v>37</v>
      </c>
      <c r="D20" s="156" t="s">
        <v>37</v>
      </c>
      <c r="E20" s="170" t="s">
        <v>37</v>
      </c>
      <c r="F20" s="156" t="s">
        <v>37</v>
      </c>
      <c r="G20" s="156" t="s">
        <v>37</v>
      </c>
      <c r="H20" s="156" t="s">
        <v>37</v>
      </c>
      <c r="I20" s="156" t="s">
        <v>37</v>
      </c>
      <c r="J20" s="263">
        <f>'3a'!J20/'1b'!$D20*100</f>
        <v>1.2302015633305396</v>
      </c>
      <c r="K20" s="264">
        <f>'3a'!K20/'1b'!$D20*100</f>
        <v>2.1791242870606191</v>
      </c>
      <c r="L20" s="264">
        <f>'3a'!L20/'1b'!$D20*100</f>
        <v>2.6327314586845718</v>
      </c>
      <c r="M20" s="170">
        <f>'3a'!M20/'1b'!$D20*100</f>
        <v>6.042057309075731</v>
      </c>
    </row>
    <row r="21" spans="1:13">
      <c r="A21" s="16">
        <v>1996</v>
      </c>
      <c r="B21" s="169" t="s">
        <v>37</v>
      </c>
      <c r="C21" s="156" t="s">
        <v>37</v>
      </c>
      <c r="D21" s="156" t="s">
        <v>37</v>
      </c>
      <c r="E21" s="170" t="s">
        <v>37</v>
      </c>
      <c r="F21" s="156" t="s">
        <v>37</v>
      </c>
      <c r="G21" s="156" t="s">
        <v>37</v>
      </c>
      <c r="H21" s="156" t="s">
        <v>37</v>
      </c>
      <c r="I21" s="156" t="s">
        <v>37</v>
      </c>
      <c r="J21" s="263">
        <f>'3a'!J21/'1b'!$D21*100</f>
        <v>1.1815840057305604</v>
      </c>
      <c r="K21" s="264">
        <f>'3a'!K21/'1b'!$D21*100</f>
        <v>2.3166228481073041</v>
      </c>
      <c r="L21" s="264">
        <f>'3a'!L21/'1b'!$D21*100</f>
        <v>2.6145681982048208</v>
      </c>
      <c r="M21" s="170">
        <f>'3a'!M21/'1b'!$D21*100</f>
        <v>6.1127750520426858</v>
      </c>
    </row>
    <row r="22" spans="1:13">
      <c r="A22" s="16">
        <v>1997</v>
      </c>
      <c r="B22" s="169" t="s">
        <v>37</v>
      </c>
      <c r="C22" s="156" t="s">
        <v>37</v>
      </c>
      <c r="D22" s="156" t="s">
        <v>37</v>
      </c>
      <c r="E22" s="170" t="s">
        <v>37</v>
      </c>
      <c r="F22" s="156" t="s">
        <v>37</v>
      </c>
      <c r="G22" s="156" t="s">
        <v>37</v>
      </c>
      <c r="H22" s="156" t="s">
        <v>37</v>
      </c>
      <c r="I22" s="156" t="s">
        <v>37</v>
      </c>
      <c r="J22" s="263">
        <f>'3a'!J22/'1b'!$D22*100</f>
        <v>1.2729188526556363</v>
      </c>
      <c r="K22" s="264">
        <f>'3a'!K22/'1b'!$D22*100</f>
        <v>2.4366572138739726</v>
      </c>
      <c r="L22" s="264">
        <f>'3a'!L22/'1b'!$D22*100</f>
        <v>2.648925633942933</v>
      </c>
      <c r="M22" s="170">
        <f>'3a'!M22/'1b'!$D22*100</f>
        <v>6.3585017004725426</v>
      </c>
    </row>
    <row r="23" spans="1:13">
      <c r="A23" s="16">
        <v>1998</v>
      </c>
      <c r="B23" s="169" t="s">
        <v>37</v>
      </c>
      <c r="C23" s="156" t="s">
        <v>37</v>
      </c>
      <c r="D23" s="156" t="s">
        <v>37</v>
      </c>
      <c r="E23" s="170" t="s">
        <v>37</v>
      </c>
      <c r="F23" s="156" t="s">
        <v>37</v>
      </c>
      <c r="G23" s="156" t="s">
        <v>37</v>
      </c>
      <c r="H23" s="156" t="s">
        <v>37</v>
      </c>
      <c r="I23" s="156" t="s">
        <v>37</v>
      </c>
      <c r="J23" s="263">
        <f>'3a'!J23/'1b'!$D23*100</f>
        <v>1.5130337806950878</v>
      </c>
      <c r="K23" s="264">
        <f>'3a'!K23/'1b'!$D23*100</f>
        <v>2.6348772338013577</v>
      </c>
      <c r="L23" s="264">
        <f>'3a'!L23/'1b'!$D23*100</f>
        <v>2.6727211228058256</v>
      </c>
      <c r="M23" s="170">
        <f>'3a'!M23/'1b'!$D23*100</f>
        <v>6.8206321373022707</v>
      </c>
    </row>
    <row r="24" spans="1:13">
      <c r="A24" s="16">
        <v>1999</v>
      </c>
      <c r="B24" s="169">
        <f>'3a'!B24/'1b'!$B24*100</f>
        <v>2.8882433798261569</v>
      </c>
      <c r="C24" s="156">
        <f>'3a'!C24/'1b'!$B24*100</f>
        <v>6.6415180917727916</v>
      </c>
      <c r="D24" s="156">
        <f>'3a'!D24/'1b'!$B24*100</f>
        <v>0.63101071356377592</v>
      </c>
      <c r="E24" s="170">
        <f>'3a'!E24/'1b'!$B24*100</f>
        <v>10.160772185162724</v>
      </c>
      <c r="F24" s="156">
        <f>'3a'!F24/'1b'!$C24*100</f>
        <v>2.6658541313302639</v>
      </c>
      <c r="G24" s="156">
        <f>'3a'!G24/'1b'!$C24*100</f>
        <v>3.6008408044584437</v>
      </c>
      <c r="H24" s="156">
        <f>'3a'!H24/'1b'!$C24*100</f>
        <v>0.26000726920281075</v>
      </c>
      <c r="I24" s="156">
        <f>'3a'!I24/'1b'!$C24*100</f>
        <v>6.5267022049915191</v>
      </c>
      <c r="J24" s="263">
        <f>'3a'!J24/'1b'!$D24*100</f>
        <v>1.5437623627578425</v>
      </c>
      <c r="K24" s="264">
        <f>'3a'!K24/'1b'!$D24*100</f>
        <v>2.6661142289370021</v>
      </c>
      <c r="L24" s="264">
        <f>'3a'!L24/'1b'!$D24*100</f>
        <v>2.5585066901256335</v>
      </c>
      <c r="M24" s="265">
        <f>'3a'!M24/'1b'!$D24*100</f>
        <v>6.7683832818204781</v>
      </c>
    </row>
    <row r="25" spans="1:13">
      <c r="A25" s="16">
        <v>2000</v>
      </c>
      <c r="B25" s="169">
        <f>'3a'!B25/'1b'!$B25*100</f>
        <v>1.9025554382259768</v>
      </c>
      <c r="C25" s="156">
        <f>'3a'!C25/'1b'!$B25*100</f>
        <v>8.8802470960929245</v>
      </c>
      <c r="D25" s="156">
        <f>'3a'!D25/'1b'!$B25*100</f>
        <v>0.54466737064413928</v>
      </c>
      <c r="E25" s="170">
        <f>'3a'!E25/'1b'!$B25*100</f>
        <v>11.32746990496304</v>
      </c>
      <c r="F25" s="156">
        <f>'3a'!F25/'1b'!$C25*100</f>
        <v>1.9482314049586775</v>
      </c>
      <c r="G25" s="156">
        <f>'3a'!G25/'1b'!$C25*100</f>
        <v>3.8732045454545458</v>
      </c>
      <c r="H25" s="156">
        <f>'3a'!H25/'1b'!$C25*100</f>
        <v>0.41191115702479347</v>
      </c>
      <c r="I25" s="156">
        <f>'3a'!I25/'1b'!$C25*100</f>
        <v>6.2333471074380169</v>
      </c>
      <c r="J25" s="263">
        <f>'3a'!J25/'1b'!$D25*100</f>
        <v>1.5785072477157671</v>
      </c>
      <c r="K25" s="264">
        <f>'3a'!K25/'1b'!$D25*100</f>
        <v>2.6614005538538801</v>
      </c>
      <c r="L25" s="264">
        <f>'3a'!L25/'1b'!$D25*100</f>
        <v>2.5160198326119971</v>
      </c>
      <c r="M25" s="265">
        <f>'3a'!M25/'1b'!$D25*100</f>
        <v>6.7559276341816439</v>
      </c>
    </row>
    <row r="26" spans="1:13">
      <c r="A26" s="16">
        <v>2001</v>
      </c>
      <c r="B26" s="169">
        <f>'3a'!B26/'1b'!$B26*100</f>
        <v>1.2642604581673307</v>
      </c>
      <c r="C26" s="156">
        <f>'3a'!C26/'1b'!$B26*100</f>
        <v>10.578316733067727</v>
      </c>
      <c r="D26" s="156">
        <f>'3a'!D26/'1b'!$B26*100</f>
        <v>0.49801294820717129</v>
      </c>
      <c r="E26" s="170">
        <f>'3a'!E26/'1b'!$B26*100</f>
        <v>12.340590139442229</v>
      </c>
      <c r="F26" s="156">
        <f>'3a'!F26/'1b'!$C26*100</f>
        <v>1.0333134512546278</v>
      </c>
      <c r="G26" s="156">
        <f>'3a'!G26/'1b'!$C26*100</f>
        <v>3.8521925133689843</v>
      </c>
      <c r="H26" s="156">
        <f>'3a'!H26/'1b'!$C26*100</f>
        <v>0.33040929658576712</v>
      </c>
      <c r="I26" s="156">
        <f>'3a'!I26/'1b'!$C26*100</f>
        <v>5.2159152612093793</v>
      </c>
      <c r="J26" s="263">
        <f>'3a'!J26/'1b'!$D26*100</f>
        <v>1.5214554201684054</v>
      </c>
      <c r="K26" s="264">
        <f>'3a'!K26/'1b'!$D26*100</f>
        <v>2.8063084764978661</v>
      </c>
      <c r="L26" s="264">
        <f>'3a'!L26/'1b'!$D26*100</f>
        <v>2.6806080808382786</v>
      </c>
      <c r="M26" s="265">
        <f>'3a'!M26/'1b'!$D26*100</f>
        <v>7.0083719775045505</v>
      </c>
    </row>
    <row r="27" spans="1:13">
      <c r="A27" s="16">
        <v>2002</v>
      </c>
      <c r="B27" s="169">
        <f>'3a'!B27/'1b'!$B27*100</f>
        <v>1.3808354494667345</v>
      </c>
      <c r="C27" s="156">
        <f>'3a'!C27/'1b'!$B27*100</f>
        <v>9.4034560690705948</v>
      </c>
      <c r="D27" s="156">
        <f>'3a'!D27/'1b'!$B27*100</f>
        <v>0.46417724733367177</v>
      </c>
      <c r="E27" s="170">
        <f>'3a'!E27/'1b'!$B27*100</f>
        <v>11.248468765870999</v>
      </c>
      <c r="F27" s="156">
        <f>'3a'!F27/'1b'!$C27*100</f>
        <v>0.571415057154119</v>
      </c>
      <c r="G27" s="156">
        <f>'3a'!G27/'1b'!$C27*100</f>
        <v>3.3553764288529764</v>
      </c>
      <c r="H27" s="156">
        <f>'3a'!H27/'1b'!$C27*100</f>
        <v>0.2856208119826566</v>
      </c>
      <c r="I27" s="156">
        <f>'3a'!I27/'1b'!$C27*100</f>
        <v>4.2124122979897525</v>
      </c>
      <c r="J27" s="263">
        <f>'3a'!J27/'1b'!$D27*100</f>
        <v>1.4870911759588488</v>
      </c>
      <c r="K27" s="264">
        <f>'3a'!K27/'1b'!$D27*100</f>
        <v>2.748685026477923</v>
      </c>
      <c r="L27" s="264">
        <f>'3a'!L27/'1b'!$D27*100</f>
        <v>2.630616241874824</v>
      </c>
      <c r="M27" s="265">
        <f>'3a'!M27/'1b'!$D27*100</f>
        <v>6.8663924443115958</v>
      </c>
    </row>
    <row r="28" spans="1:13">
      <c r="A28" s="16">
        <v>2003</v>
      </c>
      <c r="B28" s="169">
        <f>'3a'!B28/'1b'!$B28*100</f>
        <v>2.6037539038101185</v>
      </c>
      <c r="C28" s="156">
        <f>'3a'!C28/'1b'!$B28*100</f>
        <v>9.9064053716427214</v>
      </c>
      <c r="D28" s="156">
        <f>'3a'!D28/'1b'!$B28*100</f>
        <v>0.71987820112429723</v>
      </c>
      <c r="E28" s="170">
        <f>'3a'!E28/'1b'!$B28*100</f>
        <v>13.230037476577138</v>
      </c>
      <c r="F28" s="156">
        <f>'3a'!F28/'1b'!$C28*100</f>
        <v>0.5715683511173747</v>
      </c>
      <c r="G28" s="156">
        <f>'3a'!G28/'1b'!$C28*100</f>
        <v>3.1232454197704862</v>
      </c>
      <c r="H28" s="156">
        <f>'3a'!H28/'1b'!$C28*100</f>
        <v>0.25677873968190051</v>
      </c>
      <c r="I28" s="156">
        <f>'3a'!I28/'1b'!$C28*100</f>
        <v>3.9515925105697618</v>
      </c>
      <c r="J28" s="263">
        <f>'3a'!J28/'1b'!$D28*100</f>
        <v>1.4281091404780208</v>
      </c>
      <c r="K28" s="264">
        <f>'3a'!K28/'1b'!$D28*100</f>
        <v>2.5821403606360782</v>
      </c>
      <c r="L28" s="264">
        <f>'3a'!L28/'1b'!$D28*100</f>
        <v>2.2320160489505683</v>
      </c>
      <c r="M28" s="265">
        <f>'3a'!M28/'1b'!$D28*100</f>
        <v>6.2422655500646673</v>
      </c>
    </row>
    <row r="29" spans="1:13">
      <c r="A29" s="16">
        <v>2004</v>
      </c>
      <c r="B29" s="169">
        <f>'3a'!B29/'1b'!$B29*100</f>
        <v>2.8850747581354441</v>
      </c>
      <c r="C29" s="156">
        <f>'3a'!C29/'1b'!$B29*100</f>
        <v>9.1086484901788332</v>
      </c>
      <c r="D29" s="156">
        <f>'3a'!D29/'1b'!$B29*100</f>
        <v>0.77053649956024628</v>
      </c>
      <c r="E29" s="170">
        <f>'3a'!E29/'1b'!$B29*100</f>
        <v>12.764259747874524</v>
      </c>
      <c r="F29" s="156">
        <f>'3a'!F29/'1b'!$C29*100</f>
        <v>0.49824703344120813</v>
      </c>
      <c r="G29" s="156">
        <f>'3a'!G29/'1b'!$C29*100</f>
        <v>3.5106796116504864</v>
      </c>
      <c r="H29" s="156">
        <f>'3a'!H29/'1b'!$C29*100</f>
        <v>0.21979144192736427</v>
      </c>
      <c r="I29" s="156">
        <f>'3a'!I29/'1b'!$C29*100</f>
        <v>4.2287180870190584</v>
      </c>
      <c r="J29" s="263">
        <f>'3a'!J29/'1b'!$D29*100</f>
        <v>1.3958016482505879</v>
      </c>
      <c r="K29" s="264">
        <f>'3a'!K29/'1b'!$D29*100</f>
        <v>2.5268330211796441</v>
      </c>
      <c r="L29" s="264">
        <f>'3a'!L29/'1b'!$D29*100</f>
        <v>1.9129516422184731</v>
      </c>
      <c r="M29" s="265">
        <f>'3a'!M29/'1b'!$D29*100</f>
        <v>5.8355863116487061</v>
      </c>
    </row>
    <row r="30" spans="1:13">
      <c r="A30" s="16">
        <v>2005</v>
      </c>
      <c r="B30" s="169">
        <f>'3a'!B30/'1b'!$B30*100</f>
        <v>2.9052889417360288</v>
      </c>
      <c r="C30" s="156">
        <f>'3a'!C30/'1b'!$B30*100</f>
        <v>8.6309750297265158</v>
      </c>
      <c r="D30" s="156">
        <f>'3a'!D30/'1b'!$B30*100</f>
        <v>0.68538882282996438</v>
      </c>
      <c r="E30" s="170">
        <f>'3a'!E30/'1b'!$B30*100</f>
        <v>12.221652794292508</v>
      </c>
      <c r="F30" s="156">
        <f>'3a'!F30/'1b'!$C30*100</f>
        <v>0.55788654781199343</v>
      </c>
      <c r="G30" s="156">
        <f>'3a'!G30/'1b'!$C30*100</f>
        <v>4.0466790923824965</v>
      </c>
      <c r="H30" s="156">
        <f>'3a'!H30/'1b'!$C30*100</f>
        <v>0.2551166936790924</v>
      </c>
      <c r="I30" s="156">
        <f>'3a'!I30/'1b'!$C30*100</f>
        <v>4.8596823338735824</v>
      </c>
      <c r="J30" s="263">
        <f>'3a'!J30/'1b'!$D30*100</f>
        <v>1.3861607080852199</v>
      </c>
      <c r="K30" s="264">
        <f>'3a'!K30/'1b'!$D30*100</f>
        <v>2.5495030940301837</v>
      </c>
      <c r="L30" s="264">
        <f>'3a'!L30/'1b'!$D30*100</f>
        <v>1.707989847988348</v>
      </c>
      <c r="M30" s="265">
        <f>'3a'!M30/'1b'!$D30*100</f>
        <v>5.6436536501037518</v>
      </c>
    </row>
    <row r="31" spans="1:13">
      <c r="A31" s="16">
        <v>2006</v>
      </c>
      <c r="B31" s="169">
        <f>'3a'!B31/'1b'!$B31*100</f>
        <v>2.606817882971729</v>
      </c>
      <c r="C31" s="156">
        <f>'3a'!C31/'1b'!$B31*100</f>
        <v>7.9774139820293657</v>
      </c>
      <c r="D31" s="156">
        <f>'3a'!D31/'1b'!$B31*100</f>
        <v>0.73623274161735708</v>
      </c>
      <c r="E31" s="170">
        <f>'3a'!E31/'1b'!$B31*100</f>
        <v>11.320464606618451</v>
      </c>
      <c r="F31" s="156">
        <f>'3a'!F31/'1b'!$C31*100</f>
        <v>0.5766569275718898</v>
      </c>
      <c r="G31" s="156">
        <f>'3a'!G31/'1b'!$C31*100</f>
        <v>4.0835721974473316</v>
      </c>
      <c r="H31" s="156">
        <f>'3a'!H31/'1b'!$C31*100</f>
        <v>0.26596955251422416</v>
      </c>
      <c r="I31" s="156">
        <f>'3a'!I31/'1b'!$C31*100</f>
        <v>4.9261986775334456</v>
      </c>
      <c r="J31" s="263">
        <f>'3a'!J31/'1b'!$D31*100</f>
        <v>1.461294580408081</v>
      </c>
      <c r="K31" s="264">
        <f>'3a'!K31/'1b'!$D31*100</f>
        <v>2.5667439912648056</v>
      </c>
      <c r="L31" s="264">
        <f>'3a'!L31/'1b'!$D31*100</f>
        <v>1.5863762536012942</v>
      </c>
      <c r="M31" s="265">
        <f>'3a'!M31/'1b'!$D31*100</f>
        <v>5.6144148252741815</v>
      </c>
    </row>
    <row r="32" spans="1:13">
      <c r="A32" s="16">
        <v>2007</v>
      </c>
      <c r="B32" s="169">
        <f>'3a'!B32/'1b'!$B32*100</f>
        <v>3.7061000205803669</v>
      </c>
      <c r="C32" s="156">
        <f>'3a'!C32/'1b'!$B32*100</f>
        <v>7.8192735130685325</v>
      </c>
      <c r="D32" s="156">
        <f>'3a'!D32/'1b'!$B32*100</f>
        <v>1.2177711463264047</v>
      </c>
      <c r="E32" s="170">
        <f>'3a'!E32/'1b'!$B32*100</f>
        <v>12.743144679975305</v>
      </c>
      <c r="F32" s="156">
        <f>'3a'!F32/'1b'!$C32*100</f>
        <v>0.44337225595516111</v>
      </c>
      <c r="G32" s="156">
        <f>'3a'!G32/'1b'!$C32*100</f>
        <v>4.9072178109917495</v>
      </c>
      <c r="H32" s="156">
        <f>'3a'!H32/'1b'!$C32*100</f>
        <v>0.23816907986922001</v>
      </c>
      <c r="I32" s="156">
        <f>'3a'!I32/'1b'!$C32*100</f>
        <v>5.5887591468161313</v>
      </c>
      <c r="J32" s="263">
        <f>'3a'!J32/'1b'!$D32*100</f>
        <v>1.4601109073269274</v>
      </c>
      <c r="K32" s="264">
        <f>'3a'!K32/'1b'!$D32*100</f>
        <v>2.7100942944858661</v>
      </c>
      <c r="L32" s="264">
        <f>'3a'!L32/'1b'!$D32*100</f>
        <v>1.4291362651675239</v>
      </c>
      <c r="M32" s="265">
        <f>'3a'!M32/'1b'!$D32*100</f>
        <v>5.5993414669803174</v>
      </c>
    </row>
    <row r="33" spans="1:13">
      <c r="A33" s="17">
        <v>2008</v>
      </c>
      <c r="B33" s="192">
        <f>'3a'!B33/'1b'!$B33*100</f>
        <v>3.0439904160313662</v>
      </c>
      <c r="C33" s="157">
        <f>'3a'!C33/'1b'!$B33*100</f>
        <v>8.6053822696580262</v>
      </c>
      <c r="D33" s="157">
        <f>'3a'!D33/'1b'!$B33*100</f>
        <v>1.1457460248311913</v>
      </c>
      <c r="E33" s="207">
        <f>'3a'!E33/'1b'!$B33*100</f>
        <v>12.795118710520581</v>
      </c>
      <c r="F33" s="157">
        <f>'3a'!F33/'1b'!$C33*100</f>
        <v>0.38542568314642234</v>
      </c>
      <c r="G33" s="157">
        <f>'3a'!G33/'1b'!$C33*100</f>
        <v>5.6370841889117038</v>
      </c>
      <c r="H33" s="157">
        <f>'3a'!H33/'1b'!$C33*100</f>
        <v>0.25075027641762748</v>
      </c>
      <c r="I33" s="157">
        <f>'3a'!I33/'1b'!$C33*100</f>
        <v>6.273260148475754</v>
      </c>
      <c r="J33" s="266">
        <f>'3a'!J33/'1b'!$D33*100</f>
        <v>1.4553549153173979</v>
      </c>
      <c r="K33" s="267">
        <f>'3a'!K33/'1b'!$D33*100</f>
        <v>2.8287352401524699</v>
      </c>
      <c r="L33" s="267">
        <f>'3a'!L33/'1b'!$D33*100</f>
        <v>1.4028763346628643</v>
      </c>
      <c r="M33" s="268">
        <f>'3a'!M33/'1b'!$D33*100</f>
        <v>5.6869664901327326</v>
      </c>
    </row>
    <row r="35" spans="1:13">
      <c r="A35" s="384" t="s">
        <v>52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6"/>
    </row>
    <row r="36" spans="1:13">
      <c r="A36" s="15" t="s">
        <v>53</v>
      </c>
      <c r="B36" s="82" t="s">
        <v>37</v>
      </c>
      <c r="C36" s="83" t="s">
        <v>37</v>
      </c>
      <c r="D36" s="83" t="s">
        <v>37</v>
      </c>
      <c r="E36" s="84" t="s">
        <v>37</v>
      </c>
      <c r="F36" s="82" t="s">
        <v>37</v>
      </c>
      <c r="G36" s="83" t="s">
        <v>37</v>
      </c>
      <c r="H36" s="83" t="s">
        <v>37</v>
      </c>
      <c r="I36" s="84" t="s">
        <v>37</v>
      </c>
      <c r="J36" s="83">
        <f>(POWER(J15/J6,1/($A15-$A6))-1)*100</f>
        <v>0.65234871590558186</v>
      </c>
      <c r="K36" s="83">
        <f t="shared" ref="K36:M36" si="0">(POWER(K15/K6,1/($A15-$A6))-1)*100</f>
        <v>12.033166636513815</v>
      </c>
      <c r="L36" s="83">
        <f t="shared" si="0"/>
        <v>-1.1924835731656591</v>
      </c>
      <c r="M36" s="84">
        <f t="shared" si="0"/>
        <v>1.4429351854531758</v>
      </c>
    </row>
    <row r="37" spans="1:13">
      <c r="A37" s="16" t="s">
        <v>71</v>
      </c>
      <c r="B37" s="85" t="s">
        <v>37</v>
      </c>
      <c r="C37" s="86" t="s">
        <v>37</v>
      </c>
      <c r="D37" s="86" t="s">
        <v>37</v>
      </c>
      <c r="E37" s="87" t="s">
        <v>37</v>
      </c>
      <c r="F37" s="85" t="s">
        <v>37</v>
      </c>
      <c r="G37" s="86" t="s">
        <v>37</v>
      </c>
      <c r="H37" s="86" t="s">
        <v>37</v>
      </c>
      <c r="I37" s="87" t="s">
        <v>37</v>
      </c>
      <c r="J37" s="34">
        <f>(POWER(J25/J6,1/($A$25-$A$6))-1)*100</f>
        <v>1.890369261766689</v>
      </c>
      <c r="K37" s="34">
        <f t="shared" ref="K37:M37" si="1">(POWER(K25/K6,1/($A$25-$A$6))-1)*100</f>
        <v>8.5548170458870523</v>
      </c>
      <c r="L37" s="34">
        <f t="shared" si="1"/>
        <v>-1.683481850099422</v>
      </c>
      <c r="M37" s="38">
        <f t="shared" si="1"/>
        <v>1.4499841089011367</v>
      </c>
    </row>
    <row r="38" spans="1:13">
      <c r="A38" s="16" t="s">
        <v>59</v>
      </c>
      <c r="B38" s="37">
        <f>(POWER(B$33/B25,1/($A$33-$A$25))-1)*100</f>
        <v>6.05062810066892</v>
      </c>
      <c r="C38" s="34">
        <f t="shared" ref="C38:J38" si="2">(POWER(C$33/C25,1/($A$33-$A$25))-1)*100</f>
        <v>-0.39224781494116012</v>
      </c>
      <c r="D38" s="34">
        <f t="shared" si="2"/>
        <v>9.741179841760772</v>
      </c>
      <c r="E38" s="38">
        <f t="shared" si="2"/>
        <v>1.5345679895964581</v>
      </c>
      <c r="F38" s="37">
        <f t="shared" si="2"/>
        <v>-18.334709010095128</v>
      </c>
      <c r="G38" s="34">
        <f t="shared" si="2"/>
        <v>4.8028302215989527</v>
      </c>
      <c r="H38" s="34">
        <f t="shared" si="2"/>
        <v>-6.0158250818328263</v>
      </c>
      <c r="I38" s="38">
        <f t="shared" si="2"/>
        <v>7.9816016763789577E-2</v>
      </c>
      <c r="J38" s="34">
        <f t="shared" si="2"/>
        <v>-1.0102352636140011</v>
      </c>
      <c r="K38" s="34">
        <f t="shared" ref="K38:M38" si="3">(POWER(K$33/K25,1/($A$33-$A$25))-1)*100</f>
        <v>0.76512715126333397</v>
      </c>
      <c r="L38" s="34">
        <f t="shared" si="3"/>
        <v>-7.0417014382423755</v>
      </c>
      <c r="M38" s="38">
        <f t="shared" si="3"/>
        <v>-2.1300289107936798</v>
      </c>
    </row>
    <row r="39" spans="1:13">
      <c r="A39" s="17" t="s">
        <v>58</v>
      </c>
      <c r="B39" s="88" t="s">
        <v>37</v>
      </c>
      <c r="C39" s="89" t="s">
        <v>37</v>
      </c>
      <c r="D39" s="89" t="s">
        <v>37</v>
      </c>
      <c r="E39" s="90" t="s">
        <v>37</v>
      </c>
      <c r="F39" s="88" t="s">
        <v>37</v>
      </c>
      <c r="G39" s="89" t="s">
        <v>37</v>
      </c>
      <c r="H39" s="89" t="s">
        <v>37</v>
      </c>
      <c r="I39" s="90" t="s">
        <v>37</v>
      </c>
      <c r="J39" s="89">
        <f>(POWER(J33/J25, 1/($A33-$A25))-1)*100</f>
        <v>-1.0102352636140011</v>
      </c>
      <c r="K39" s="89">
        <f t="shared" ref="K39:M39" si="4">(POWER(K33/K25, 1/($A33-$A25))-1)*100</f>
        <v>0.76512715126333397</v>
      </c>
      <c r="L39" s="89">
        <f t="shared" si="4"/>
        <v>-7.0417014382423755</v>
      </c>
      <c r="M39" s="90">
        <f t="shared" si="4"/>
        <v>-2.1300289107936798</v>
      </c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>
      <c r="A41" s="389" t="s">
        <v>77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0"/>
    </row>
    <row r="42" spans="1:13">
      <c r="A42" s="16" t="s">
        <v>53</v>
      </c>
      <c r="B42" s="82" t="s">
        <v>37</v>
      </c>
      <c r="C42" s="83" t="s">
        <v>37</v>
      </c>
      <c r="D42" s="83" t="s">
        <v>37</v>
      </c>
      <c r="E42" s="84" t="s">
        <v>37</v>
      </c>
      <c r="F42" s="82" t="s">
        <v>37</v>
      </c>
      <c r="G42" s="83" t="s">
        <v>37</v>
      </c>
      <c r="H42" s="83" t="s">
        <v>37</v>
      </c>
      <c r="I42" s="84" t="s">
        <v>37</v>
      </c>
      <c r="J42" s="86">
        <f>J15-J6</f>
        <v>6.6649389129668668E-2</v>
      </c>
      <c r="K42" s="86">
        <f t="shared" ref="K42:M42" si="5">K15-K6</f>
        <v>0.99612542111382707</v>
      </c>
      <c r="L42" s="86">
        <f t="shared" si="5"/>
        <v>-0.35552809201876645</v>
      </c>
      <c r="M42" s="87">
        <f t="shared" si="5"/>
        <v>0.70724671822472818</v>
      </c>
    </row>
    <row r="43" spans="1:13">
      <c r="A43" s="16" t="s">
        <v>71</v>
      </c>
      <c r="B43" s="85" t="s">
        <v>37</v>
      </c>
      <c r="C43" s="86" t="s">
        <v>37</v>
      </c>
      <c r="D43" s="86" t="s">
        <v>37</v>
      </c>
      <c r="E43" s="87" t="s">
        <v>37</v>
      </c>
      <c r="F43" s="85" t="s">
        <v>37</v>
      </c>
      <c r="G43" s="86" t="s">
        <v>37</v>
      </c>
      <c r="H43" s="86" t="s">
        <v>37</v>
      </c>
      <c r="I43" s="87" t="s">
        <v>37</v>
      </c>
      <c r="J43" s="86">
        <f>J25-J15</f>
        <v>0.40595496856217661</v>
      </c>
      <c r="K43" s="86">
        <f t="shared" ref="K43:M43" si="6">K25-K15</f>
        <v>1.1058044316775759</v>
      </c>
      <c r="L43" s="86">
        <f t="shared" si="6"/>
        <v>-0.60229962175832252</v>
      </c>
      <c r="M43" s="87">
        <f t="shared" si="6"/>
        <v>0.90945977848143045</v>
      </c>
    </row>
    <row r="44" spans="1:13">
      <c r="A44" s="16" t="s">
        <v>59</v>
      </c>
      <c r="B44" s="85">
        <f>B33-B25</f>
        <v>1.1414349778053894</v>
      </c>
      <c r="C44" s="86">
        <f t="shared" ref="C44:I44" si="7">C33-C25</f>
        <v>-0.27486482643489829</v>
      </c>
      <c r="D44" s="86">
        <f t="shared" si="7"/>
        <v>0.60107865418705198</v>
      </c>
      <c r="E44" s="87">
        <f t="shared" si="7"/>
        <v>1.4676488055575412</v>
      </c>
      <c r="F44" s="85">
        <f t="shared" si="7"/>
        <v>-1.5628057218122553</v>
      </c>
      <c r="G44" s="86">
        <f t="shared" si="7"/>
        <v>1.763879643457158</v>
      </c>
      <c r="H44" s="86">
        <f t="shared" si="7"/>
        <v>-0.16116088060716599</v>
      </c>
      <c r="I44" s="87">
        <f t="shared" si="7"/>
        <v>3.9913041037737074E-2</v>
      </c>
      <c r="J44" s="86">
        <f>J33-J25</f>
        <v>-0.1231523323983692</v>
      </c>
      <c r="K44" s="86">
        <f t="shared" ref="K44:M44" si="8">K33-K25</f>
        <v>0.16733468629858983</v>
      </c>
      <c r="L44" s="86">
        <f t="shared" si="8"/>
        <v>-1.1131434979491328</v>
      </c>
      <c r="M44" s="87">
        <f t="shared" si="8"/>
        <v>-1.0689611440489113</v>
      </c>
    </row>
    <row r="45" spans="1:13">
      <c r="A45" s="17" t="s">
        <v>58</v>
      </c>
      <c r="B45" s="88" t="s">
        <v>37</v>
      </c>
      <c r="C45" s="89" t="s">
        <v>37</v>
      </c>
      <c r="D45" s="89" t="s">
        <v>37</v>
      </c>
      <c r="E45" s="90" t="s">
        <v>37</v>
      </c>
      <c r="F45" s="88" t="s">
        <v>37</v>
      </c>
      <c r="G45" s="89" t="s">
        <v>37</v>
      </c>
      <c r="H45" s="89" t="s">
        <v>37</v>
      </c>
      <c r="I45" s="90" t="s">
        <v>37</v>
      </c>
      <c r="J45" s="89">
        <f>J33-J6</f>
        <v>0.34945202529347608</v>
      </c>
      <c r="K45" s="89">
        <f t="shared" ref="K45:M45" si="9">K33-K6</f>
        <v>2.2692645390899928</v>
      </c>
      <c r="L45" s="89">
        <f t="shared" si="9"/>
        <v>-2.0709712117262216</v>
      </c>
      <c r="M45" s="90">
        <f t="shared" si="9"/>
        <v>0.54774535265724733</v>
      </c>
    </row>
    <row r="46" spans="1:13">
      <c r="A46" s="1" t="s">
        <v>212</v>
      </c>
      <c r="E46" s="18"/>
      <c r="F46" s="86"/>
      <c r="G46" s="86"/>
      <c r="H46" s="86"/>
      <c r="I46" s="86"/>
      <c r="J46" s="86"/>
      <c r="K46" s="86"/>
      <c r="L46" s="86"/>
      <c r="M46" s="86"/>
    </row>
  </sheetData>
  <mergeCells count="6">
    <mergeCell ref="A1:K2"/>
    <mergeCell ref="A41:M41"/>
    <mergeCell ref="B4:E4"/>
    <mergeCell ref="F4:I4"/>
    <mergeCell ref="J4:M4"/>
    <mergeCell ref="A35:M35"/>
  </mergeCells>
  <pageMargins left="0.7" right="0.7" top="0.75" bottom="0.75" header="0.3" footer="0.3"/>
  <pageSetup scale="6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P55"/>
  <sheetViews>
    <sheetView view="pageBreakPreview" zoomScale="60" zoomScaleNormal="100" workbookViewId="0"/>
  </sheetViews>
  <sheetFormatPr defaultRowHeight="15"/>
  <cols>
    <col min="1" max="1" width="9.5703125" style="1" customWidth="1"/>
    <col min="2" max="2" width="11.5703125" style="1" customWidth="1"/>
    <col min="3" max="3" width="9.140625" style="1"/>
    <col min="4" max="4" width="17.28515625" style="1" customWidth="1"/>
    <col min="5" max="5" width="9.140625" style="1"/>
    <col min="6" max="6" width="12" style="1" customWidth="1"/>
    <col min="7" max="7" width="9.140625" style="1"/>
    <col min="8" max="8" width="18.85546875" style="1" customWidth="1"/>
    <col min="9" max="9" width="9.140625" style="1"/>
    <col min="10" max="10" width="11.85546875" style="1" customWidth="1"/>
    <col min="11" max="11" width="9.140625" style="1"/>
    <col min="12" max="12" width="19.28515625" style="1" customWidth="1"/>
    <col min="13" max="13" width="10.140625" style="1" customWidth="1"/>
    <col min="14" max="16384" width="9.140625" style="1"/>
  </cols>
  <sheetData>
    <row r="1" spans="1:13">
      <c r="A1" s="2" t="s">
        <v>184</v>
      </c>
    </row>
    <row r="3" spans="1:13">
      <c r="B3" s="377" t="s">
        <v>3</v>
      </c>
      <c r="C3" s="375"/>
      <c r="D3" s="375"/>
      <c r="E3" s="376"/>
      <c r="F3" s="375" t="s">
        <v>4</v>
      </c>
      <c r="G3" s="375"/>
      <c r="H3" s="375"/>
      <c r="I3" s="376"/>
      <c r="J3" s="378" t="s">
        <v>42</v>
      </c>
      <c r="K3" s="379"/>
      <c r="L3" s="379"/>
      <c r="M3" s="380"/>
    </row>
    <row r="4" spans="1:13" ht="60">
      <c r="B4" s="59" t="s">
        <v>0</v>
      </c>
      <c r="C4" s="60" t="s">
        <v>1</v>
      </c>
      <c r="D4" s="60" t="s">
        <v>2</v>
      </c>
      <c r="E4" s="5" t="s">
        <v>75</v>
      </c>
      <c r="F4" s="60" t="s">
        <v>0</v>
      </c>
      <c r="G4" s="60" t="s">
        <v>1</v>
      </c>
      <c r="H4" s="60" t="s">
        <v>2</v>
      </c>
      <c r="I4" s="5" t="s">
        <v>75</v>
      </c>
      <c r="J4" s="3" t="s">
        <v>39</v>
      </c>
      <c r="K4" s="4" t="s">
        <v>41</v>
      </c>
      <c r="L4" s="4" t="s">
        <v>40</v>
      </c>
      <c r="M4" s="5" t="s">
        <v>75</v>
      </c>
    </row>
    <row r="5" spans="1:13">
      <c r="A5" s="27">
        <v>1981</v>
      </c>
      <c r="B5" s="167">
        <f>'3a'!B6/'3b'!$B5*100</f>
        <v>1.0237731733914941</v>
      </c>
      <c r="C5" s="155">
        <f>'3a'!C6/'3b'!$B5*100</f>
        <v>0.8561283500214798</v>
      </c>
      <c r="D5" s="155">
        <f>'3a'!D6/'3b'!$B5*100</f>
        <v>0.33600343676679556</v>
      </c>
      <c r="E5" s="168">
        <f>'3a'!E6/'3b'!$B5*100</f>
        <v>2.2159049601797691</v>
      </c>
      <c r="F5" s="167">
        <f>'3a'!F6/'3b'!$C5*100</f>
        <v>0.44985027145906209</v>
      </c>
      <c r="G5" s="155">
        <f>'3a'!G6/'3b'!$C5*100</f>
        <v>0.12895887942997655</v>
      </c>
      <c r="H5" s="155">
        <f>'3a'!H6/'3b'!$C5*100</f>
        <v>0.11273138943216771</v>
      </c>
      <c r="I5" s="168">
        <f>'3a'!I6/'3b'!$C5*100</f>
        <v>0.69154054032120627</v>
      </c>
      <c r="J5" s="260">
        <f>('3a'!J6/'3b'!$D5)*100</f>
        <v>0.89184461412925886</v>
      </c>
      <c r="K5" s="261">
        <f>('3a'!K6/'3b'!$D5)*100</f>
        <v>0.45117969760879972</v>
      </c>
      <c r="L5" s="261">
        <f>('3a'!L6/'3b'!$D5)*100</f>
        <v>2.8014505183960874</v>
      </c>
      <c r="M5" s="262">
        <f>('3a'!M6/'3b'!$D5)*100</f>
        <v>4.1444748301341461</v>
      </c>
    </row>
    <row r="6" spans="1:13">
      <c r="A6" s="28">
        <v>1982</v>
      </c>
      <c r="B6" s="169">
        <f>'3a'!B7/'3b'!$B6*100</f>
        <v>0.91101730551512217</v>
      </c>
      <c r="C6" s="156">
        <f>'3a'!C7/'3b'!$B6*100</f>
        <v>0.9169497007924956</v>
      </c>
      <c r="D6" s="156">
        <f>'3a'!D7/'3b'!$B6*100</f>
        <v>0.34996280122917683</v>
      </c>
      <c r="E6" s="170">
        <f>'3a'!E7/'3b'!$B6*100</f>
        <v>2.1779298075367945</v>
      </c>
      <c r="F6" s="169">
        <f>'3a'!F7/'3b'!$C6*100</f>
        <v>0.44799294285755942</v>
      </c>
      <c r="G6" s="156">
        <f>'3a'!G7/'3b'!$C6*100</f>
        <v>0.16023941793155735</v>
      </c>
      <c r="H6" s="156">
        <f>'3a'!H7/'3b'!$C6*100</f>
        <v>0.11549582257993964</v>
      </c>
      <c r="I6" s="170">
        <f>'3a'!I7/'3b'!$C6*100</f>
        <v>0.72372818336905642</v>
      </c>
      <c r="J6" s="263">
        <f>('3a'!J7/'3b'!$D6)*100</f>
        <v>0.96359940368509722</v>
      </c>
      <c r="K6" s="264">
        <f>('3a'!K7/'3b'!$D6)*100</f>
        <v>0.52082806054626207</v>
      </c>
      <c r="L6" s="264">
        <f>('3a'!L7/'3b'!$D6)*100</f>
        <v>2.846201789204291</v>
      </c>
      <c r="M6" s="265">
        <f>('3a'!M7/'3b'!$D6)*100</f>
        <v>4.3306292534356503</v>
      </c>
    </row>
    <row r="7" spans="1:13">
      <c r="A7" s="28">
        <v>1983</v>
      </c>
      <c r="B7" s="169">
        <f>'3a'!B8/'3b'!$B7*100</f>
        <v>0.77536649214659681</v>
      </c>
      <c r="C7" s="156">
        <f>'3a'!C8/'3b'!$B7*100</f>
        <v>1.0418411867364747</v>
      </c>
      <c r="D7" s="156">
        <f>'3a'!D8/'3b'!$B7*100</f>
        <v>0.34974694589877831</v>
      </c>
      <c r="E7" s="170">
        <f>'3a'!E8/'3b'!$B7*100</f>
        <v>2.1669546247818499</v>
      </c>
      <c r="F7" s="169">
        <f>'3a'!F8/'3b'!$C7*100</f>
        <v>0.36638462980058445</v>
      </c>
      <c r="G7" s="156">
        <f>'3a'!G8/'3b'!$C7*100</f>
        <v>0.18319578541135964</v>
      </c>
      <c r="H7" s="156">
        <f>'3a'!H8/'3b'!$C7*100</f>
        <v>0.11842980197263848</v>
      </c>
      <c r="I7" s="170">
        <f>'3a'!I8/'3b'!$C7*100</f>
        <v>0.66801021718458264</v>
      </c>
      <c r="J7" s="263">
        <f>('3a'!J8/'3b'!$D7)*100</f>
        <v>0.91821087027491677</v>
      </c>
      <c r="K7" s="264">
        <f>('3a'!K8/'3b'!$D7)*100</f>
        <v>0.60340498517943908</v>
      </c>
      <c r="L7" s="264">
        <f>('3a'!L8/'3b'!$D7)*100</f>
        <v>2.882471803995212</v>
      </c>
      <c r="M7" s="265">
        <f>('3a'!M8/'3b'!$D7)*100</f>
        <v>4.4040876594495684</v>
      </c>
    </row>
    <row r="8" spans="1:13">
      <c r="A8" s="28">
        <v>1984</v>
      </c>
      <c r="B8" s="169">
        <f>'3a'!B9/'3b'!$B8*100</f>
        <v>0.78982322268854133</v>
      </c>
      <c r="C8" s="156">
        <f>'3a'!C9/'3b'!$B8*100</f>
        <v>1.3199262368052906</v>
      </c>
      <c r="D8" s="156">
        <f>'3a'!D9/'3b'!$B8*100</f>
        <v>0.3403535546229175</v>
      </c>
      <c r="E8" s="170">
        <f>'3a'!E9/'3b'!$B8*100</f>
        <v>2.4501030141167495</v>
      </c>
      <c r="F8" s="169">
        <f>'3a'!F9/'3b'!$C8*100</f>
        <v>0.3508586376282965</v>
      </c>
      <c r="G8" s="156">
        <f>'3a'!G9/'3b'!$C8*100</f>
        <v>0.20357499434231022</v>
      </c>
      <c r="H8" s="156">
        <f>'3a'!H9/'3b'!$C8*100</f>
        <v>0.11829031270384321</v>
      </c>
      <c r="I8" s="170">
        <f>'3a'!I9/'3b'!$C8*100</f>
        <v>0.67272394467444985</v>
      </c>
      <c r="J8" s="263">
        <f>('3a'!J9/'3b'!$D8)*100</f>
        <v>0.99509854307625178</v>
      </c>
      <c r="K8" s="264">
        <f>('3a'!K9/'3b'!$D8)*100</f>
        <v>0.70547244299184142</v>
      </c>
      <c r="L8" s="264">
        <f>('3a'!L9/'3b'!$D8)*100</f>
        <v>2.8677488351342721</v>
      </c>
      <c r="M8" s="265">
        <f>('3a'!M9/'3b'!$D8)*100</f>
        <v>4.5683198212023646</v>
      </c>
    </row>
    <row r="9" spans="1:13">
      <c r="A9" s="28">
        <v>1985</v>
      </c>
      <c r="B9" s="169">
        <f>'3a'!B10/'3b'!$B9*100</f>
        <v>1.3931298082793993</v>
      </c>
      <c r="C9" s="156">
        <f>'3a'!C10/'3b'!$B9*100</f>
        <v>1.4313689095127611</v>
      </c>
      <c r="D9" s="156">
        <f>'3a'!D10/'3b'!$B9*100</f>
        <v>0.73514470631334716</v>
      </c>
      <c r="E9" s="170">
        <f>'3a'!E10/'3b'!$B9*100</f>
        <v>3.5596434241055075</v>
      </c>
      <c r="F9" s="169">
        <f>'3a'!F10/'3b'!$C9*100</f>
        <v>0.31527367484902957</v>
      </c>
      <c r="G9" s="156">
        <f>'3a'!G10/'3b'!$C9*100</f>
        <v>0.25994788330337759</v>
      </c>
      <c r="H9" s="156">
        <f>'3a'!H10/'3b'!$C9*100</f>
        <v>0.15209244183515452</v>
      </c>
      <c r="I9" s="170">
        <f>'3a'!I10/'3b'!$C9*100</f>
        <v>0.72731399998756163</v>
      </c>
      <c r="J9" s="263">
        <f>('3a'!J10/'3b'!$D9)*100</f>
        <v>0.99592436824751007</v>
      </c>
      <c r="K9" s="264">
        <f>('3a'!K10/'3b'!$D9)*100</f>
        <v>0.8078252857479804</v>
      </c>
      <c r="L9" s="264">
        <f>('3a'!L10/'3b'!$D9)*100</f>
        <v>2.7832978022430415</v>
      </c>
      <c r="M9" s="265">
        <f>('3a'!M10/'3b'!$D9)*100</f>
        <v>4.5870474562385324</v>
      </c>
    </row>
    <row r="10" spans="1:13">
      <c r="A10" s="28">
        <v>1986</v>
      </c>
      <c r="B10" s="169">
        <f>'3a'!B11/'3b'!$B10*100</f>
        <v>1.3259030711539377</v>
      </c>
      <c r="C10" s="156">
        <f>'3a'!C11/'3b'!$B10*100</f>
        <v>1.7253097261119288</v>
      </c>
      <c r="D10" s="156">
        <f>'3a'!D11/'3b'!$B10*100</f>
        <v>0.75499833863388244</v>
      </c>
      <c r="E10" s="170">
        <f>'3a'!E11/'3b'!$B10*100</f>
        <v>3.8062111358997486</v>
      </c>
      <c r="F10" s="169">
        <f>'3a'!F11/'3b'!$C10*100</f>
        <v>0.25189629286036891</v>
      </c>
      <c r="G10" s="156">
        <f>'3a'!G11/'3b'!$C10*100</f>
        <v>0.24521746029808478</v>
      </c>
      <c r="H10" s="156">
        <f>'3a'!H11/'3b'!$C10*100</f>
        <v>0.15814606398691455</v>
      </c>
      <c r="I10" s="170">
        <f>'3a'!I11/'3b'!$C10*100</f>
        <v>0.65525981714536818</v>
      </c>
      <c r="J10" s="263">
        <f>('3a'!J11/'3b'!$D10)*100</f>
        <v>0.99698453517760555</v>
      </c>
      <c r="K10" s="264">
        <f>('3a'!K11/'3b'!$D10)*100</f>
        <v>0.9075868609474983</v>
      </c>
      <c r="L10" s="264">
        <f>('3a'!L11/'3b'!$D10)*100</f>
        <v>2.7530582673452075</v>
      </c>
      <c r="M10" s="265">
        <f>('3a'!M11/'3b'!$D10)*100</f>
        <v>4.6576296634703116</v>
      </c>
    </row>
    <row r="11" spans="1:13">
      <c r="A11" s="28">
        <v>1987</v>
      </c>
      <c r="B11" s="169">
        <f>'3a'!B12/'3b'!$B11*100</f>
        <v>1.0724707395498392</v>
      </c>
      <c r="C11" s="156">
        <f>'3a'!C12/'3b'!$B11*100</f>
        <v>1.8271794212218653</v>
      </c>
      <c r="D11" s="156">
        <f>'3a'!D12/'3b'!$B11*100</f>
        <v>0.74814919614147901</v>
      </c>
      <c r="E11" s="170">
        <f>'3a'!E12/'3b'!$B11*100</f>
        <v>3.647799356913183</v>
      </c>
      <c r="F11" s="169">
        <f>'3a'!F12/'3b'!$C11*100</f>
        <v>0.2573938840712004</v>
      </c>
      <c r="G11" s="156">
        <f>'3a'!G12/'3b'!$C11*100</f>
        <v>0.25970000123354758</v>
      </c>
      <c r="H11" s="156">
        <f>'3a'!H12/'3b'!$C11*100</f>
        <v>0.15375676909223235</v>
      </c>
      <c r="I11" s="170">
        <f>'3a'!I12/'3b'!$C11*100</f>
        <v>0.67085065439698044</v>
      </c>
      <c r="J11" s="263">
        <f>('3a'!J12/'3b'!$D11)*100</f>
        <v>1.152519416230348</v>
      </c>
      <c r="K11" s="264">
        <f>('3a'!K12/'3b'!$D11)*100</f>
        <v>1.0313739094106809</v>
      </c>
      <c r="L11" s="264">
        <f>('3a'!L12/'3b'!$D11)*100</f>
        <v>2.775943809704986</v>
      </c>
      <c r="M11" s="265">
        <f>('3a'!M12/'3b'!$D11)*100</f>
        <v>4.9598371353460156</v>
      </c>
    </row>
    <row r="12" spans="1:13">
      <c r="A12" s="28">
        <v>1988</v>
      </c>
      <c r="B12" s="169">
        <f>'3a'!B13/'3b'!$B12*100</f>
        <v>0.80776048291038294</v>
      </c>
      <c r="C12" s="156">
        <f>'3a'!C13/'3b'!$B12*100</f>
        <v>2.0161548866412287</v>
      </c>
      <c r="D12" s="156">
        <f>'3a'!D13/'3b'!$B12*100</f>
        <v>0.51185472311388369</v>
      </c>
      <c r="E12" s="170">
        <f>'3a'!E13/'3b'!$B12*100</f>
        <v>3.335770092665495</v>
      </c>
      <c r="F12" s="169">
        <f>'3a'!F13/'3b'!$C12*100</f>
        <v>0.24469251361244143</v>
      </c>
      <c r="G12" s="156">
        <f>'3a'!G13/'3b'!$C12*100</f>
        <v>0.24550106532150859</v>
      </c>
      <c r="H12" s="156">
        <f>'3a'!H13/'3b'!$C12*100</f>
        <v>0.13279490588142454</v>
      </c>
      <c r="I12" s="170">
        <f>'3a'!I13/'3b'!$C12*100</f>
        <v>0.6229884848153745</v>
      </c>
      <c r="J12" s="263">
        <f>('3a'!J13/'3b'!$D12)*100</f>
        <v>1.1341040628322041</v>
      </c>
      <c r="K12" s="264">
        <f>('3a'!K13/'3b'!$D12)*100</f>
        <v>1.1610585229809072</v>
      </c>
      <c r="L12" s="264">
        <f>('3a'!L13/'3b'!$D12)*100</f>
        <v>2.7563165547313222</v>
      </c>
      <c r="M12" s="265">
        <f>('3a'!M13/'3b'!$D12)*100</f>
        <v>5.0514791405444335</v>
      </c>
    </row>
    <row r="13" spans="1:13">
      <c r="A13" s="28">
        <v>1989</v>
      </c>
      <c r="B13" s="169">
        <f>'3a'!B14/'3b'!$B13*100</f>
        <v>0.77326102081958137</v>
      </c>
      <c r="C13" s="156">
        <f>'3a'!C14/'3b'!$B13*100</f>
        <v>2.0221040800670798</v>
      </c>
      <c r="D13" s="156">
        <f>'3a'!D14/'3b'!$B13*100</f>
        <v>0.43705243251922277</v>
      </c>
      <c r="E13" s="170">
        <f>'3a'!E14/'3b'!$B13*100</f>
        <v>3.2324175334058838</v>
      </c>
      <c r="F13" s="169">
        <f>'3a'!F14/'3b'!$C13*100</f>
        <v>0.19932769336200579</v>
      </c>
      <c r="G13" s="156">
        <f>'3a'!G14/'3b'!$C13*100</f>
        <v>0.23809461918377953</v>
      </c>
      <c r="H13" s="156">
        <f>'3a'!H14/'3b'!$C13*100</f>
        <v>0.14770246000425363</v>
      </c>
      <c r="I13" s="170">
        <f>'3a'!I14/'3b'!$C13*100</f>
        <v>0.58512477255003892</v>
      </c>
      <c r="J13" s="263">
        <f>('3a'!J14/'3b'!$D13)*100</f>
        <v>1.0810069919361045</v>
      </c>
      <c r="K13" s="264">
        <f>('3a'!K14/'3b'!$D13)*100</f>
        <v>1.2543877929514322</v>
      </c>
      <c r="L13" s="264">
        <f>('3a'!L14/'3b'!$D13)*100</f>
        <v>2.6911676377990013</v>
      </c>
      <c r="M13" s="265">
        <f>('3a'!M14/'3b'!$D13)*100</f>
        <v>5.0265624226865375</v>
      </c>
    </row>
    <row r="14" spans="1:13">
      <c r="A14" s="28">
        <v>1990</v>
      </c>
      <c r="B14" s="169">
        <f>'3a'!B15/'3b'!$B14*100</f>
        <v>0.41251430136809719</v>
      </c>
      <c r="C14" s="156">
        <f>'3a'!C15/'3b'!$B14*100</f>
        <v>2.0852039254234014</v>
      </c>
      <c r="D14" s="156">
        <f>'3a'!D15/'3b'!$B14*100</f>
        <v>0.36364310230916735</v>
      </c>
      <c r="E14" s="170">
        <f>'3a'!E15/'3b'!$B14*100</f>
        <v>2.8613613291006659</v>
      </c>
      <c r="F14" s="169">
        <f>'3a'!F15/'3b'!$C14*100</f>
        <v>0.17673031730848712</v>
      </c>
      <c r="G14" s="156">
        <f>'3a'!G15/'3b'!$C14*100</f>
        <v>0.23591183382340786</v>
      </c>
      <c r="H14" s="156">
        <f>'3a'!H15/'3b'!$C14*100</f>
        <v>0.13001145475372278</v>
      </c>
      <c r="I14" s="170">
        <f>'3a'!I15/'3b'!$C14*100</f>
        <v>0.54265360588561773</v>
      </c>
      <c r="J14" s="263">
        <f>('3a'!J15/'3b'!$D14)*100</f>
        <v>1.0318975957254304</v>
      </c>
      <c r="K14" s="264">
        <f>('3a'!K15/'3b'!$D14)*100</f>
        <v>1.3689930307860219</v>
      </c>
      <c r="L14" s="264">
        <f>('3a'!L15/'3b'!$D14)*100</f>
        <v>2.7442583199713155</v>
      </c>
      <c r="M14" s="265">
        <f>('3a'!M15/'3b'!$D14)*100</f>
        <v>5.1451489464827675</v>
      </c>
    </row>
    <row r="15" spans="1:13">
      <c r="A15" s="28">
        <v>1991</v>
      </c>
      <c r="B15" s="169">
        <f>'3a'!B16/'3b'!$B15*100</f>
        <v>0.35198151519395043</v>
      </c>
      <c r="C15" s="156">
        <f>'3a'!C16/'3b'!$B15*100</f>
        <v>2.1712155160341693</v>
      </c>
      <c r="D15" s="156">
        <f>'3a'!D16/'3b'!$B15*100</f>
        <v>0.37760817812631287</v>
      </c>
      <c r="E15" s="170">
        <f>'3a'!E16/'3b'!$B15*100</f>
        <v>2.9008052093544325</v>
      </c>
      <c r="F15" s="169">
        <f>'3a'!F16/'3b'!$C15*100</f>
        <v>0.1601172172886276</v>
      </c>
      <c r="G15" s="156">
        <f>'3a'!G16/'3b'!$C15*100</f>
        <v>0.2274790288061794</v>
      </c>
      <c r="H15" s="156">
        <f>'3a'!H16/'3b'!$C15*100</f>
        <v>0.11295970578829549</v>
      </c>
      <c r="I15" s="170">
        <f>'3a'!I16/'3b'!$C15*100</f>
        <v>0.50055595188310242</v>
      </c>
      <c r="J15" s="263">
        <f>('3a'!J16/'3b'!$D15)*100</f>
        <v>0.91423043191849718</v>
      </c>
      <c r="K15" s="264">
        <f>('3a'!K16/'3b'!$D15)*100</f>
        <v>1.5258565794682433</v>
      </c>
      <c r="L15" s="264">
        <f>('3a'!L16/'3b'!$D15)*100</f>
        <v>2.736874292500544</v>
      </c>
      <c r="M15" s="265">
        <f>('3a'!M16/'3b'!$D15)*100</f>
        <v>5.1769613038872846</v>
      </c>
    </row>
    <row r="16" spans="1:13">
      <c r="A16" s="28">
        <v>1992</v>
      </c>
      <c r="B16" s="169">
        <f>'3a'!B17/'3b'!$B16*100</f>
        <v>0.52426549033240244</v>
      </c>
      <c r="C16" s="156">
        <f>'3a'!C17/'3b'!$B16*100</f>
        <v>2.0632439495103272</v>
      </c>
      <c r="D16" s="156">
        <f>'3a'!D17/'3b'!$B16*100</f>
        <v>0.2701077640458866</v>
      </c>
      <c r="E16" s="170">
        <f>'3a'!E17/'3b'!$B16*100</f>
        <v>2.8576172038886161</v>
      </c>
      <c r="F16" s="169">
        <f>'3a'!F17/'3b'!$C16*100</f>
        <v>0.16089036621450256</v>
      </c>
      <c r="G16" s="156">
        <f>'3a'!G17/'3b'!$C16*100</f>
        <v>0.20674275320549776</v>
      </c>
      <c r="H16" s="156">
        <f>'3a'!H17/'3b'!$C16*100</f>
        <v>9.9549116806927213E-2</v>
      </c>
      <c r="I16" s="170">
        <f>'3a'!I17/'3b'!$C16*100</f>
        <v>0.46718223622692751</v>
      </c>
      <c r="J16" s="263">
        <f>('3a'!J17/'3b'!$D16)*100</f>
        <v>1.0104979021079197</v>
      </c>
      <c r="K16" s="264">
        <f>('3a'!K17/'3b'!$D16)*100</f>
        <v>1.5968810365665755</v>
      </c>
      <c r="L16" s="264">
        <f>('3a'!L17/'3b'!$D16)*100</f>
        <v>2.8854948110788614</v>
      </c>
      <c r="M16" s="265">
        <f>('3a'!M17/'3b'!$D16)*100</f>
        <v>5.4928737497533566</v>
      </c>
    </row>
    <row r="17" spans="1:13">
      <c r="A17" s="28">
        <v>1993</v>
      </c>
      <c r="B17" s="169">
        <f>'3a'!B18/'3b'!$B17*100</f>
        <v>1.0468249990832528</v>
      </c>
      <c r="C17" s="156">
        <f>'3a'!C18/'3b'!$B17*100</f>
        <v>2.0442959993154952</v>
      </c>
      <c r="D17" s="156">
        <f>'3a'!D18/'3b'!$B17*100</f>
        <v>0.2297857256359169</v>
      </c>
      <c r="E17" s="170">
        <f>'3a'!E18/'3b'!$B17*100</f>
        <v>3.3209067240346646</v>
      </c>
      <c r="F17" s="169">
        <f>'3a'!F18/'3b'!$C17*100</f>
        <v>0.12659829172575274</v>
      </c>
      <c r="G17" s="156">
        <f>'3a'!G18/'3b'!$C17*100</f>
        <v>0.23413712363552422</v>
      </c>
      <c r="H17" s="156">
        <f>'3a'!H18/'3b'!$C17*100</f>
        <v>8.6581802592091819E-2</v>
      </c>
      <c r="I17" s="170">
        <f>'3a'!I18/'3b'!$C17*100</f>
        <v>0.44731721795336876</v>
      </c>
      <c r="J17" s="263">
        <f>('3a'!J18/'3b'!$D17)*100</f>
        <v>1.0522784493762716</v>
      </c>
      <c r="K17" s="264">
        <f>('3a'!K18/'3b'!$D17)*100</f>
        <v>1.8072103231780039</v>
      </c>
      <c r="L17" s="264">
        <f>('3a'!L18/'3b'!$D17)*100</f>
        <v>2.9013054935396267</v>
      </c>
      <c r="M17" s="265">
        <f>('3a'!M18/'3b'!$D17)*100</f>
        <v>5.7607942660939031</v>
      </c>
    </row>
    <row r="18" spans="1:13">
      <c r="A18" s="28">
        <v>1994</v>
      </c>
      <c r="B18" s="169">
        <f>'3a'!B19/'3b'!$B18*100</f>
        <v>0.5854111373542088</v>
      </c>
      <c r="C18" s="156">
        <f>'3a'!C19/'3b'!$B18*100</f>
        <v>1.831436119700991</v>
      </c>
      <c r="D18" s="156">
        <f>'3a'!D19/'3b'!$B18*100</f>
        <v>0.2077138474275001</v>
      </c>
      <c r="E18" s="170">
        <f>'3a'!E19/'3b'!$B18*100</f>
        <v>2.6245611044826997</v>
      </c>
      <c r="F18" s="169">
        <f>'3a'!F19/'3b'!$C18*100</f>
        <v>0.13520197747581028</v>
      </c>
      <c r="G18" s="156">
        <f>'3a'!G19/'3b'!$C18*100</f>
        <v>0.25613070374874425</v>
      </c>
      <c r="H18" s="156">
        <f>'3a'!H19/'3b'!$C18*100</f>
        <v>7.1419129699148723E-2</v>
      </c>
      <c r="I18" s="170">
        <f>'3a'!I19/'3b'!$C18*100</f>
        <v>0.46275181092370321</v>
      </c>
      <c r="J18" s="263">
        <f>('3a'!J19/'3b'!$D18)*100</f>
        <v>1.1183600690633457</v>
      </c>
      <c r="K18" s="264">
        <f>('3a'!K19/'3b'!$D18)*100</f>
        <v>2.0023509350866036</v>
      </c>
      <c r="L18" s="264">
        <f>('3a'!L19/'3b'!$D18)*100</f>
        <v>2.7222785302776651</v>
      </c>
      <c r="M18" s="265">
        <f>('3a'!M19/'3b'!$D18)*100</f>
        <v>5.8429895344276144</v>
      </c>
    </row>
    <row r="19" spans="1:13">
      <c r="A19" s="28">
        <v>1995</v>
      </c>
      <c r="B19" s="169">
        <f>'3a'!B20/'3b'!$B19*100</f>
        <v>0.41590178161212921</v>
      </c>
      <c r="C19" s="156">
        <f>'3a'!C20/'3b'!$B19*100</f>
        <v>1.7656210117923326</v>
      </c>
      <c r="D19" s="156">
        <f>'3a'!D20/'3b'!$B19*100</f>
        <v>0.17212338557353615</v>
      </c>
      <c r="E19" s="170">
        <f>'3a'!E20/'3b'!$B19*100</f>
        <v>2.3536461789779981</v>
      </c>
      <c r="F19" s="169">
        <f>'3a'!F20/'3b'!$C19*100</f>
        <v>0.22368388333758676</v>
      </c>
      <c r="G19" s="156">
        <f>'3a'!G20/'3b'!$C19*100</f>
        <v>0.29623798399392731</v>
      </c>
      <c r="H19" s="156">
        <f>'3a'!H20/'3b'!$C19*100</f>
        <v>5.696290334190568E-2</v>
      </c>
      <c r="I19" s="170">
        <f>'3a'!I20/'3b'!$C19*100</f>
        <v>0.57688477067341981</v>
      </c>
      <c r="J19" s="263">
        <f>('3a'!J20/'3b'!$D19)*100</f>
        <v>1.1791833941270731</v>
      </c>
      <c r="K19" s="264">
        <f>('3a'!K20/'3b'!$D19)*100</f>
        <v>2.088752973199127</v>
      </c>
      <c r="L19" s="264">
        <f>('3a'!L20/'3b'!$D19)*100</f>
        <v>2.5235484247573345</v>
      </c>
      <c r="M19" s="265">
        <f>('3a'!M20/'3b'!$D19)*100</f>
        <v>5.7914847920835353</v>
      </c>
    </row>
    <row r="20" spans="1:13">
      <c r="A20" s="28">
        <v>1996</v>
      </c>
      <c r="B20" s="169">
        <f>'3a'!B21/'3b'!$B20*100</f>
        <v>0.41336138261376143</v>
      </c>
      <c r="C20" s="156">
        <f>'3a'!C21/'3b'!$B20*100</f>
        <v>1.8212013722571043</v>
      </c>
      <c r="D20" s="156">
        <f>'3a'!D21/'3b'!$B20*100</f>
        <v>0.19541329535892293</v>
      </c>
      <c r="E20" s="170">
        <f>'3a'!E21/'3b'!$B20*100</f>
        <v>2.4299760502297887</v>
      </c>
      <c r="F20" s="169">
        <f>'3a'!F21/'3b'!$C20*100</f>
        <v>0.33839282358394834</v>
      </c>
      <c r="G20" s="156">
        <f>'3a'!G21/'3b'!$C20*100</f>
        <v>0.3731448187729432</v>
      </c>
      <c r="H20" s="156">
        <f>'3a'!H21/'3b'!$C20*100</f>
        <v>4.7733565531152516E-2</v>
      </c>
      <c r="I20" s="170">
        <f>'3a'!I21/'3b'!$C20*100</f>
        <v>0.75927120788804403</v>
      </c>
      <c r="J20" s="263">
        <f>('3a'!J21/'3b'!$D20)*100</f>
        <v>1.1433452367475891</v>
      </c>
      <c r="K20" s="264">
        <f>('3a'!K21/'3b'!$D20)*100</f>
        <v>2.2416516184022464</v>
      </c>
      <c r="L20" s="264">
        <f>('3a'!L21/'3b'!$D20)*100</f>
        <v>2.5299547734830106</v>
      </c>
      <c r="M20" s="265">
        <f>('3a'!M21/'3b'!$D20)*100</f>
        <v>5.9149516286328465</v>
      </c>
    </row>
    <row r="21" spans="1:13">
      <c r="A21" s="28">
        <v>1997</v>
      </c>
      <c r="B21" s="169">
        <f>'3a'!B22/'3b'!$B21*100</f>
        <v>1.0403709816136304</v>
      </c>
      <c r="C21" s="156">
        <f>'3a'!C22/'3b'!$B21*100</f>
        <v>2.2243915762069681</v>
      </c>
      <c r="D21" s="156">
        <f>'3a'!D22/'3b'!$B21*100</f>
        <v>0.3947525627019362</v>
      </c>
      <c r="E21" s="170">
        <f>'3a'!E22/'3b'!$B21*100</f>
        <v>3.6595151205225358</v>
      </c>
      <c r="F21" s="169">
        <f>'3a'!F22/'3b'!$C21*100</f>
        <v>0.52884521092742687</v>
      </c>
      <c r="G21" s="156">
        <f>'3a'!G22/'3b'!$C21*100</f>
        <v>0.6346721227126072</v>
      </c>
      <c r="H21" s="156">
        <f>'3a'!H22/'3b'!$C21*100</f>
        <v>4.6096526008026682E-2</v>
      </c>
      <c r="I21" s="170">
        <f>'3a'!I22/'3b'!$C21*100</f>
        <v>1.209613859648061</v>
      </c>
      <c r="J21" s="263">
        <f>('3a'!J22/'3b'!$D21)*100</f>
        <v>1.2414077966558041</v>
      </c>
      <c r="K21" s="264">
        <f>('3a'!K22/'3b'!$D21)*100</f>
        <v>2.3763378606342966</v>
      </c>
      <c r="L21" s="264">
        <f>('3a'!L22/'3b'!$D21)*100</f>
        <v>2.583351584335273</v>
      </c>
      <c r="M21" s="265">
        <f>('3a'!M22/'3b'!$D21)*100</f>
        <v>6.2010972416253747</v>
      </c>
    </row>
    <row r="22" spans="1:13">
      <c r="A22" s="28">
        <v>1998</v>
      </c>
      <c r="B22" s="169">
        <f>'3a'!B23/'3b'!$B22*100</f>
        <v>1.4883408827557147</v>
      </c>
      <c r="C22" s="156">
        <f>'3a'!C23/'3b'!$B22*100</f>
        <v>2.5372137364373755</v>
      </c>
      <c r="D22" s="156">
        <f>'3a'!D23/'3b'!$B22*100</f>
        <v>0.34031918255556731</v>
      </c>
      <c r="E22" s="170">
        <f>'3a'!E23/'3b'!$B22*100</f>
        <v>4.3658738017486574</v>
      </c>
      <c r="F22" s="169">
        <f>'3a'!F23/'3b'!$C22*100</f>
        <v>1.136839481555334</v>
      </c>
      <c r="G22" s="156">
        <f>'3a'!G23/'3b'!$C22*100</f>
        <v>0.94385783824995595</v>
      </c>
      <c r="H22" s="156">
        <f>'3a'!H23/'3b'!$C22*100</f>
        <v>7.7177878130314931E-2</v>
      </c>
      <c r="I22" s="170">
        <f>'3a'!I23/'3b'!$C22*100</f>
        <v>2.1578751979356046</v>
      </c>
      <c r="J22" s="263">
        <f>('3a'!J23/'3b'!$D22)*100</f>
        <v>1.4520328922277552</v>
      </c>
      <c r="K22" s="264">
        <f>('3a'!K23/'3b'!$D22)*100</f>
        <v>2.5286470528794283</v>
      </c>
      <c r="L22" s="264">
        <f>('3a'!L23/'3b'!$D22)*100</f>
        <v>2.5649651921737533</v>
      </c>
      <c r="M22" s="265">
        <f>('3a'!M23/'3b'!$D22)*100</f>
        <v>6.5456451372809363</v>
      </c>
    </row>
    <row r="23" spans="1:13">
      <c r="A23" s="28">
        <v>1999</v>
      </c>
      <c r="B23" s="169">
        <f>'3a'!B24/'3b'!$B23*100</f>
        <v>1.3021416593759112</v>
      </c>
      <c r="C23" s="156">
        <f>'3a'!C24/'3b'!$B23*100</f>
        <v>2.9942758457276177</v>
      </c>
      <c r="D23" s="156">
        <f>'3a'!D24/'3b'!$B23*100</f>
        <v>0.28448618401866432</v>
      </c>
      <c r="E23" s="170">
        <f>'3a'!E24/'3b'!$B23*100</f>
        <v>4.5809036891221933</v>
      </c>
      <c r="F23" s="169">
        <f>'3a'!F24/'3b'!$C23*100</f>
        <v>0.63625785781617761</v>
      </c>
      <c r="G23" s="156">
        <f>'3a'!G24/'3b'!$C23*100</f>
        <v>0.85941058426875316</v>
      </c>
      <c r="H23" s="156">
        <f>'3a'!H24/'3b'!$C23*100</f>
        <v>6.2055783988850137E-2</v>
      </c>
      <c r="I23" s="170">
        <f>'3a'!I24/'3b'!$C23*100</f>
        <v>1.5577242260737807</v>
      </c>
      <c r="J23" s="263">
        <f>('3a'!J24/'3b'!$D23)*100</f>
        <v>1.5443027465111234</v>
      </c>
      <c r="K23" s="264">
        <f>('3a'!K24/'3b'!$D23)*100</f>
        <v>2.6670474845004652</v>
      </c>
      <c r="L23" s="264">
        <f>('3a'!L24/'3b'!$D23)*100</f>
        <v>2.559402278385432</v>
      </c>
      <c r="M23" s="265">
        <f>('3a'!M24/'3b'!$D23)*100</f>
        <v>6.7707525093970196</v>
      </c>
    </row>
    <row r="24" spans="1:13">
      <c r="A24" s="28">
        <v>2000</v>
      </c>
      <c r="B24" s="169">
        <f>'3a'!B25/'3b'!$B24*100</f>
        <v>0.76172357228620224</v>
      </c>
      <c r="C24" s="156">
        <f>'3a'!C25/'3b'!$B24*100</f>
        <v>3.5553726345695291</v>
      </c>
      <c r="D24" s="156">
        <f>'3a'!D25/'3b'!$B24*100</f>
        <v>0.21806774559044861</v>
      </c>
      <c r="E24" s="170">
        <f>'3a'!E25/'3b'!$B24*100</f>
        <v>4.5351639524461795</v>
      </c>
      <c r="F24" s="169">
        <f>'3a'!F25/'3b'!$C24*100</f>
        <v>0.53902843358066466</v>
      </c>
      <c r="G24" s="156">
        <f>'3a'!G25/'3b'!$C24*100</f>
        <v>1.0716218688190975</v>
      </c>
      <c r="H24" s="156">
        <f>'3a'!H25/'3b'!$C24*100</f>
        <v>0.11396583854482263</v>
      </c>
      <c r="I24" s="170">
        <f>'3a'!I25/'3b'!$C24*100</f>
        <v>1.7246161409445848</v>
      </c>
      <c r="J24" s="263">
        <f>('3a'!J25/'3b'!$D24)*100</f>
        <v>1.6626359169430596</v>
      </c>
      <c r="K24" s="264">
        <f>('3a'!K25/'3b'!$D24)*100</f>
        <v>2.8032434799478256</v>
      </c>
      <c r="L24" s="264">
        <f>('3a'!L25/'3b'!$D24)*100</f>
        <v>2.6501144974121904</v>
      </c>
      <c r="M24" s="265">
        <f>('3a'!M25/'3b'!$D24)*100</f>
        <v>7.1159938943030756</v>
      </c>
    </row>
    <row r="25" spans="1:13">
      <c r="A25" s="28">
        <v>2001</v>
      </c>
      <c r="B25" s="169">
        <f>'3a'!B26/'3b'!$B25*100</f>
        <v>0.36453166956247035</v>
      </c>
      <c r="C25" s="156">
        <f>'3a'!C26/'3b'!$B25*100</f>
        <v>3.0501084131474272</v>
      </c>
      <c r="D25" s="156">
        <f>'3a'!D26/'3b'!$B25*100</f>
        <v>0.14359500868741115</v>
      </c>
      <c r="E25" s="170">
        <f>'3a'!E26/'3b'!$B25*100</f>
        <v>3.5582350913973082</v>
      </c>
      <c r="F25" s="169">
        <f>'3a'!F26/'3b'!$C25*100</f>
        <v>0.28364300514331853</v>
      </c>
      <c r="G25" s="156">
        <f>'3a'!G26/'3b'!$C25*100</f>
        <v>1.0574211141410206</v>
      </c>
      <c r="H25" s="156">
        <f>'3a'!H26/'3b'!$C25*100</f>
        <v>9.0696860373864485E-2</v>
      </c>
      <c r="I25" s="170">
        <f>'3a'!I26/'3b'!$C25*100</f>
        <v>1.4317609796582036</v>
      </c>
      <c r="J25" s="263">
        <f>('3a'!J26/'3b'!$D25)*100</f>
        <v>1.5903659059126556</v>
      </c>
      <c r="K25" s="264">
        <f>('3a'!K26/'3b'!$D25)*100</f>
        <v>2.9334131406899129</v>
      </c>
      <c r="L25" s="264">
        <f>('3a'!L26/'3b'!$D25)*100</f>
        <v>2.8020194626585107</v>
      </c>
      <c r="M25" s="265">
        <f>('3a'!M26/'3b'!$D25)*100</f>
        <v>7.3257985092610793</v>
      </c>
    </row>
    <row r="26" spans="1:13">
      <c r="A26" s="28">
        <v>2002</v>
      </c>
      <c r="B26" s="169">
        <f>'3a'!B27/'3b'!$B26*100</f>
        <v>0.37361673182495903</v>
      </c>
      <c r="C26" s="156">
        <f>'3a'!C27/'3b'!$B26*100</f>
        <v>2.5443209223391028</v>
      </c>
      <c r="D26" s="156">
        <f>'3a'!D27/'3b'!$B26*100</f>
        <v>0.12559381076382922</v>
      </c>
      <c r="E26" s="170">
        <f>'3a'!E27/'3b'!$B26*100</f>
        <v>3.0435314649278902</v>
      </c>
      <c r="F26" s="169">
        <f>'3a'!F27/'3b'!$C26*100</f>
        <v>0.16411347838884235</v>
      </c>
      <c r="G26" s="156">
        <f>'3a'!G27/'3b'!$C26*100</f>
        <v>0.96368216088935188</v>
      </c>
      <c r="H26" s="156">
        <f>'3a'!H27/'3b'!$C26*100</f>
        <v>8.2031833722009631E-2</v>
      </c>
      <c r="I26" s="170">
        <f>'3a'!I27/'3b'!$C26*100</f>
        <v>1.2098274730002039</v>
      </c>
      <c r="J26" s="263">
        <f>('3a'!J27/'3b'!$D26)*100</f>
        <v>1.5736968420545732</v>
      </c>
      <c r="K26" s="264">
        <f>('3a'!K27/'3b'!$D26)*100</f>
        <v>2.9087637771651313</v>
      </c>
      <c r="L26" s="264">
        <f>('3a'!L27/'3b'!$D26)*100</f>
        <v>2.7838188669411066</v>
      </c>
      <c r="M26" s="265">
        <f>('3a'!M27/'3b'!$D26)*100</f>
        <v>7.2662794861608111</v>
      </c>
    </row>
    <row r="27" spans="1:13">
      <c r="A27" s="28">
        <v>2003</v>
      </c>
      <c r="B27" s="169">
        <f>'3a'!B28/'3b'!$B27*100</f>
        <v>0.63438541492292</v>
      </c>
      <c r="C27" s="156">
        <f>'3a'!C28/'3b'!$B27*100</f>
        <v>2.4136225289525344</v>
      </c>
      <c r="D27" s="156">
        <f>'3a'!D28/'3b'!$B27*100</f>
        <v>0.1753930087808738</v>
      </c>
      <c r="E27" s="170">
        <f>'3a'!E28/'3b'!$B27*100</f>
        <v>3.2234009526563279</v>
      </c>
      <c r="F27" s="169">
        <f>'3a'!F28/'3b'!$C27*100</f>
        <v>0.15832626929597576</v>
      </c>
      <c r="G27" s="156">
        <f>'3a'!G28/'3b'!$C27*100</f>
        <v>0.8651490140091016</v>
      </c>
      <c r="H27" s="156">
        <f>'3a'!H28/'3b'!$C27*100</f>
        <v>7.1128535736593182E-2</v>
      </c>
      <c r="I27" s="170">
        <f>'3a'!I28/'3b'!$C27*100</f>
        <v>1.0946038190416707</v>
      </c>
      <c r="J27" s="263">
        <f>('3a'!J28/'3b'!$D27)*100</f>
        <v>1.5941709226330765</v>
      </c>
      <c r="K27" s="264">
        <f>('3a'!K28/'3b'!$D27)*100</f>
        <v>2.8823939042260291</v>
      </c>
      <c r="L27" s="264">
        <f>('3a'!L28/'3b'!$D27)*100</f>
        <v>2.4915568308010019</v>
      </c>
      <c r="M27" s="265">
        <f>('3a'!M28/'3b'!$D27)*100</f>
        <v>6.9681216576601077</v>
      </c>
    </row>
    <row r="28" spans="1:13">
      <c r="A28" s="28">
        <v>2004</v>
      </c>
      <c r="B28" s="169">
        <f>'3a'!B29/'3b'!$B28*100</f>
        <v>0.79820503045689384</v>
      </c>
      <c r="C28" s="156">
        <f>'3a'!C29/'3b'!$B28*100</f>
        <v>2.520062617102905</v>
      </c>
      <c r="D28" s="156">
        <f>'3a'!D29/'3b'!$B28*100</f>
        <v>0.21318203570472632</v>
      </c>
      <c r="E28" s="170">
        <f>'3a'!E29/'3b'!$B28*100</f>
        <v>3.5314496832645252</v>
      </c>
      <c r="F28" s="169">
        <f>'3a'!F29/'3b'!$C28*100</f>
        <v>0.15222382738902834</v>
      </c>
      <c r="G28" s="156">
        <f>'3a'!G29/'3b'!$C28*100</f>
        <v>1.0725785631498868</v>
      </c>
      <c r="H28" s="156">
        <f>'3a'!H29/'3b'!$C28*100</f>
        <v>6.7150413895007463E-2</v>
      </c>
      <c r="I28" s="170">
        <f>'3a'!I29/'3b'!$C28*100</f>
        <v>1.2919528044339228</v>
      </c>
      <c r="J28" s="263">
        <f>('3a'!J29/'3b'!$D28)*100</f>
        <v>1.5949847661106729</v>
      </c>
      <c r="K28" s="264">
        <f>('3a'!K29/'3b'!$D28)*100</f>
        <v>2.8874161169950048</v>
      </c>
      <c r="L28" s="264">
        <f>('3a'!L29/'3b'!$D28)*100</f>
        <v>2.185932887720083</v>
      </c>
      <c r="M28" s="265">
        <f>('3a'!M29/'3b'!$D28)*100</f>
        <v>6.6683337708257611</v>
      </c>
    </row>
    <row r="29" spans="1:13">
      <c r="A29" s="28">
        <v>2005</v>
      </c>
      <c r="B29" s="169">
        <f>'3a'!B30/'3b'!$B29*100</f>
        <v>0.90804450754056443</v>
      </c>
      <c r="C29" s="156">
        <f>'3a'!C30/'3b'!$B29*100</f>
        <v>2.6976006957090513</v>
      </c>
      <c r="D29" s="156">
        <f>'3a'!D30/'3b'!$B29*100</f>
        <v>0.21421743880956451</v>
      </c>
      <c r="E29" s="170">
        <f>'3a'!E30/'3b'!$B29*100</f>
        <v>3.8198626420591797</v>
      </c>
      <c r="F29" s="169">
        <f>'3a'!F30/'3b'!$C29*100</f>
        <v>0.18148343421135879</v>
      </c>
      <c r="G29" s="156">
        <f>'3a'!G30/'3b'!$C29*100</f>
        <v>1.3164060358099416</v>
      </c>
      <c r="H29" s="156">
        <f>'3a'!H30/'3b'!$C29*100</f>
        <v>8.2990804985553709E-2</v>
      </c>
      <c r="I29" s="170">
        <f>'3a'!I30/'3b'!$C29*100</f>
        <v>1.5808802750068542</v>
      </c>
      <c r="J29" s="263">
        <f>('3a'!J30/'3b'!$D29)*100</f>
        <v>1.5893943127578667</v>
      </c>
      <c r="K29" s="264">
        <f>('3a'!K30/'3b'!$D29)*100</f>
        <v>2.9233015294508227</v>
      </c>
      <c r="L29" s="264">
        <f>('3a'!L30/'3b'!$D29)*100</f>
        <v>1.9584088156637882</v>
      </c>
      <c r="M29" s="265">
        <f>('3a'!M30/'3b'!$D29)*100</f>
        <v>6.4711046578724769</v>
      </c>
    </row>
    <row r="30" spans="1:13">
      <c r="A30" s="28">
        <v>2006</v>
      </c>
      <c r="B30" s="169">
        <f>'3a'!B31/'3b'!$B30*100</f>
        <v>0.89619369080895361</v>
      </c>
      <c r="C30" s="156">
        <f>'3a'!C31/'3b'!$B30*100</f>
        <v>2.7425422107031721</v>
      </c>
      <c r="D30" s="156">
        <f>'3a'!D31/'3b'!$B30*100</f>
        <v>0.25310825981149276</v>
      </c>
      <c r="E30" s="170">
        <f>'3a'!E31/'3b'!$B30*100</f>
        <v>3.8918441613236183</v>
      </c>
      <c r="F30" s="169">
        <f>'3a'!F31/'3b'!$C30*100</f>
        <v>0.18789552006974677</v>
      </c>
      <c r="G30" s="156">
        <f>'3a'!G31/'3b'!$C30*100</f>
        <v>1.3305743590257488</v>
      </c>
      <c r="H30" s="156">
        <f>'3a'!H31/'3b'!$C30*100</f>
        <v>8.6662424403369076E-2</v>
      </c>
      <c r="I30" s="170">
        <f>'3a'!I31/'3b'!$C30*100</f>
        <v>1.6051323034988647</v>
      </c>
      <c r="J30" s="263">
        <f>('3a'!J31/'3b'!$D30)*100</f>
        <v>1.6336144215428974</v>
      </c>
      <c r="K30" s="264">
        <f>('3a'!K31/'3b'!$D30)*100</f>
        <v>2.8694214409306893</v>
      </c>
      <c r="L30" s="264">
        <f>('3a'!L31/'3b'!$D30)*100</f>
        <v>1.7734460666736733</v>
      </c>
      <c r="M30" s="265">
        <f>('3a'!M31/'3b'!$D30)*100</f>
        <v>6.2764819291472591</v>
      </c>
    </row>
    <row r="31" spans="1:13">
      <c r="A31" s="28">
        <v>2007</v>
      </c>
      <c r="B31" s="169">
        <f>'3a'!B32/'3b'!$B31*100</f>
        <v>1.2132114368869247</v>
      </c>
      <c r="C31" s="156">
        <f>'3a'!C32/'3b'!$B31*100</f>
        <v>2.5596805271100571</v>
      </c>
      <c r="D31" s="156">
        <f>'3a'!D32/'3b'!$B31*100</f>
        <v>0.39864382343429994</v>
      </c>
      <c r="E31" s="170">
        <f>'3a'!E32/'3b'!$B31*100</f>
        <v>4.1715357874312815</v>
      </c>
      <c r="F31" s="169">
        <f>'3a'!F32/'3b'!$C31*100</f>
        <v>0.13882467643259316</v>
      </c>
      <c r="G31" s="156">
        <f>'3a'!G32/'3b'!$C31*100</f>
        <v>1.5365032783289057</v>
      </c>
      <c r="H31" s="156">
        <f>'3a'!H32/'3b'!$C31*100</f>
        <v>7.4573329758451767E-2</v>
      </c>
      <c r="I31" s="170">
        <f>'3a'!I32/'3b'!$C31*100</f>
        <v>1.7499012845199506</v>
      </c>
      <c r="J31" s="263">
        <f>('3a'!J32/'3b'!$D31)*100</f>
        <v>1.6026902577537607</v>
      </c>
      <c r="K31" s="264">
        <f>('3a'!K32/'3b'!$D31)*100</f>
        <v>2.9747341120259345</v>
      </c>
      <c r="L31" s="264">
        <f>('3a'!L32/'3b'!$D31)*100</f>
        <v>1.5686909519632388</v>
      </c>
      <c r="M31" s="265">
        <f>('3a'!M32/'3b'!$D31)*100</f>
        <v>6.1461153217429345</v>
      </c>
    </row>
    <row r="32" spans="1:13">
      <c r="A32" s="28">
        <v>2008</v>
      </c>
      <c r="B32" s="169">
        <f>'3a'!B33/'3b'!$B32*100</f>
        <v>0.85921499188431483</v>
      </c>
      <c r="C32" s="156">
        <f>'3a'!C33/'3b'!$B32*100</f>
        <v>2.429006812257144</v>
      </c>
      <c r="D32" s="156">
        <f>'3a'!D33/'3b'!$B32*100</f>
        <v>0.32340514485268801</v>
      </c>
      <c r="E32" s="170">
        <f>'3a'!E33/'3b'!$B32*100</f>
        <v>3.6116269489941462</v>
      </c>
      <c r="F32" s="169">
        <f>'3a'!F33/'3b'!$C32*100</f>
        <v>0.11125229673601326</v>
      </c>
      <c r="G32" s="156">
        <f>'3a'!G33/'3b'!$C32*100</f>
        <v>1.6271322600794229</v>
      </c>
      <c r="H32" s="156">
        <f>'3a'!H33/'3b'!$C32*100</f>
        <v>7.2378529450652651E-2</v>
      </c>
      <c r="I32" s="170">
        <f>'3a'!I33/'3b'!$C32*100</f>
        <v>1.8107630862660886</v>
      </c>
      <c r="J32" s="263">
        <f>('3a'!J33/'3b'!$D32)*100</f>
        <v>1.5487720316491012</v>
      </c>
      <c r="K32" s="264">
        <f>('3a'!K33/'3b'!$D32)*100</f>
        <v>3.0103076430211413</v>
      </c>
      <c r="L32" s="264">
        <f>('3a'!L33/'3b'!$D32)*100</f>
        <v>1.4929249271916587</v>
      </c>
      <c r="M32" s="265">
        <f>('3a'!M33/'3b'!$D32)*100</f>
        <v>6.0520046018619009</v>
      </c>
    </row>
    <row r="33" spans="1:13">
      <c r="A33" s="28">
        <v>2009</v>
      </c>
      <c r="B33" s="169">
        <f>'3a'!B34/'3b'!$B33*100</f>
        <v>0.88818051217988758</v>
      </c>
      <c r="C33" s="156">
        <f>'3a'!C34/'3b'!$B33*100</f>
        <v>2.5499687695190505</v>
      </c>
      <c r="D33" s="156">
        <f>'3a'!D34/'3b'!$B33*100</f>
        <v>0.35256589631480334</v>
      </c>
      <c r="E33" s="170">
        <f>'3a'!E34/'3b'!$B33*100</f>
        <v>3.7907151780137407</v>
      </c>
      <c r="F33" s="169">
        <f>'3a'!F34/'3b'!$C33*100</f>
        <v>0.13166144053914916</v>
      </c>
      <c r="G33" s="156">
        <f>'3a'!G34/'3b'!$C33*100</f>
        <v>1.8154645013338326</v>
      </c>
      <c r="H33" s="156">
        <f>'3a'!H34/'3b'!$C33*100</f>
        <v>6.8682079842748156E-2</v>
      </c>
      <c r="I33" s="170">
        <f>'3a'!I34/'3b'!$C33*100</f>
        <v>2.0158080217157299</v>
      </c>
      <c r="J33" s="263">
        <f>('3a'!J34/'3b'!$D33)*100</f>
        <v>1.5624340696928407</v>
      </c>
      <c r="K33" s="264">
        <f>('3a'!K34/'3b'!$D33)*100</f>
        <v>3.1530260910417178</v>
      </c>
      <c r="L33" s="264">
        <f>('3a'!L34/'3b'!$D33)*100</f>
        <v>1.5584471030866762</v>
      </c>
      <c r="M33" s="265">
        <f>('3a'!M34/'3b'!$D33)*100</f>
        <v>6.2739072638212354</v>
      </c>
    </row>
    <row r="34" spans="1:13">
      <c r="A34" s="28">
        <v>2010</v>
      </c>
      <c r="B34" s="169">
        <f>'3a'!B35/'3b'!$B34*100</f>
        <v>0.90841962950178345</v>
      </c>
      <c r="C34" s="156">
        <f>'3a'!C35/'3b'!$B34*100</f>
        <v>2.672662812104476</v>
      </c>
      <c r="D34" s="156">
        <f>'3a'!D35/'3b'!$B34*100</f>
        <v>0.4050346622943275</v>
      </c>
      <c r="E34" s="170">
        <f>'3a'!E35/'3b'!$B34*100</f>
        <v>3.9861171039005869</v>
      </c>
      <c r="F34" s="169">
        <f>'3a'!F35/'3b'!$C34*100</f>
        <v>0.15430710600586028</v>
      </c>
      <c r="G34" s="156">
        <f>'3a'!G35/'3b'!$C34*100</f>
        <v>1.8332209818619789</v>
      </c>
      <c r="H34" s="156">
        <f>'3a'!H35/'3b'!$C34*100</f>
        <v>6.478949828326952E-2</v>
      </c>
      <c r="I34" s="170">
        <f>'3a'!I35/'3b'!$C34*100</f>
        <v>2.0523175861511085</v>
      </c>
      <c r="J34" s="263">
        <f>('3a'!J35/'3b'!$D34)*100</f>
        <v>1.4715749196466201</v>
      </c>
      <c r="K34" s="264">
        <f>('3a'!K35/'3b'!$D34)*100</f>
        <v>3.2023532261646905</v>
      </c>
      <c r="L34" s="264">
        <f>('3a'!L35/'3b'!$D34)*100</f>
        <v>1.495864923814864</v>
      </c>
      <c r="M34" s="265">
        <f>('3a'!M35/'3b'!$D34)*100</f>
        <v>6.1697930696261745</v>
      </c>
    </row>
    <row r="35" spans="1:13">
      <c r="A35" s="29">
        <v>2011</v>
      </c>
      <c r="B35" s="192">
        <f>'3a'!B36/'3b'!$B35*100</f>
        <v>0.91378819740308481</v>
      </c>
      <c r="C35" s="157">
        <f>'3a'!C36/'3b'!$B35*100</f>
        <v>2.7774345103618647</v>
      </c>
      <c r="D35" s="157">
        <f>'3a'!D36/'3b'!$B35*100</f>
        <v>0.46008786673024765</v>
      </c>
      <c r="E35" s="207">
        <f>'3a'!E36/'3b'!$B35*100</f>
        <v>4.1513105744951968</v>
      </c>
      <c r="F35" s="192">
        <f>'3a'!F36/'3b'!$C35*100</f>
        <v>0.16921040689759492</v>
      </c>
      <c r="G35" s="157">
        <f>'3a'!G36/'3b'!$C35*100</f>
        <v>1.8002861392628449</v>
      </c>
      <c r="H35" s="157">
        <f>'3a'!H36/'3b'!$C35*100</f>
        <v>6.427755088320812E-2</v>
      </c>
      <c r="I35" s="207">
        <f>'3a'!I36/'3b'!$C35*100</f>
        <v>2.033774097043648</v>
      </c>
      <c r="J35" s="266">
        <f>('3a'!J36/'3b'!$D35)*100</f>
        <v>1.3947643858574064</v>
      </c>
      <c r="K35" s="267">
        <f>('3a'!K36/'3b'!$D35)*100</f>
        <v>3.2122529278226315</v>
      </c>
      <c r="L35" s="267">
        <f>('3a'!L36/'3b'!$D35)*100</f>
        <v>1.4784558422893075</v>
      </c>
      <c r="M35" s="268">
        <f>('3a'!M36/'3b'!$D35)*100</f>
        <v>6.0854731559693453</v>
      </c>
    </row>
    <row r="37" spans="1:13">
      <c r="A37" s="384" t="s">
        <v>52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</row>
    <row r="38" spans="1:13">
      <c r="A38" s="15" t="s">
        <v>53</v>
      </c>
      <c r="B38" s="82">
        <f>(POWER(B14/B5,1/($A14-$A5))-1)*100</f>
        <v>-9.606489766209803</v>
      </c>
      <c r="C38" s="83">
        <f t="shared" ref="C38:M38" si="0">(POWER(C14/C5,1/($A14-$A5))-1)*100</f>
        <v>10.396836449902125</v>
      </c>
      <c r="D38" s="83">
        <f t="shared" si="0"/>
        <v>0.88221892575224281</v>
      </c>
      <c r="E38" s="84">
        <f t="shared" si="0"/>
        <v>2.8811311182074029</v>
      </c>
      <c r="F38" s="83">
        <f t="shared" si="0"/>
        <v>-9.8603439248474913</v>
      </c>
      <c r="G38" s="83">
        <f t="shared" si="0"/>
        <v>6.9410084311526843</v>
      </c>
      <c r="H38" s="83">
        <f t="shared" si="0"/>
        <v>1.5972287664727247</v>
      </c>
      <c r="I38" s="83">
        <f t="shared" si="0"/>
        <v>-2.6579336873175263</v>
      </c>
      <c r="J38" s="82">
        <f t="shared" si="0"/>
        <v>1.6339022571952411</v>
      </c>
      <c r="K38" s="83">
        <f t="shared" si="0"/>
        <v>13.125704991126375</v>
      </c>
      <c r="L38" s="83">
        <f>(POWER(L14/L5,1/($A14-$A5))-1)*100</f>
        <v>-0.22892068673429078</v>
      </c>
      <c r="M38" s="84">
        <f t="shared" si="0"/>
        <v>2.4321984618735026</v>
      </c>
    </row>
    <row r="39" spans="1:13">
      <c r="A39" s="16" t="s">
        <v>71</v>
      </c>
      <c r="B39" s="37">
        <f>(POWER(B$24/B14,1/($A$24-$A$14))-1)*100</f>
        <v>6.3251094847106115</v>
      </c>
      <c r="C39" s="34">
        <f t="shared" ref="C39:M39" si="1">(POWER(C$24/C14,1/($A$24-$A$14))-1)*100</f>
        <v>5.4808593091495883</v>
      </c>
      <c r="D39" s="34">
        <f>(POWER(D$24/D14,1/($A$24-$A$14))-1)*100</f>
        <v>-4.9851235501277351</v>
      </c>
      <c r="E39" s="38">
        <f t="shared" si="1"/>
        <v>4.7133439851429815</v>
      </c>
      <c r="F39" s="34">
        <f t="shared" si="1"/>
        <v>11.796977360329851</v>
      </c>
      <c r="G39" s="34">
        <f t="shared" si="1"/>
        <v>16.340033394453091</v>
      </c>
      <c r="H39" s="34">
        <f t="shared" si="1"/>
        <v>-1.308600570051266</v>
      </c>
      <c r="I39" s="34">
        <f t="shared" si="1"/>
        <v>12.257915941946917</v>
      </c>
      <c r="J39" s="37">
        <f t="shared" si="1"/>
        <v>4.8856456000413884</v>
      </c>
      <c r="K39" s="34">
        <f t="shared" si="1"/>
        <v>7.4300946458952799</v>
      </c>
      <c r="L39" s="34">
        <f t="shared" si="1"/>
        <v>-0.34847142140830289</v>
      </c>
      <c r="M39" s="38">
        <f t="shared" si="1"/>
        <v>3.296061161222652</v>
      </c>
    </row>
    <row r="40" spans="1:13">
      <c r="A40" s="16" t="s">
        <v>69</v>
      </c>
      <c r="B40" s="37">
        <f t="shared" ref="B40:M40" si="2">(POWER(B$34/B24,1/($A$34-$A$24))-1)*100</f>
        <v>1.7768280075786569</v>
      </c>
      <c r="C40" s="34">
        <f t="shared" si="2"/>
        <v>-2.8135083941144834</v>
      </c>
      <c r="D40" s="34">
        <f t="shared" si="2"/>
        <v>6.3873707084537878</v>
      </c>
      <c r="E40" s="38">
        <f t="shared" si="2"/>
        <v>-1.2821459237312816</v>
      </c>
      <c r="F40" s="34">
        <f t="shared" si="2"/>
        <v>-11.757576896931422</v>
      </c>
      <c r="G40" s="34">
        <f t="shared" si="2"/>
        <v>5.515758484612121</v>
      </c>
      <c r="H40" s="34">
        <f t="shared" si="2"/>
        <v>-5.4910381402758723</v>
      </c>
      <c r="I40" s="34">
        <f t="shared" si="2"/>
        <v>1.7548719303872806</v>
      </c>
      <c r="J40" s="37">
        <f t="shared" si="2"/>
        <v>-1.2132899905991534</v>
      </c>
      <c r="K40" s="34">
        <f t="shared" si="2"/>
        <v>1.3399863156343228</v>
      </c>
      <c r="L40" s="34">
        <f t="shared" si="2"/>
        <v>-5.5585222292779068</v>
      </c>
      <c r="M40" s="38">
        <f t="shared" si="2"/>
        <v>-1.4166656275555467</v>
      </c>
    </row>
    <row r="41" spans="1:13">
      <c r="A41" s="17" t="s">
        <v>70</v>
      </c>
      <c r="B41" s="39">
        <f t="shared" ref="B41:M41" si="3">(POWER(B34/B5,1/($A$34-$A$5))-1)*100</f>
        <v>-0.41137171758810487</v>
      </c>
      <c r="C41" s="40">
        <f t="shared" si="3"/>
        <v>4.0036206055425128</v>
      </c>
      <c r="D41" s="40">
        <f t="shared" si="3"/>
        <v>0.6463948653462781</v>
      </c>
      <c r="E41" s="41">
        <f t="shared" si="3"/>
        <v>2.045313990717057</v>
      </c>
      <c r="F41" s="40">
        <f t="shared" si="3"/>
        <v>-3.6223171378300778</v>
      </c>
      <c r="G41" s="40">
        <f t="shared" si="3"/>
        <v>9.5848374783662926</v>
      </c>
      <c r="H41" s="40">
        <f t="shared" si="3"/>
        <v>-1.8917545667182734</v>
      </c>
      <c r="I41" s="40">
        <f t="shared" si="3"/>
        <v>3.8222851371794597</v>
      </c>
      <c r="J41" s="39">
        <f t="shared" si="3"/>
        <v>1.7418815526923925</v>
      </c>
      <c r="K41" s="40">
        <f t="shared" si="3"/>
        <v>6.9914207637886472</v>
      </c>
      <c r="L41" s="40">
        <f t="shared" si="3"/>
        <v>-2.1403240771390553</v>
      </c>
      <c r="M41" s="41">
        <f t="shared" si="3"/>
        <v>1.3814873381002846</v>
      </c>
    </row>
    <row r="42" spans="1:13">
      <c r="A42" s="2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>
      <c r="A43" s="389" t="s">
        <v>77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0"/>
    </row>
    <row r="44" spans="1:13">
      <c r="A44" s="15" t="s">
        <v>53</v>
      </c>
      <c r="B44" s="35">
        <f>B14-B5</f>
        <v>-0.6112588720233969</v>
      </c>
      <c r="C44" s="30">
        <f t="shared" ref="C44:M44" si="4">C14-C5</f>
        <v>1.2290755754019216</v>
      </c>
      <c r="D44" s="30">
        <f t="shared" si="4"/>
        <v>2.7639665542371794E-2</v>
      </c>
      <c r="E44" s="36">
        <f t="shared" si="4"/>
        <v>0.64545636892089675</v>
      </c>
      <c r="F44" s="35">
        <f t="shared" si="4"/>
        <v>-0.273119954150575</v>
      </c>
      <c r="G44" s="30">
        <f t="shared" si="4"/>
        <v>0.1069529543934313</v>
      </c>
      <c r="H44" s="105">
        <f t="shared" si="4"/>
        <v>1.7280065321555071E-2</v>
      </c>
      <c r="I44" s="36">
        <f t="shared" si="4"/>
        <v>-0.14888693443558854</v>
      </c>
      <c r="J44" s="35">
        <f t="shared" si="4"/>
        <v>0.14005298159617152</v>
      </c>
      <c r="K44" s="30">
        <f t="shared" si="4"/>
        <v>0.91781333317722213</v>
      </c>
      <c r="L44" s="30">
        <f t="shared" si="4"/>
        <v>-5.7192198424771856E-2</v>
      </c>
      <c r="M44" s="36">
        <f t="shared" si="4"/>
        <v>1.0006741163486215</v>
      </c>
    </row>
    <row r="45" spans="1:13">
      <c r="A45" s="16" t="s">
        <v>71</v>
      </c>
      <c r="B45" s="37">
        <f>B24-B14</f>
        <v>0.34920927091810505</v>
      </c>
      <c r="C45" s="34">
        <f t="shared" ref="C45:M45" si="5">C24-C14</f>
        <v>1.4701687091461277</v>
      </c>
      <c r="D45" s="34">
        <f t="shared" si="5"/>
        <v>-0.14557535671871874</v>
      </c>
      <c r="E45" s="38">
        <f t="shared" si="5"/>
        <v>1.6738026233455137</v>
      </c>
      <c r="F45" s="37">
        <f t="shared" si="5"/>
        <v>0.36229811627217756</v>
      </c>
      <c r="G45" s="34">
        <f t="shared" si="5"/>
        <v>0.83571003499568963</v>
      </c>
      <c r="H45" s="104">
        <f t="shared" si="5"/>
        <v>-1.6045616208900146E-2</v>
      </c>
      <c r="I45" s="38">
        <f t="shared" si="5"/>
        <v>1.1819625350589671</v>
      </c>
      <c r="J45" s="37">
        <f t="shared" si="5"/>
        <v>0.63073832121762918</v>
      </c>
      <c r="K45" s="34">
        <f t="shared" si="5"/>
        <v>1.4342504491618038</v>
      </c>
      <c r="L45" s="34">
        <f t="shared" si="5"/>
        <v>-9.4143822559125123E-2</v>
      </c>
      <c r="M45" s="38">
        <f t="shared" si="5"/>
        <v>1.9708449478203081</v>
      </c>
    </row>
    <row r="46" spans="1:13">
      <c r="A46" s="16" t="s">
        <v>69</v>
      </c>
      <c r="B46" s="37">
        <f>B34-B24</f>
        <v>0.14669605721558121</v>
      </c>
      <c r="C46" s="34">
        <f t="shared" ref="C46:M46" si="6">C34-C24</f>
        <v>-0.88270982246505314</v>
      </c>
      <c r="D46" s="34">
        <f t="shared" si="6"/>
        <v>0.18696691670387888</v>
      </c>
      <c r="E46" s="38">
        <f t="shared" si="6"/>
        <v>-0.5490468485455926</v>
      </c>
      <c r="F46" s="37">
        <f t="shared" si="6"/>
        <v>-0.38472132757480437</v>
      </c>
      <c r="G46" s="34">
        <f t="shared" si="6"/>
        <v>0.76159911304288141</v>
      </c>
      <c r="H46" s="104">
        <f t="shared" si="6"/>
        <v>-4.9176340261553111E-2</v>
      </c>
      <c r="I46" s="38">
        <f t="shared" si="6"/>
        <v>0.32770144520652367</v>
      </c>
      <c r="J46" s="37">
        <f t="shared" si="6"/>
        <v>-0.19106099729643944</v>
      </c>
      <c r="K46" s="34">
        <f t="shared" si="6"/>
        <v>0.3991097462168649</v>
      </c>
      <c r="L46" s="34">
        <f t="shared" si="6"/>
        <v>-1.1542495735973264</v>
      </c>
      <c r="M46" s="38">
        <f t="shared" si="6"/>
        <v>-0.94620082467690114</v>
      </c>
    </row>
    <row r="47" spans="1:13">
      <c r="A47" s="17" t="s">
        <v>70</v>
      </c>
      <c r="B47" s="39">
        <f>B34-B5</f>
        <v>-0.11535354388971064</v>
      </c>
      <c r="C47" s="40">
        <f t="shared" ref="C47:M47" si="7">C34-C5</f>
        <v>1.8165344620829962</v>
      </c>
      <c r="D47" s="40">
        <f t="shared" si="7"/>
        <v>6.9031225527531936E-2</v>
      </c>
      <c r="E47" s="41">
        <f t="shared" si="7"/>
        <v>1.7702121437208178</v>
      </c>
      <c r="F47" s="39">
        <f t="shared" si="7"/>
        <v>-0.29554316545320181</v>
      </c>
      <c r="G47" s="40">
        <f>G34-G5</f>
        <v>1.7042621024320024</v>
      </c>
      <c r="H47" s="108">
        <f t="shared" si="7"/>
        <v>-4.7941891148898186E-2</v>
      </c>
      <c r="I47" s="41">
        <f t="shared" si="7"/>
        <v>1.3607770458299022</v>
      </c>
      <c r="J47" s="39">
        <f t="shared" si="7"/>
        <v>0.57973030551736127</v>
      </c>
      <c r="K47" s="40">
        <f t="shared" si="7"/>
        <v>2.7511735285558907</v>
      </c>
      <c r="L47" s="40">
        <f t="shared" si="7"/>
        <v>-1.3055855945812234</v>
      </c>
      <c r="M47" s="41">
        <f t="shared" si="7"/>
        <v>2.0253182394920284</v>
      </c>
    </row>
    <row r="49" spans="1:16">
      <c r="A49" s="1" t="s">
        <v>213</v>
      </c>
    </row>
    <row r="50" spans="1:16">
      <c r="A50" s="1" t="s">
        <v>98</v>
      </c>
    </row>
    <row r="55" spans="1:16"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2"/>
    </row>
  </sheetData>
  <mergeCells count="5">
    <mergeCell ref="B3:E3"/>
    <mergeCell ref="F3:I3"/>
    <mergeCell ref="J3:M3"/>
    <mergeCell ref="A37:M37"/>
    <mergeCell ref="A43:M43"/>
  </mergeCells>
  <pageMargins left="0.7" right="0.7" top="0.75" bottom="0.75" header="0.3" footer="0.3"/>
  <pageSetup scale="5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N51"/>
  <sheetViews>
    <sheetView zoomScaleNormal="100" workbookViewId="0">
      <selection activeCell="K28" sqref="K28"/>
    </sheetView>
  </sheetViews>
  <sheetFormatPr defaultRowHeight="15"/>
  <cols>
    <col min="1" max="1" width="10.28515625" style="1" customWidth="1"/>
    <col min="2" max="2" width="15.7109375" style="1" customWidth="1"/>
    <col min="3" max="3" width="10.5703125" style="1" customWidth="1"/>
    <col min="4" max="4" width="19.140625" style="1" customWidth="1"/>
    <col min="5" max="5" width="13.7109375" style="1" customWidth="1"/>
    <col min="6" max="6" width="13" style="1" customWidth="1"/>
    <col min="7" max="7" width="11" style="1" customWidth="1"/>
    <col min="8" max="8" width="17.85546875" style="1" customWidth="1"/>
    <col min="9" max="9" width="14.7109375" style="1" customWidth="1"/>
    <col min="10" max="10" width="13.42578125" style="1" customWidth="1"/>
    <col min="11" max="11" width="12.42578125" style="1" customWidth="1"/>
    <col min="12" max="12" width="22.5703125" style="1" customWidth="1"/>
    <col min="13" max="13" width="12.140625" style="1" customWidth="1"/>
    <col min="14" max="16384" width="9.140625" style="1"/>
  </cols>
  <sheetData>
    <row r="1" spans="1:13">
      <c r="A1" s="2" t="s">
        <v>100</v>
      </c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30">
      <c r="B5" s="59" t="s">
        <v>0</v>
      </c>
      <c r="C5" s="60" t="s">
        <v>1</v>
      </c>
      <c r="D5" s="60" t="s">
        <v>2</v>
      </c>
      <c r="E5" s="5" t="s">
        <v>75</v>
      </c>
      <c r="F5" s="60" t="s">
        <v>0</v>
      </c>
      <c r="G5" s="60" t="s">
        <v>1</v>
      </c>
      <c r="H5" s="60" t="s">
        <v>2</v>
      </c>
      <c r="I5" s="5" t="s">
        <v>75</v>
      </c>
      <c r="J5" s="273" t="s">
        <v>39</v>
      </c>
      <c r="K5" s="274" t="s">
        <v>41</v>
      </c>
      <c r="L5" s="274" t="s">
        <v>40</v>
      </c>
      <c r="M5" s="275" t="s">
        <v>75</v>
      </c>
    </row>
    <row r="6" spans="1:13">
      <c r="A6" s="27">
        <v>1981</v>
      </c>
      <c r="B6" s="167">
        <f>'3a'!B6/'3a'!J6*100</f>
        <v>1.0062165058949626</v>
      </c>
      <c r="C6" s="155">
        <f>'3a'!C6/'3a'!K6*100</f>
        <v>1.663283256291731</v>
      </c>
      <c r="D6" s="155">
        <f>'3a'!D6/'3a'!L6*100</f>
        <v>0.10513265918067705</v>
      </c>
      <c r="E6" s="155">
        <f>'3a'!E6/'3a'!M6*100</f>
        <v>0.46866066997952177</v>
      </c>
      <c r="F6" s="167">
        <f>'3a'!F6/'3a'!J6*100</f>
        <v>1.8003800058462436</v>
      </c>
      <c r="G6" s="155">
        <f>'3a'!G6/'3a'!K6*100</f>
        <v>1.0202041602465333</v>
      </c>
      <c r="H6" s="155">
        <f>'3a'!H6/'3a'!L6*100</f>
        <v>0.14363070496515501</v>
      </c>
      <c r="I6" s="168">
        <f>'3a'!I6/'3a'!M6*100</f>
        <v>0.59557097827074545</v>
      </c>
      <c r="J6" s="44">
        <f>IFERROR('3a'!J6/'3a'!J6*100, "na")</f>
        <v>100</v>
      </c>
      <c r="K6" s="31">
        <f>IFERROR('3a'!K6/'3a'!K6*100, "na")</f>
        <v>100</v>
      </c>
      <c r="L6" s="31">
        <f>IFERROR('3a'!L6/'3a'!L6*100, "na")</f>
        <v>100</v>
      </c>
      <c r="M6" s="45">
        <f>IFERROR('3a'!M6/'3a'!M6*100, "na")</f>
        <v>100</v>
      </c>
    </row>
    <row r="7" spans="1:13">
      <c r="A7" s="28">
        <v>1982</v>
      </c>
      <c r="B7" s="169">
        <f>'3a'!B7/'3a'!J7*100</f>
        <v>0.7587107028366693</v>
      </c>
      <c r="C7" s="156">
        <f>'3a'!C7/'3a'!K7*100</f>
        <v>1.4128538676236044</v>
      </c>
      <c r="D7" s="156">
        <f>'3a'!D7/'3a'!L7*100</f>
        <v>9.8673902138720418E-2</v>
      </c>
      <c r="E7" s="156">
        <f>'3a'!E7/'3a'!M7*100</f>
        <v>0.40358868309057128</v>
      </c>
      <c r="F7" s="169">
        <f>'3a'!F7/'3a'!J7*100</f>
        <v>1.6553810511570271</v>
      </c>
      <c r="G7" s="156">
        <f>'3a'!G7/'3a'!K7*100</f>
        <v>1.0954645135566186</v>
      </c>
      <c r="H7" s="156">
        <f>'3a'!H7/'3a'!L7*100</f>
        <v>0.14448538465046287</v>
      </c>
      <c r="I7" s="170">
        <f>'3a'!I7/'3a'!M7*100</f>
        <v>0.5950422585865851</v>
      </c>
      <c r="J7" s="46">
        <f>IFERROR('3a'!J7/'3a'!J7*100, "na")</f>
        <v>100</v>
      </c>
      <c r="K7" s="43">
        <f>IFERROR('3a'!K7/'3a'!K7*100, "na")</f>
        <v>100</v>
      </c>
      <c r="L7" s="43">
        <f>IFERROR('3a'!L7/'3a'!L7*100, "na")</f>
        <v>100</v>
      </c>
      <c r="M7" s="47">
        <f>IFERROR('3a'!M7/'3a'!M7*100, "na")</f>
        <v>100</v>
      </c>
    </row>
    <row r="8" spans="1:13">
      <c r="A8" s="28">
        <v>1983</v>
      </c>
      <c r="B8" s="169">
        <f>'3a'!B8/'3a'!J8*100</f>
        <v>0.72459430808121994</v>
      </c>
      <c r="C8" s="156">
        <f>'3a'!C8/'3a'!K8*100</f>
        <v>1.4815726340172073</v>
      </c>
      <c r="D8" s="156">
        <f>'3a'!D8/'3a'!L8*100</f>
        <v>0.10411640935500349</v>
      </c>
      <c r="E8" s="156">
        <f>'3a'!E8/'3a'!M8*100</f>
        <v>0.42220578734401026</v>
      </c>
      <c r="F8" s="169">
        <f>'3a'!F8/'3a'!J8*100</f>
        <v>1.4348147544102856</v>
      </c>
      <c r="G8" s="156">
        <f>'3a'!G8/'3a'!K8*100</f>
        <v>1.0917107875579086</v>
      </c>
      <c r="H8" s="156">
        <f>'3a'!H8/'3a'!L8*100</f>
        <v>0.14773961156473778</v>
      </c>
      <c r="I8" s="170">
        <f>'3a'!I8/'3a'!M8*100</f>
        <v>0.54541636913869906</v>
      </c>
      <c r="J8" s="46">
        <f>IFERROR('3a'!J8/'3a'!J8*100, "na")</f>
        <v>100</v>
      </c>
      <c r="K8" s="43">
        <f>IFERROR('3a'!K8/'3a'!K8*100, "na")</f>
        <v>100</v>
      </c>
      <c r="L8" s="43">
        <f>IFERROR('3a'!L8/'3a'!L8*100, "na")</f>
        <v>100</v>
      </c>
      <c r="M8" s="47">
        <f>IFERROR('3a'!M8/'3a'!M8*100, "na")</f>
        <v>100</v>
      </c>
    </row>
    <row r="9" spans="1:13">
      <c r="A9" s="28">
        <v>1984</v>
      </c>
      <c r="B9" s="169">
        <f>'3a'!B9/'3a'!J9*100</f>
        <v>0.7476620437253203</v>
      </c>
      <c r="C9" s="156">
        <f>'3a'!C9/'3a'!K9*100</f>
        <v>1.7624269800298871</v>
      </c>
      <c r="D9" s="156">
        <f>'3a'!D9/'3a'!L9*100</f>
        <v>0.11179714261843096</v>
      </c>
      <c r="E9" s="156">
        <f>'3a'!E9/'3a'!M9*100</f>
        <v>0.50520701121332601</v>
      </c>
      <c r="F9" s="169">
        <f>'3a'!F9/'3a'!J9*100</f>
        <v>1.2691972454974478</v>
      </c>
      <c r="G9" s="156">
        <f>'3a'!G9/'3a'!K9*100</f>
        <v>1.0387413394919169</v>
      </c>
      <c r="H9" s="156">
        <f>'3a'!H9/'3a'!L9*100</f>
        <v>0.14848107611329261</v>
      </c>
      <c r="I9" s="170">
        <f>'3a'!I9/'3a'!M9*100</f>
        <v>0.53008244784072667</v>
      </c>
      <c r="J9" s="46">
        <f>IFERROR('3a'!J9/'3a'!J9*100, "na")</f>
        <v>100</v>
      </c>
      <c r="K9" s="43">
        <f>IFERROR('3a'!K9/'3a'!K9*100, "na")</f>
        <v>100</v>
      </c>
      <c r="L9" s="43">
        <f>IFERROR('3a'!L9/'3a'!L9*100, "na")</f>
        <v>100</v>
      </c>
      <c r="M9" s="47">
        <f>IFERROR('3a'!M9/'3a'!M9*100, "na")</f>
        <v>100</v>
      </c>
    </row>
    <row r="10" spans="1:13">
      <c r="A10" s="28">
        <v>1985</v>
      </c>
      <c r="B10" s="169">
        <f>'3a'!B10/'3a'!J10*100</f>
        <v>1.3027085664695002</v>
      </c>
      <c r="C10" s="156">
        <f>'3a'!C10/'3a'!K10*100</f>
        <v>1.6501224765605207</v>
      </c>
      <c r="D10" s="156">
        <f>'3a'!D10/'3a'!L10*100</f>
        <v>0.24597739660540485</v>
      </c>
      <c r="E10" s="156">
        <f>'3a'!E10/'3a'!M10*100</f>
        <v>0.72269542580885093</v>
      </c>
      <c r="F10" s="169">
        <f>'3a'!F10/'3a'!J10*100</f>
        <v>1.157736314431224</v>
      </c>
      <c r="G10" s="156">
        <f>'3a'!G10/'3a'!K10*100</f>
        <v>1.1768392600726412</v>
      </c>
      <c r="H10" s="156">
        <f>'3a'!H10/'3a'!L10*100</f>
        <v>0.19984636882921605</v>
      </c>
      <c r="I10" s="170">
        <f>'3a'!I10/'3a'!M10*100</f>
        <v>0.57987851741663565</v>
      </c>
      <c r="J10" s="46">
        <f>IFERROR('3a'!J10/'3a'!J10*100, "na")</f>
        <v>100</v>
      </c>
      <c r="K10" s="43">
        <f>IFERROR('3a'!K10/'3a'!K10*100, "na")</f>
        <v>100</v>
      </c>
      <c r="L10" s="43">
        <f>IFERROR('3a'!L10/'3a'!L10*100, "na")</f>
        <v>100</v>
      </c>
      <c r="M10" s="47">
        <f>IFERROR('3a'!M10/'3a'!M10*100, "na")</f>
        <v>100</v>
      </c>
    </row>
    <row r="11" spans="1:13">
      <c r="A11" s="28">
        <v>1986</v>
      </c>
      <c r="B11" s="169">
        <f>'3a'!B11/'3a'!J11*100</f>
        <v>1.2143903658457058</v>
      </c>
      <c r="C11" s="156">
        <f>'3a'!C11/'3a'!K11*100</f>
        <v>1.735856535651177</v>
      </c>
      <c r="D11" s="156">
        <f>'3a'!D11/'3a'!L11*100</f>
        <v>0.25041800491214811</v>
      </c>
      <c r="E11" s="156">
        <f>'3a'!E11/'3a'!M11*100</f>
        <v>0.74621311879690844</v>
      </c>
      <c r="F11" s="169">
        <f>'3a'!F11/'3a'!J11*100</f>
        <v>0.89716322848509888</v>
      </c>
      <c r="G11" s="156">
        <f>'3a'!G11/'3a'!K11*100</f>
        <v>0.95940350542050701</v>
      </c>
      <c r="H11" s="156">
        <f>'3a'!H11/'3a'!L11*100</f>
        <v>0.20397695068959001</v>
      </c>
      <c r="I11" s="170">
        <f>'3a'!I11/'3a'!M11*100</f>
        <v>0.49955889127228215</v>
      </c>
      <c r="J11" s="46">
        <f>IFERROR('3a'!J11/'3a'!J11*100, "na")</f>
        <v>100</v>
      </c>
      <c r="K11" s="43">
        <f>IFERROR('3a'!K11/'3a'!K11*100, "na")</f>
        <v>100</v>
      </c>
      <c r="L11" s="43">
        <f>IFERROR('3a'!L11/'3a'!L11*100, "na")</f>
        <v>100</v>
      </c>
      <c r="M11" s="47">
        <f>IFERROR('3a'!M11/'3a'!M11*100, "na")</f>
        <v>100</v>
      </c>
    </row>
    <row r="12" spans="1:13">
      <c r="A12" s="28">
        <v>1987</v>
      </c>
      <c r="B12" s="169">
        <f>'3a'!B12/'3a'!J12*100</f>
        <v>0.74964578538550053</v>
      </c>
      <c r="C12" s="156">
        <f>'3a'!C12/'3a'!K12*100</f>
        <v>1.4271971066907778</v>
      </c>
      <c r="D12" s="156">
        <f>'3a'!D12/'3a'!L12*100</f>
        <v>0.2171183075039565</v>
      </c>
      <c r="E12" s="156">
        <f>'3a'!E12/'3a'!M12*100</f>
        <v>0.59249191533454226</v>
      </c>
      <c r="F12" s="169">
        <f>'3a'!F12/'3a'!J12*100</f>
        <v>0.75036500287687002</v>
      </c>
      <c r="G12" s="156">
        <f>'3a'!G12/'3a'!K12*100</f>
        <v>0.84601567209162154</v>
      </c>
      <c r="H12" s="156">
        <f>'3a'!H12/'3a'!L12*100</f>
        <v>0.18609991340440146</v>
      </c>
      <c r="I12" s="170">
        <f>'3a'!I12/'3a'!M12*100</f>
        <v>0.45444468584703068</v>
      </c>
      <c r="J12" s="46">
        <f>IFERROR('3a'!J12/'3a'!J12*100, "na")</f>
        <v>100</v>
      </c>
      <c r="K12" s="43">
        <f>IFERROR('3a'!K12/'3a'!K12*100, "na")</f>
        <v>100</v>
      </c>
      <c r="L12" s="43">
        <f>IFERROR('3a'!L12/'3a'!L12*100, "na")</f>
        <v>100</v>
      </c>
      <c r="M12" s="47">
        <f>IFERROR('3a'!M12/'3a'!M12*100, "na")</f>
        <v>100</v>
      </c>
    </row>
    <row r="13" spans="1:13">
      <c r="A13" s="28">
        <v>1988</v>
      </c>
      <c r="B13" s="169">
        <f>'3a'!B13/'3a'!J13*100</f>
        <v>0.68413241228370159</v>
      </c>
      <c r="C13" s="156">
        <f>'3a'!C13/'3a'!K13*100</f>
        <v>1.6679393392791526</v>
      </c>
      <c r="D13" s="156">
        <f>'3a'!D13/'3a'!L13*100</f>
        <v>0.17837257895440378</v>
      </c>
      <c r="E13" s="156">
        <f>'3a'!E13/'3a'!M13*100</f>
        <v>0.63429022215227049</v>
      </c>
      <c r="F13" s="169">
        <f>'3a'!F13/'3a'!J13*100</f>
        <v>0.68925518090417892</v>
      </c>
      <c r="G13" s="156">
        <f>'3a'!G13/'3a'!K13*100</f>
        <v>0.67547850486020655</v>
      </c>
      <c r="H13" s="156">
        <f>'3a'!H13/'3a'!L13*100</f>
        <v>0.15390920155622312</v>
      </c>
      <c r="I13" s="170">
        <f>'3a'!I13/'3a'!M13*100</f>
        <v>0.39397958517756443</v>
      </c>
      <c r="J13" s="46">
        <f>IFERROR('3a'!J13/'3a'!J13*100, "na")</f>
        <v>100</v>
      </c>
      <c r="K13" s="43">
        <f>IFERROR('3a'!K13/'3a'!K13*100, "na")</f>
        <v>100</v>
      </c>
      <c r="L13" s="43">
        <f>IFERROR('3a'!L13/'3a'!L13*100, "na")</f>
        <v>100</v>
      </c>
      <c r="M13" s="47">
        <f>IFERROR('3a'!M13/'3a'!M13*100, "na")</f>
        <v>100</v>
      </c>
    </row>
    <row r="14" spans="1:13">
      <c r="A14" s="28">
        <v>1989</v>
      </c>
      <c r="B14" s="169">
        <f>'3a'!B14/'3a'!J14*100</f>
        <v>0.72407076393645264</v>
      </c>
      <c r="C14" s="156">
        <f>'3a'!C14/'3a'!K14*100</f>
        <v>1.6317554922115691</v>
      </c>
      <c r="D14" s="156">
        <f>'3a'!D14/'3a'!L14*100</f>
        <v>0.16439029954906592</v>
      </c>
      <c r="E14" s="156">
        <f>'3a'!E14/'3a'!M14*100</f>
        <v>0.65093821740489399</v>
      </c>
      <c r="F14" s="169">
        <f>'3a'!F14/'3a'!J14*100</f>
        <v>0.56363575616845685</v>
      </c>
      <c r="G14" s="156">
        <f>'3a'!G14/'3a'!K14*100</f>
        <v>0.58019924563070446</v>
      </c>
      <c r="H14" s="156">
        <f>'3a'!H14/'3a'!L14*100</f>
        <v>0.16776693686922911</v>
      </c>
      <c r="I14" s="170">
        <f>'3a'!I14/'3a'!M14*100</f>
        <v>0.35582528283042392</v>
      </c>
      <c r="J14" s="46">
        <f>IFERROR('3a'!J14/'3a'!J14*100, "na")</f>
        <v>100</v>
      </c>
      <c r="K14" s="43">
        <f>IFERROR('3a'!K14/'3a'!K14*100, "na")</f>
        <v>100</v>
      </c>
      <c r="L14" s="43">
        <f>IFERROR('3a'!L14/'3a'!L14*100, "na")</f>
        <v>100</v>
      </c>
      <c r="M14" s="47">
        <f>IFERROR('3a'!M14/'3a'!M14*100, "na")</f>
        <v>100</v>
      </c>
    </row>
    <row r="15" spans="1:13">
      <c r="A15" s="28">
        <v>1990</v>
      </c>
      <c r="B15" s="169">
        <f>'3a'!B15/'3a'!J15*100</f>
        <v>0.42398555765344997</v>
      </c>
      <c r="C15" s="156">
        <f>'3a'!C15/'3a'!K15*100</f>
        <v>1.615459039724352</v>
      </c>
      <c r="D15" s="156">
        <f>'3a'!D15/'3a'!L15*100</f>
        <v>0.1405396989493744</v>
      </c>
      <c r="E15" s="156">
        <f>'3a'!E15/'3a'!M15*100</f>
        <v>0.58982531199032728</v>
      </c>
      <c r="F15" s="169">
        <f>'3a'!F15/'3a'!J15*100</f>
        <v>0.49573354533108077</v>
      </c>
      <c r="G15" s="156">
        <f>'3a'!G15/'3a'!K15*100</f>
        <v>0.4987952860103369</v>
      </c>
      <c r="H15" s="156">
        <f>'3a'!H15/'3a'!L15*100</f>
        <v>0.13712936956237426</v>
      </c>
      <c r="I15" s="170">
        <f>'3a'!I15/'3a'!M15*100</f>
        <v>0.30528016847643752</v>
      </c>
      <c r="J15" s="46">
        <f>IFERROR('3a'!J15/'3a'!J15*100, "na")</f>
        <v>100</v>
      </c>
      <c r="K15" s="43">
        <f>IFERROR('3a'!K15/'3a'!K15*100, "na")</f>
        <v>100</v>
      </c>
      <c r="L15" s="43">
        <f>IFERROR('3a'!L15/'3a'!L15*100, "na")</f>
        <v>100</v>
      </c>
      <c r="M15" s="47">
        <f>IFERROR('3a'!M15/'3a'!M15*100, "na")</f>
        <v>100</v>
      </c>
    </row>
    <row r="16" spans="1:13">
      <c r="A16" s="28">
        <v>1991</v>
      </c>
      <c r="B16" s="169">
        <f>'3a'!B16/'3a'!J16*100</f>
        <v>0.47176185739221838</v>
      </c>
      <c r="C16" s="156">
        <f>'3a'!C16/'3a'!K16*100</f>
        <v>1.7436040169584925</v>
      </c>
      <c r="D16" s="156">
        <f>'3a'!D16/'3a'!L16*100</f>
        <v>0.16906168102421348</v>
      </c>
      <c r="E16" s="156">
        <f>'3a'!E16/'3a'!M16*100</f>
        <v>0.68659761352336768</v>
      </c>
      <c r="F16" s="169">
        <f>'3a'!F16/'3a'!J16*100</f>
        <v>0.48866720471480329</v>
      </c>
      <c r="G16" s="156">
        <f>'3a'!G16/'3a'!K16*100</f>
        <v>0.41596662280849722</v>
      </c>
      <c r="H16" s="156">
        <f>'3a'!H16/'3a'!L16*100</f>
        <v>0.11515943773589636</v>
      </c>
      <c r="I16" s="170">
        <f>'3a'!I16/'3a'!M16*100</f>
        <v>0.26977925091150146</v>
      </c>
      <c r="J16" s="46">
        <f>IFERROR('3a'!J16/'3a'!J16*100, "na")</f>
        <v>100</v>
      </c>
      <c r="K16" s="43">
        <f>IFERROR('3a'!K16/'3a'!K16*100, "na")</f>
        <v>100</v>
      </c>
      <c r="L16" s="43">
        <f>IFERROR('3a'!L16/'3a'!L16*100, "na")</f>
        <v>100</v>
      </c>
      <c r="M16" s="47">
        <f>IFERROR('3a'!M16/'3a'!M16*100, "na")</f>
        <v>100</v>
      </c>
    </row>
    <row r="17" spans="1:13">
      <c r="A17" s="28">
        <v>1992</v>
      </c>
      <c r="B17" s="169">
        <f>'3a'!B17/'3a'!J17*100</f>
        <v>0.73811958888157558</v>
      </c>
      <c r="C17" s="156">
        <f>'3a'!C17/'3a'!K17*100</f>
        <v>1.8381836239947884</v>
      </c>
      <c r="D17" s="156">
        <f>'3a'!D17/'3a'!L17*100</f>
        <v>0.13317651508883083</v>
      </c>
      <c r="E17" s="156">
        <f>'3a'!E17/'3a'!M17*100</f>
        <v>0.74014244554283304</v>
      </c>
      <c r="F17" s="169">
        <f>'3a'!F17/'3a'!J17*100</f>
        <v>0.42396334362817067</v>
      </c>
      <c r="G17" s="156">
        <f>'3a'!G17/'3a'!K17*100</f>
        <v>0.34473979303053287</v>
      </c>
      <c r="H17" s="156">
        <f>'3a'!H17/'3a'!L17*100</f>
        <v>9.1865152070355449E-2</v>
      </c>
      <c r="I17" s="170">
        <f>'3a'!I17/'3a'!M17*100</f>
        <v>0.22647506271577955</v>
      </c>
      <c r="J17" s="46">
        <f>IFERROR('3a'!J17/'3a'!J17*100, "na")</f>
        <v>100</v>
      </c>
      <c r="K17" s="43">
        <f>IFERROR('3a'!K17/'3a'!K17*100, "na")</f>
        <v>100</v>
      </c>
      <c r="L17" s="43">
        <f>IFERROR('3a'!L17/'3a'!L17*100, "na")</f>
        <v>100</v>
      </c>
      <c r="M17" s="47">
        <f>IFERROR('3a'!M17/'3a'!M17*100, "na")</f>
        <v>100</v>
      </c>
    </row>
    <row r="18" spans="1:13">
      <c r="A18" s="28">
        <v>1993</v>
      </c>
      <c r="B18" s="169">
        <f>'3a'!B18/'3a'!J18*100</f>
        <v>1.3651576497593012</v>
      </c>
      <c r="C18" s="156">
        <f>'3a'!C18/'3a'!K18*100</f>
        <v>1.5522957834065025</v>
      </c>
      <c r="D18" s="156">
        <f>'3a'!D18/'3a'!L18*100</f>
        <v>0.10868484343924889</v>
      </c>
      <c r="E18" s="156">
        <f>'3a'!E18/'3a'!M18*100</f>
        <v>0.79106780455563219</v>
      </c>
      <c r="F18" s="169">
        <f>'3a'!F18/'3a'!J18*100</f>
        <v>0.30596167947205666</v>
      </c>
      <c r="G18" s="156">
        <f>'3a'!G18/'3a'!K18*100</f>
        <v>0.32948181286603989</v>
      </c>
      <c r="H18" s="156">
        <f>'3a'!H18/'3a'!L18*100</f>
        <v>7.5893228805328158E-2</v>
      </c>
      <c r="I18" s="170">
        <f>'3a'!I18/'3a'!M18*100</f>
        <v>0.19747090492454353</v>
      </c>
      <c r="J18" s="46">
        <f>IFERROR('3a'!J18/'3a'!J18*100, "na")</f>
        <v>100</v>
      </c>
      <c r="K18" s="43">
        <f>IFERROR('3a'!K18/'3a'!K18*100, "na")</f>
        <v>100</v>
      </c>
      <c r="L18" s="43">
        <f>IFERROR('3a'!L18/'3a'!L18*100, "na")</f>
        <v>100</v>
      </c>
      <c r="M18" s="47">
        <f>IFERROR('3a'!M18/'3a'!M18*100, "na")</f>
        <v>100</v>
      </c>
    </row>
    <row r="19" spans="1:13">
      <c r="A19" s="28">
        <v>1994</v>
      </c>
      <c r="B19" s="169">
        <f>'3a'!B19/'3a'!J19*100</f>
        <v>0.69204254339253335</v>
      </c>
      <c r="C19" s="156">
        <f>'3a'!C19/'3a'!K19*100</f>
        <v>1.2092192310474827</v>
      </c>
      <c r="D19" s="156">
        <f>'3a'!D19/'3a'!L19*100</f>
        <v>0.10087565260064683</v>
      </c>
      <c r="E19" s="156">
        <f>'3a'!E19/'3a'!M19*100</f>
        <v>0.59384765409789086</v>
      </c>
      <c r="F19" s="169">
        <f>'3a'!F19/'3a'!J19*100</f>
        <v>0.29441581992458477</v>
      </c>
      <c r="G19" s="156">
        <f>'3a'!G19/'3a'!K19*100</f>
        <v>0.31151660329734815</v>
      </c>
      <c r="H19" s="156">
        <f>'3a'!H19/'3a'!L19*100</f>
        <v>6.3891303191017615E-2</v>
      </c>
      <c r="I19" s="170">
        <f>'3a'!I19/'3a'!M19*100</f>
        <v>0.19287359234854662</v>
      </c>
      <c r="J19" s="46">
        <f>IFERROR('3a'!J19/'3a'!J19*100, "na")</f>
        <v>100</v>
      </c>
      <c r="K19" s="43">
        <f>IFERROR('3a'!K19/'3a'!K19*100, "na")</f>
        <v>100</v>
      </c>
      <c r="L19" s="43">
        <f>IFERROR('3a'!L19/'3a'!L19*100, "na")</f>
        <v>100</v>
      </c>
      <c r="M19" s="47">
        <f>IFERROR('3a'!M19/'3a'!M19*100, "na")</f>
        <v>100</v>
      </c>
    </row>
    <row r="20" spans="1:13">
      <c r="A20" s="28">
        <v>1995</v>
      </c>
      <c r="B20" s="169">
        <f>'3a'!B20/'3a'!J20*100</f>
        <v>0.43192620180519298</v>
      </c>
      <c r="C20" s="156">
        <f>'3a'!C20/'3a'!K20*100</f>
        <v>1.0351672689996783</v>
      </c>
      <c r="D20" s="156">
        <f>'3a'!D20/'3a'!L20*100</f>
        <v>8.3527284212873212E-2</v>
      </c>
      <c r="E20" s="156">
        <f>'3a'!E20/'3a'!M20*100</f>
        <v>0.49768136592158418</v>
      </c>
      <c r="F20" s="169">
        <f>'3a'!F20/'3a'!J20*100</f>
        <v>0.45305703190234459</v>
      </c>
      <c r="G20" s="156">
        <f>'3a'!G20/'3a'!K20*100</f>
        <v>0.33872963852536903</v>
      </c>
      <c r="H20" s="156">
        <f>'3a'!H20/'3a'!L20*100</f>
        <v>5.3911325534010041E-2</v>
      </c>
      <c r="I20" s="170">
        <f>'3a'!I20/'3a'!M20*100</f>
        <v>0.23790232699972741</v>
      </c>
      <c r="J20" s="46">
        <f>IFERROR('3a'!J20/'3a'!J20*100, "na")</f>
        <v>100</v>
      </c>
      <c r="K20" s="43">
        <f>IFERROR('3a'!K20/'3a'!K20*100, "na")</f>
        <v>100</v>
      </c>
      <c r="L20" s="43">
        <f>IFERROR('3a'!L20/'3a'!L20*100, "na")</f>
        <v>100</v>
      </c>
      <c r="M20" s="47">
        <f>IFERROR('3a'!M20/'3a'!M20*100, "na")</f>
        <v>100</v>
      </c>
    </row>
    <row r="21" spans="1:13">
      <c r="A21" s="28">
        <v>1996</v>
      </c>
      <c r="B21" s="169">
        <f>'3a'!B21/'3a'!J21*100</f>
        <v>0.42264652935881819</v>
      </c>
      <c r="C21" s="156">
        <f>'3a'!C21/'3a'!K21*100</f>
        <v>0.94976167971914682</v>
      </c>
      <c r="D21" s="156">
        <f>'3a'!D21/'3a'!L21*100</f>
        <v>9.0295507567147229E-2</v>
      </c>
      <c r="E21" s="156">
        <f>'3a'!E21/'3a'!M21*100</f>
        <v>0.48025908432649844</v>
      </c>
      <c r="F21" s="169">
        <f>'3a'!F21/'3a'!J21*100</f>
        <v>0.71502885582675924</v>
      </c>
      <c r="G21" s="156">
        <f>'3a'!G21/'3a'!K21*100</f>
        <v>0.40215095868214962</v>
      </c>
      <c r="H21" s="156">
        <f>'3a'!H21/'3a'!L21*100</f>
        <v>4.5581743135730095E-2</v>
      </c>
      <c r="I21" s="170">
        <f>'3a'!I21/'3a'!M21*100</f>
        <v>0.31011697941346544</v>
      </c>
      <c r="J21" s="46">
        <f>IFERROR('3a'!J21/'3a'!J21*100, "na")</f>
        <v>100</v>
      </c>
      <c r="K21" s="43">
        <f>IFERROR('3a'!K21/'3a'!K21*100, "na")</f>
        <v>100</v>
      </c>
      <c r="L21" s="43">
        <f>IFERROR('3a'!L21/'3a'!L21*100, "na")</f>
        <v>100</v>
      </c>
      <c r="M21" s="47">
        <f>IFERROR('3a'!M21/'3a'!M21*100, "na")</f>
        <v>100</v>
      </c>
    </row>
    <row r="22" spans="1:13">
      <c r="A22" s="28">
        <v>1997</v>
      </c>
      <c r="B22" s="169">
        <f>'3a'!B22/'3a'!J22*100</f>
        <v>1.034898320172954</v>
      </c>
      <c r="C22" s="156">
        <f>'3a'!C22/'3a'!K22*100</f>
        <v>1.1559178619960742</v>
      </c>
      <c r="D22" s="156">
        <f>'3a'!D22/'3a'!L22*100</f>
        <v>0.18869715942866347</v>
      </c>
      <c r="E22" s="156">
        <f>'3a'!E22/'3a'!M22*100</f>
        <v>0.72875059885990956</v>
      </c>
      <c r="F22" s="169">
        <f>'3a'!F22/'3a'!J22*100</f>
        <v>1.01003156178827</v>
      </c>
      <c r="G22" s="156">
        <f>'3a'!G22/'3a'!K22*100</f>
        <v>0.63323086214706326</v>
      </c>
      <c r="H22" s="156">
        <f>'3a'!H22/'3a'!L22*100</f>
        <v>4.2306346146367475E-2</v>
      </c>
      <c r="I22" s="170">
        <f>'3a'!I22/'3a'!M22*100</f>
        <v>0.46248648948899601</v>
      </c>
      <c r="J22" s="46">
        <f>IFERROR('3a'!J22/'3a'!J22*100, "na")</f>
        <v>100</v>
      </c>
      <c r="K22" s="43">
        <f>IFERROR('3a'!K22/'3a'!K22*100, "na")</f>
        <v>100</v>
      </c>
      <c r="L22" s="43">
        <f>IFERROR('3a'!L22/'3a'!L22*100, "na")</f>
        <v>100</v>
      </c>
      <c r="M22" s="47">
        <f>IFERROR('3a'!M22/'3a'!M22*100, "na")</f>
        <v>100</v>
      </c>
    </row>
    <row r="23" spans="1:13">
      <c r="A23" s="28">
        <v>1998</v>
      </c>
      <c r="B23" s="169">
        <f>'3a'!B23/'3a'!J23*100</f>
        <v>1.3215744231075028</v>
      </c>
      <c r="C23" s="156">
        <f>'3a'!C23/'3a'!K23*100</f>
        <v>1.2937027667219905</v>
      </c>
      <c r="D23" s="156">
        <f>'3a'!D23/'3a'!L23*100</f>
        <v>0.17106872613859608</v>
      </c>
      <c r="E23" s="156">
        <f>'3a'!E23/'3a'!M23*100</f>
        <v>0.85997215403673111</v>
      </c>
      <c r="F23" s="169">
        <f>'3a'!F23/'3a'!J23*100</f>
        <v>1.8131541778521918</v>
      </c>
      <c r="G23" s="156">
        <f>'3a'!G23/'3a'!K23*100</f>
        <v>0.8644311595954387</v>
      </c>
      <c r="H23" s="156">
        <f>'3a'!H23/'3a'!L23*100</f>
        <v>6.9682448067524133E-2</v>
      </c>
      <c r="I23" s="170">
        <f>'3a'!I23/'3a'!M23*100</f>
        <v>0.76345933182137904</v>
      </c>
      <c r="J23" s="46">
        <f>IFERROR('3a'!J23/'3a'!J23*100, "na")</f>
        <v>100</v>
      </c>
      <c r="K23" s="43">
        <f>IFERROR('3a'!K23/'3a'!K23*100, "na")</f>
        <v>100</v>
      </c>
      <c r="L23" s="43">
        <f>IFERROR('3a'!L23/'3a'!L23*100, "na")</f>
        <v>100</v>
      </c>
      <c r="M23" s="47">
        <f>IFERROR('3a'!M23/'3a'!M23*100, "na")</f>
        <v>100</v>
      </c>
    </row>
    <row r="24" spans="1:13">
      <c r="A24" s="28">
        <v>1999</v>
      </c>
      <c r="B24" s="169">
        <f>'3a'!B24/'3a'!J24*100</f>
        <v>1.2116191509929954</v>
      </c>
      <c r="C24" s="156">
        <f>'3a'!C24/'3a'!K24*100</f>
        <v>1.6132489774674585</v>
      </c>
      <c r="D24" s="156">
        <f>'3a'!D24/'3a'!L24*100</f>
        <v>0.1597213481306379</v>
      </c>
      <c r="E24" s="156">
        <f>'3a'!E24/'3a'!M24*100</f>
        <v>0.97219763726529318</v>
      </c>
      <c r="F24" s="169">
        <f>'3a'!F24/'3a'!J24*100</f>
        <v>0.93295626070586635</v>
      </c>
      <c r="G24" s="156">
        <f>'3a'!G24/'3a'!K24*100</f>
        <v>0.72967676678401849</v>
      </c>
      <c r="H24" s="156">
        <f>'3a'!H24/'3a'!L24*100</f>
        <v>5.4904037535624575E-2</v>
      </c>
      <c r="I24" s="170">
        <f>'3a'!I24/'3a'!M24*100</f>
        <v>0.52097178489366147</v>
      </c>
      <c r="J24" s="46">
        <f>IFERROR('3a'!J24/'3a'!J24*100, "na")</f>
        <v>100</v>
      </c>
      <c r="K24" s="43">
        <f>IFERROR('3a'!K24/'3a'!K24*100, "na")</f>
        <v>100</v>
      </c>
      <c r="L24" s="43">
        <f>IFERROR('3a'!L24/'3a'!L24*100, "na")</f>
        <v>100</v>
      </c>
      <c r="M24" s="47">
        <f>IFERROR('3a'!M24/'3a'!M24*100, "na")</f>
        <v>100</v>
      </c>
    </row>
    <row r="25" spans="1:13">
      <c r="A25" s="28">
        <v>2000</v>
      </c>
      <c r="B25" s="169">
        <f>'3a'!B25/'3a'!J25*100</f>
        <v>0.67597622835189242</v>
      </c>
      <c r="C25" s="156">
        <f>'3a'!C25/'3a'!K25*100</f>
        <v>1.8713520225374178</v>
      </c>
      <c r="D25" s="156">
        <f>'3a'!D25/'3a'!L25*100</f>
        <v>0.12141098489306509</v>
      </c>
      <c r="E25" s="156">
        <f>'3a'!E25/'3a'!M25*100</f>
        <v>0.94034801360496489</v>
      </c>
      <c r="F25" s="169">
        <f>'3a'!F25/'3a'!J25*100</f>
        <v>0.70755470180388391</v>
      </c>
      <c r="G25" s="156">
        <f>'3a'!G25/'3a'!K25*100</f>
        <v>0.83430769983933639</v>
      </c>
      <c r="H25" s="156">
        <f>'3a'!H25/'3a'!L25*100</f>
        <v>9.3854598694090463E-2</v>
      </c>
      <c r="I25" s="170">
        <f>'3a'!I25/'3a'!M25*100</f>
        <v>0.52893509590097831</v>
      </c>
      <c r="J25" s="46">
        <f>IFERROR('3a'!J25/'3a'!J25*100, "na")</f>
        <v>100</v>
      </c>
      <c r="K25" s="43">
        <f>IFERROR('3a'!K25/'3a'!K25*100, "na")</f>
        <v>100</v>
      </c>
      <c r="L25" s="43">
        <f>IFERROR('3a'!L25/'3a'!L25*100, "na")</f>
        <v>100</v>
      </c>
      <c r="M25" s="47">
        <f>IFERROR('3a'!M25/'3a'!M25*100, "na")</f>
        <v>100</v>
      </c>
    </row>
    <row r="26" spans="1:13">
      <c r="A26" s="28">
        <v>2001</v>
      </c>
      <c r="B26" s="169">
        <f>'3a'!B26/'3a'!J26*100</f>
        <v>0.38371435697065426</v>
      </c>
      <c r="C26" s="156">
        <f>'3a'!C26/'3a'!K26*100</f>
        <v>1.7406517223153224</v>
      </c>
      <c r="D26" s="156">
        <f>'3a'!D26/'3a'!L26*100</f>
        <v>8.5790270622702447E-2</v>
      </c>
      <c r="E26" s="156">
        <f>'3a'!E26/'3a'!M26*100</f>
        <v>0.81311038885397913</v>
      </c>
      <c r="F26" s="169">
        <f>'3a'!F26/'3a'!J26*100</f>
        <v>0.37968621286436571</v>
      </c>
      <c r="G26" s="156">
        <f>'3a'!G26/'3a'!K26*100</f>
        <v>0.76740487009395197</v>
      </c>
      <c r="H26" s="156">
        <f>'3a'!H26/'3a'!L26*100</f>
        <v>6.890820103890978E-2</v>
      </c>
      <c r="I26" s="170">
        <f>'3a'!I26/'3a'!M26*100</f>
        <v>0.41606899980147954</v>
      </c>
      <c r="J26" s="46">
        <f>IFERROR('3a'!J26/'3a'!J26*100, "na")</f>
        <v>100</v>
      </c>
      <c r="K26" s="43">
        <f>IFERROR('3a'!K26/'3a'!K26*100, "na")</f>
        <v>100</v>
      </c>
      <c r="L26" s="43">
        <f>IFERROR('3a'!L26/'3a'!L26*100, "na")</f>
        <v>100</v>
      </c>
      <c r="M26" s="47">
        <f>IFERROR('3a'!M26/'3a'!M26*100, "na")</f>
        <v>100</v>
      </c>
    </row>
    <row r="27" spans="1:13">
      <c r="A27" s="28">
        <v>2002</v>
      </c>
      <c r="B27" s="169">
        <f>'3a'!B27/'3a'!J27*100</f>
        <v>0.40783382833828336</v>
      </c>
      <c r="C27" s="156">
        <f>'3a'!C27/'3a'!K27*100</f>
        <v>1.5025932658675734</v>
      </c>
      <c r="D27" s="156">
        <f>'3a'!D27/'3a'!L27*100</f>
        <v>7.750063597049095E-2</v>
      </c>
      <c r="E27" s="156">
        <f>'3a'!E27/'3a'!M27*100</f>
        <v>0.71952137457401899</v>
      </c>
      <c r="F27" s="169">
        <f>'3a'!F27/'3a'!J27*100</f>
        <v>0.21745417454174543</v>
      </c>
      <c r="G27" s="156">
        <f>'3a'!G27/'3a'!K27*100</f>
        <v>0.69082801100443936</v>
      </c>
      <c r="H27" s="156">
        <f>'3a'!H27/'3a'!L27*100</f>
        <v>6.1444924955482046E-2</v>
      </c>
      <c r="I27" s="170">
        <f>'3a'!I27/'3a'!M27*100</f>
        <v>0.34718097323427077</v>
      </c>
      <c r="J27" s="46">
        <f>IFERROR('3a'!J27/'3a'!J27*100, "na")</f>
        <v>100</v>
      </c>
      <c r="K27" s="43">
        <f>IFERROR('3a'!K27/'3a'!K27*100, "na")</f>
        <v>100</v>
      </c>
      <c r="L27" s="43">
        <f>IFERROR('3a'!L27/'3a'!L27*100, "na")</f>
        <v>100</v>
      </c>
      <c r="M27" s="47">
        <f>IFERROR('3a'!M27/'3a'!M27*100, "na")</f>
        <v>100</v>
      </c>
    </row>
    <row r="28" spans="1:13">
      <c r="A28" s="28">
        <v>2003</v>
      </c>
      <c r="B28" s="169">
        <f>'3a'!B28/'3a'!J28*100</f>
        <v>0.61737520641573418</v>
      </c>
      <c r="C28" s="156">
        <f>'3a'!C28/'3a'!K28*100</f>
        <v>1.2991129095012057</v>
      </c>
      <c r="D28" s="156">
        <f>'3a'!D28/'3a'!L28*100</f>
        <v>0.10921250254665714</v>
      </c>
      <c r="E28" s="156">
        <f>'3a'!E28/'3a'!M28*100</f>
        <v>0.71767775249757315</v>
      </c>
      <c r="F28" s="169">
        <f>'3a'!F28/'3a'!J28*100</f>
        <v>0.21022785335041436</v>
      </c>
      <c r="G28" s="156">
        <f>'3a'!G28/'3a'!K28*100</f>
        <v>0.63534519124049338</v>
      </c>
      <c r="H28" s="156">
        <f>'3a'!H28/'3a'!L28*100</f>
        <v>6.0428975509449867E-2</v>
      </c>
      <c r="I28" s="170">
        <f>'3a'!I28/'3a'!M28*100</f>
        <v>0.33251664907593614</v>
      </c>
      <c r="J28" s="46">
        <f>IFERROR('3a'!J28/'3a'!J28*100, "na")</f>
        <v>100</v>
      </c>
      <c r="K28" s="43">
        <f>IFERROR('3a'!K28/'3a'!K28*100, "na")</f>
        <v>100</v>
      </c>
      <c r="L28" s="43">
        <f>IFERROR('3a'!L28/'3a'!L28*100, "na")</f>
        <v>100</v>
      </c>
      <c r="M28" s="47">
        <f>IFERROR('3a'!M28/'3a'!M28*100, "na")</f>
        <v>100</v>
      </c>
    </row>
    <row r="29" spans="1:13">
      <c r="A29" s="28">
        <v>2004</v>
      </c>
      <c r="B29" s="169">
        <f>'3a'!B29/'3a'!J29*100</f>
        <v>0.69719591076223331</v>
      </c>
      <c r="C29" s="156">
        <f>'3a'!C29/'3a'!K29*100</f>
        <v>1.2159028204455891</v>
      </c>
      <c r="D29" s="156">
        <f>'3a'!D29/'3a'!L29*100</f>
        <v>0.13586596914933213</v>
      </c>
      <c r="E29" s="156">
        <f>'3a'!E29/'3a'!M29*100</f>
        <v>0.73778972626184913</v>
      </c>
      <c r="F29" s="169">
        <f>'3a'!F29/'3a'!J29*100</f>
        <v>0.19633229661851492</v>
      </c>
      <c r="G29" s="156">
        <f>'3a'!G29/'3a'!K29*100</f>
        <v>0.76416190852630062</v>
      </c>
      <c r="H29" s="156">
        <f>'3a'!H29/'3a'!L29*100</f>
        <v>6.3194243414250881E-2</v>
      </c>
      <c r="I29" s="170">
        <f>'3a'!I29/'3a'!M29*100</f>
        <v>0.39856115473644621</v>
      </c>
      <c r="J29" s="46">
        <f>IFERROR('3a'!J29/'3a'!J29*100, "na")</f>
        <v>100</v>
      </c>
      <c r="K29" s="43">
        <f>IFERROR('3a'!K29/'3a'!K29*100, "na")</f>
        <v>100</v>
      </c>
      <c r="L29" s="43">
        <f>IFERROR('3a'!L29/'3a'!L29*100, "na")</f>
        <v>100</v>
      </c>
      <c r="M29" s="47">
        <f>IFERROR('3a'!M29/'3a'!M29*100, "na")</f>
        <v>100</v>
      </c>
    </row>
    <row r="30" spans="1:13">
      <c r="A30" s="28">
        <v>2005</v>
      </c>
      <c r="B30" s="169">
        <f>'3a'!B30/'3a'!J30*100</f>
        <v>0.8160651423151174</v>
      </c>
      <c r="C30" s="156">
        <f>'3a'!C30/'3a'!K30*100</f>
        <v>1.3181152893492456</v>
      </c>
      <c r="D30" s="156">
        <f>'3a'!D30/'3a'!L30*100</f>
        <v>0.15624308793234307</v>
      </c>
      <c r="E30" s="156">
        <f>'3a'!E30/'3a'!M30*100</f>
        <v>0.8431768402228037</v>
      </c>
      <c r="F30" s="169">
        <f>'3a'!F30/'3a'!J30*100</f>
        <v>0.22993259988109788</v>
      </c>
      <c r="G30" s="156">
        <f>'3a'!G30/'3a'!K30*100</f>
        <v>0.90679990702471835</v>
      </c>
      <c r="H30" s="156">
        <f>'3a'!H30/'3a'!L30*100</f>
        <v>8.5333947739347285E-2</v>
      </c>
      <c r="I30" s="170">
        <f>'3a'!I30/'3a'!M30*100</f>
        <v>0.4919441185880345</v>
      </c>
      <c r="J30" s="46">
        <f>IFERROR('3a'!J30/'3a'!J30*100, "na")</f>
        <v>100</v>
      </c>
      <c r="K30" s="43">
        <f>IFERROR('3a'!K30/'3a'!K30*100, "na")</f>
        <v>100</v>
      </c>
      <c r="L30" s="43">
        <f>IFERROR('3a'!L30/'3a'!L30*100, "na")</f>
        <v>100</v>
      </c>
      <c r="M30" s="47">
        <f>IFERROR('3a'!M30/'3a'!M30*100, "na")</f>
        <v>100</v>
      </c>
    </row>
    <row r="31" spans="1:13">
      <c r="A31" s="28">
        <v>2006</v>
      </c>
      <c r="B31" s="169">
        <f>'3a'!B31/'3a'!J31*100</f>
        <v>0.71389877504966415</v>
      </c>
      <c r="C31" s="156">
        <f>'3a'!C31/'3a'!K31*100</f>
        <v>1.243779214389197</v>
      </c>
      <c r="D31" s="156">
        <f>'3a'!D31/'3a'!L31*100</f>
        <v>0.18572597453574452</v>
      </c>
      <c r="E31" s="156">
        <f>'3a'!E31/'3a'!M31*100</f>
        <v>0.80690698008635287</v>
      </c>
      <c r="F31" s="169">
        <f>'3a'!F31/'3a'!J31*100</f>
        <v>0.22506436840936503</v>
      </c>
      <c r="G31" s="156">
        <f>'3a'!G31/'3a'!K31*100</f>
        <v>0.90737056829674967</v>
      </c>
      <c r="H31" s="156">
        <f>'3a'!H31/'3a'!L31*100</f>
        <v>9.5620877814695845E-2</v>
      </c>
      <c r="I31" s="170">
        <f>'3a'!I31/'3a'!M31*100</f>
        <v>0.50041973619260061</v>
      </c>
      <c r="J31" s="46">
        <f>IFERROR('3a'!J31/'3a'!J31*100, "na")</f>
        <v>100</v>
      </c>
      <c r="K31" s="43">
        <f>IFERROR('3a'!K31/'3a'!K31*100, "na")</f>
        <v>100</v>
      </c>
      <c r="L31" s="43">
        <f>IFERROR('3a'!L31/'3a'!L31*100, "na")</f>
        <v>100</v>
      </c>
      <c r="M31" s="47">
        <f>IFERROR('3a'!M31/'3a'!M31*100, "na")</f>
        <v>100</v>
      </c>
    </row>
    <row r="32" spans="1:13">
      <c r="A32" s="28">
        <v>2007</v>
      </c>
      <c r="B32" s="169">
        <f>'3a'!B32/'3a'!J32*100</f>
        <v>1.0244531547778204</v>
      </c>
      <c r="C32" s="156">
        <f>'3a'!C32/'3a'!K32*100</f>
        <v>1.1645089114676719</v>
      </c>
      <c r="D32" s="156">
        <f>'3a'!D32/'3a'!L32*100</f>
        <v>0.34391637411945225</v>
      </c>
      <c r="E32" s="156">
        <f>'3a'!E32/'3a'!M32*100</f>
        <v>0.91854507801536289</v>
      </c>
      <c r="F32" s="169">
        <f>'3a'!F32/'3a'!J32*100</f>
        <v>0.16200727041034013</v>
      </c>
      <c r="G32" s="156">
        <f>'3a'!G32/'3a'!K32*100</f>
        <v>0.9660570395230873</v>
      </c>
      <c r="H32" s="156">
        <f>'3a'!H32/'3a'!L32*100</f>
        <v>8.8912654313812109E-2</v>
      </c>
      <c r="I32" s="170">
        <f>'3a'!I32/'3a'!M32*100</f>
        <v>0.53251307673365011</v>
      </c>
      <c r="J32" s="46">
        <f>IFERROR('3a'!J32/'3a'!J32*100, "na")</f>
        <v>100</v>
      </c>
      <c r="K32" s="43">
        <f>IFERROR('3a'!K32/'3a'!K32*100, "na")</f>
        <v>100</v>
      </c>
      <c r="L32" s="43">
        <f>IFERROR('3a'!L32/'3a'!L32*100, "na")</f>
        <v>100</v>
      </c>
      <c r="M32" s="47">
        <f>IFERROR('3a'!M32/'3a'!M32*100, "na")</f>
        <v>100</v>
      </c>
    </row>
    <row r="33" spans="1:14">
      <c r="A33" s="28">
        <v>2008</v>
      </c>
      <c r="B33" s="169">
        <f>'3a'!B33/'3a'!J33*100</f>
        <v>0.75812018205786147</v>
      </c>
      <c r="C33" s="156">
        <f>'3a'!C33/'3a'!K33*100</f>
        <v>1.1026598491170583</v>
      </c>
      <c r="D33" s="156">
        <f>'3a'!D33/'3a'!L33*100</f>
        <v>0.2960279137824301</v>
      </c>
      <c r="E33" s="156">
        <f>'3a'!E33/'3a'!M33*100</f>
        <v>0.81550634580837889</v>
      </c>
      <c r="F33" s="169">
        <f>'3a'!F33/'3a'!J33*100</f>
        <v>0.13237331626314847</v>
      </c>
      <c r="G33" s="156">
        <f>'3a'!G33/'3a'!K33*100</f>
        <v>0.99607246623554613</v>
      </c>
      <c r="H33" s="156">
        <f>'3a'!H33/'3a'!L33*100</f>
        <v>8.9340987112386722E-2</v>
      </c>
      <c r="I33" s="170">
        <f>'3a'!I33/'3a'!M33*100</f>
        <v>0.55136772925291322</v>
      </c>
      <c r="J33" s="46">
        <f>IFERROR('3a'!J33/'3a'!J33*100, "na")</f>
        <v>100</v>
      </c>
      <c r="K33" s="43">
        <f>IFERROR('3a'!K33/'3a'!K33*100, "na")</f>
        <v>100</v>
      </c>
      <c r="L33" s="43">
        <f>IFERROR('3a'!L33/'3a'!L33*100, "na")</f>
        <v>100</v>
      </c>
      <c r="M33" s="47">
        <f>IFERROR('3a'!M33/'3a'!M33*100, "na")</f>
        <v>100</v>
      </c>
    </row>
    <row r="34" spans="1:14">
      <c r="A34" s="28">
        <v>2009</v>
      </c>
      <c r="B34" s="169">
        <f>'3a'!B34/'3a'!J34*100</f>
        <v>0.75594853937960182</v>
      </c>
      <c r="C34" s="156">
        <f>'3a'!C34/'3a'!K34*100</f>
        <v>1.0754741833508956</v>
      </c>
      <c r="D34" s="156">
        <f>'3a'!D34/'3a'!L34*100</f>
        <v>0.30084370419720191</v>
      </c>
      <c r="E34" s="156">
        <f>'3a'!E34/'3a'!M34*100</f>
        <v>0.8034812598466895</v>
      </c>
      <c r="F34" s="169">
        <f>'3a'!F34/'3a'!J34*100</f>
        <v>0.14955530156029878</v>
      </c>
      <c r="G34" s="156">
        <f>'3a'!G34/'3a'!K34*100</f>
        <v>1.0218922550052687</v>
      </c>
      <c r="H34" s="156">
        <f>'3a'!H34/'3a'!L34*100</f>
        <v>7.8216122584943357E-2</v>
      </c>
      <c r="I34" s="170">
        <f>'3a'!I34/'3a'!M34*100</f>
        <v>0.57023777686574073</v>
      </c>
      <c r="J34" s="46">
        <f>IFERROR('3a'!J34/'3a'!J34*100, "na")</f>
        <v>100</v>
      </c>
      <c r="K34" s="43">
        <f>IFERROR('3a'!K34/'3a'!K34*100, "na")</f>
        <v>100</v>
      </c>
      <c r="L34" s="43">
        <f>IFERROR('3a'!L34/'3a'!L34*100, "na")</f>
        <v>100</v>
      </c>
      <c r="M34" s="47">
        <f>IFERROR('3a'!M34/'3a'!M34*100, "na")</f>
        <v>100</v>
      </c>
    </row>
    <row r="35" spans="1:14">
      <c r="A35" s="28">
        <v>2010</v>
      </c>
      <c r="B35" s="169">
        <f>'3a'!B35/'3a'!J35*100</f>
        <v>0.70824521468058632</v>
      </c>
      <c r="C35" s="156">
        <f>'3a'!C35/'3a'!K35*100</f>
        <v>0.95753455010151212</v>
      </c>
      <c r="D35" s="156">
        <f>'3a'!D35/'3a'!L35*100</f>
        <v>0.31065570153666261</v>
      </c>
      <c r="E35" s="156">
        <f>'3a'!E35/'3a'!M35*100</f>
        <v>0.74124021118171901</v>
      </c>
      <c r="F35" s="169">
        <f>'3a'!F35/'3a'!J35*100</f>
        <v>0.19251056863162855</v>
      </c>
      <c r="G35" s="156">
        <f>'3a'!G35/'3a'!K35*100</f>
        <v>1.0509852318283472</v>
      </c>
      <c r="H35" s="156">
        <f>'3a'!H35/'3a'!L35*100</f>
        <v>7.9517600467727878E-2</v>
      </c>
      <c r="I35" s="170">
        <f>'3a'!I35/'3a'!M35*100</f>
        <v>0.61069588869632208</v>
      </c>
      <c r="J35" s="46">
        <f>IFERROR('3a'!J35/'3a'!J35*100, "na")</f>
        <v>100</v>
      </c>
      <c r="K35" s="43">
        <f>IFERROR('3a'!K35/'3a'!K35*100, "na")</f>
        <v>100</v>
      </c>
      <c r="L35" s="43">
        <f>IFERROR('3a'!L35/'3a'!L35*100, "na")</f>
        <v>100</v>
      </c>
      <c r="M35" s="47">
        <f>IFERROR('3a'!M35/'3a'!M35*100, "na")</f>
        <v>100</v>
      </c>
    </row>
    <row r="36" spans="1:14">
      <c r="A36" s="29">
        <v>2011</v>
      </c>
      <c r="B36" s="192">
        <f>'3a'!B36/'3a'!J36*100</f>
        <v>0.66966113832316465</v>
      </c>
      <c r="C36" s="157">
        <f>'3a'!C36/'3a'!K36*100</f>
        <v>0.88378066435497293</v>
      </c>
      <c r="D36" s="157">
        <f>'3a'!D36/'3a'!L36*100</f>
        <v>0.31808473266352844</v>
      </c>
      <c r="E36" s="157">
        <f>'3a'!E36/'3a'!M36*100</f>
        <v>0.69727047602540992</v>
      </c>
      <c r="F36" s="192">
        <f>'3a'!F36/'3a'!J36*100</f>
        <v>0.23070894560453725</v>
      </c>
      <c r="G36" s="157">
        <f>'3a'!G36/'3a'!K36*100</f>
        <v>1.065786017402379</v>
      </c>
      <c r="H36" s="157">
        <f>'3a'!H36/'3a'!L36*100</f>
        <v>8.2677850499110944E-2</v>
      </c>
      <c r="I36" s="207">
        <f>'3a'!I36/'3a'!M36*100</f>
        <v>0.63554539271374133</v>
      </c>
      <c r="J36" s="48">
        <f>IFERROR('3a'!J36/'3a'!J36*100, "na")</f>
        <v>100</v>
      </c>
      <c r="K36" s="49">
        <f>IFERROR('3a'!K36/'3a'!K36*100, "na")</f>
        <v>100</v>
      </c>
      <c r="L36" s="49">
        <f>IFERROR('3a'!L36/'3a'!L36*100, "na")</f>
        <v>100</v>
      </c>
      <c r="M36" s="50">
        <f>IFERROR('3a'!M36/'3a'!M36*100, "na")</f>
        <v>100</v>
      </c>
    </row>
    <row r="38" spans="1:14">
      <c r="A38" s="384" t="s">
        <v>52</v>
      </c>
      <c r="B38" s="385"/>
      <c r="C38" s="385"/>
      <c r="D38" s="385"/>
      <c r="E38" s="385"/>
      <c r="F38" s="385"/>
      <c r="G38" s="385"/>
      <c r="H38" s="385"/>
      <c r="I38" s="386"/>
    </row>
    <row r="39" spans="1:14">
      <c r="A39" s="15" t="s">
        <v>53</v>
      </c>
      <c r="B39" s="82">
        <f>(POWER(B15/B6,1/($A15-$A6))-1)*100</f>
        <v>-9.156153660529986</v>
      </c>
      <c r="C39" s="83">
        <f t="shared" ref="C39:I39" si="0">(POWER(C15/C6,1/($A15-$A6))-1)*100</f>
        <v>-0.32363475665372343</v>
      </c>
      <c r="D39" s="83">
        <f t="shared" si="0"/>
        <v>3.2777621214000519</v>
      </c>
      <c r="E39" s="84">
        <f t="shared" si="0"/>
        <v>2.5878905235852123</v>
      </c>
      <c r="F39" s="83">
        <f t="shared" si="0"/>
        <v>-13.350731054683596</v>
      </c>
      <c r="G39" s="83">
        <f t="shared" si="0"/>
        <v>-7.6428371195211735</v>
      </c>
      <c r="H39" s="83">
        <f t="shared" si="0"/>
        <v>-0.51335196640286407</v>
      </c>
      <c r="I39" s="84">
        <f t="shared" si="0"/>
        <v>-7.1564636712028946</v>
      </c>
    </row>
    <row r="40" spans="1:14">
      <c r="A40" s="16" t="s">
        <v>71</v>
      </c>
      <c r="B40" s="37">
        <f>(POWER(B$25/B15,1/($A$25-$A$15))-1)*100</f>
        <v>4.7750884251139158</v>
      </c>
      <c r="C40" s="34">
        <f t="shared" ref="C40:I40" si="1">(POWER(C$25/C15,1/($A$25-$A$15))-1)*100</f>
        <v>1.4812841105400043</v>
      </c>
      <c r="D40" s="34">
        <f t="shared" si="1"/>
        <v>-1.4524353387030731</v>
      </c>
      <c r="E40" s="38">
        <f t="shared" si="1"/>
        <v>4.7747228083500959</v>
      </c>
      <c r="F40" s="34">
        <f t="shared" si="1"/>
        <v>3.6218093681022356</v>
      </c>
      <c r="G40" s="34">
        <f t="shared" si="1"/>
        <v>5.2786703217591935</v>
      </c>
      <c r="H40" s="34">
        <f t="shared" si="1"/>
        <v>-3.7207922905900692</v>
      </c>
      <c r="I40" s="38">
        <f t="shared" si="1"/>
        <v>5.650213533632864</v>
      </c>
    </row>
    <row r="41" spans="1:14">
      <c r="A41" s="16" t="s">
        <v>69</v>
      </c>
      <c r="B41" s="37">
        <f>(POWER(B$35/B25,1/($A$35-$A$25))-1)*100</f>
        <v>0.46741370462686227</v>
      </c>
      <c r="C41" s="34">
        <f t="shared" ref="C41:I41" si="2">(POWER(C$35/C25,1/($A$35-$A$25))-1)*100</f>
        <v>-6.4809909607835507</v>
      </c>
      <c r="D41" s="34">
        <f t="shared" si="2"/>
        <v>9.8505244453503735</v>
      </c>
      <c r="E41" s="38">
        <f t="shared" si="2"/>
        <v>-2.3511718216104427</v>
      </c>
      <c r="F41" s="34">
        <f t="shared" si="2"/>
        <v>-12.205066228964123</v>
      </c>
      <c r="G41" s="34">
        <f t="shared" si="2"/>
        <v>2.3356697421457628</v>
      </c>
      <c r="H41" s="34">
        <f t="shared" si="2"/>
        <v>-1.6440197849507343</v>
      </c>
      <c r="I41" s="38">
        <f t="shared" si="2"/>
        <v>1.4477130686591844</v>
      </c>
    </row>
    <row r="42" spans="1:14">
      <c r="A42" s="17" t="s">
        <v>70</v>
      </c>
      <c r="B42" s="39">
        <f>(POWER(B35/B6,1/($A$35-$A$6))-1)*100</f>
        <v>-1.2036020602671504</v>
      </c>
      <c r="C42" s="40">
        <f t="shared" ref="C42:I42" si="3">(POWER(C35/C6,1/($A$35-$A$6))-1)*100</f>
        <v>-1.8860797253701378</v>
      </c>
      <c r="D42" s="40">
        <f t="shared" si="3"/>
        <v>3.8067454254410604</v>
      </c>
      <c r="E42" s="41">
        <f t="shared" si="3"/>
        <v>1.5934089329047385</v>
      </c>
      <c r="F42" s="40">
        <f t="shared" si="3"/>
        <v>-7.4193216753300479</v>
      </c>
      <c r="G42" s="40">
        <f t="shared" si="3"/>
        <v>0.10255350149308562</v>
      </c>
      <c r="H42" s="40">
        <f t="shared" si="3"/>
        <v>-2.0182079172272549</v>
      </c>
      <c r="I42" s="41">
        <f t="shared" si="3"/>
        <v>8.6515110841434151E-2</v>
      </c>
    </row>
    <row r="43" spans="1:14">
      <c r="A43" s="26"/>
      <c r="B43" s="34"/>
      <c r="C43" s="34"/>
      <c r="D43" s="34"/>
      <c r="E43" s="34"/>
      <c r="F43" s="34"/>
      <c r="G43" s="34"/>
      <c r="H43" s="34"/>
      <c r="I43" s="34"/>
    </row>
    <row r="44" spans="1:14">
      <c r="A44" s="389" t="s">
        <v>77</v>
      </c>
      <c r="B44" s="391"/>
      <c r="C44" s="391"/>
      <c r="D44" s="391"/>
      <c r="E44" s="391"/>
      <c r="F44" s="391"/>
      <c r="G44" s="391"/>
      <c r="H44" s="391"/>
      <c r="I44" s="390"/>
      <c r="J44" s="145"/>
      <c r="K44" s="145"/>
      <c r="L44" s="145"/>
      <c r="M44" s="145"/>
      <c r="N44" s="18"/>
    </row>
    <row r="45" spans="1:14">
      <c r="A45" s="15" t="s">
        <v>53</v>
      </c>
      <c r="B45" s="35">
        <f>B15-B6</f>
        <v>-0.58223094824151267</v>
      </c>
      <c r="C45" s="30">
        <f t="shared" ref="C45:I45" si="4">C15-C6</f>
        <v>-4.7824216567379008E-2</v>
      </c>
      <c r="D45" s="30">
        <f t="shared" si="4"/>
        <v>3.5407039768697357E-2</v>
      </c>
      <c r="E45" s="36">
        <f t="shared" si="4"/>
        <v>0.12116464201080551</v>
      </c>
      <c r="F45" s="35">
        <f t="shared" si="4"/>
        <v>-1.3046464605151629</v>
      </c>
      <c r="G45" s="30">
        <f t="shared" si="4"/>
        <v>-0.52140887423619642</v>
      </c>
      <c r="H45" s="30">
        <f t="shared" si="4"/>
        <v>-6.5013354027807502E-3</v>
      </c>
      <c r="I45" s="36">
        <f t="shared" si="4"/>
        <v>-0.29029080979430794</v>
      </c>
      <c r="J45" s="18"/>
      <c r="K45" s="18"/>
      <c r="L45" s="18"/>
      <c r="M45" s="18"/>
      <c r="N45" s="18"/>
    </row>
    <row r="46" spans="1:14">
      <c r="A46" s="16" t="s">
        <v>71</v>
      </c>
      <c r="B46" s="37">
        <f>B25-B15</f>
        <v>0.25199067069844244</v>
      </c>
      <c r="C46" s="34">
        <f t="shared" ref="C46:I46" si="5">C25-C15</f>
        <v>0.25589298281306583</v>
      </c>
      <c r="D46" s="34">
        <f t="shared" si="5"/>
        <v>-1.9128714056309309E-2</v>
      </c>
      <c r="E46" s="38">
        <f t="shared" si="5"/>
        <v>0.35052270161463761</v>
      </c>
      <c r="F46" s="37">
        <f t="shared" si="5"/>
        <v>0.21182115647280314</v>
      </c>
      <c r="G46" s="34">
        <f t="shared" si="5"/>
        <v>0.33551241382899949</v>
      </c>
      <c r="H46" s="34">
        <f t="shared" si="5"/>
        <v>-4.3274770868283796E-2</v>
      </c>
      <c r="I46" s="38">
        <f t="shared" si="5"/>
        <v>0.22365492742454079</v>
      </c>
    </row>
    <row r="47" spans="1:14">
      <c r="A47" s="16" t="s">
        <v>69</v>
      </c>
      <c r="B47" s="37">
        <f>B35-B25</f>
        <v>3.2268986328693905E-2</v>
      </c>
      <c r="C47" s="34">
        <f t="shared" ref="C47:I47" si="6">C35-C25</f>
        <v>-0.91381747243590572</v>
      </c>
      <c r="D47" s="34">
        <f t="shared" si="6"/>
        <v>0.18924471664359752</v>
      </c>
      <c r="E47" s="38">
        <f t="shared" si="6"/>
        <v>-0.19910780242324588</v>
      </c>
      <c r="F47" s="37">
        <f t="shared" si="6"/>
        <v>-0.51504413317225539</v>
      </c>
      <c r="G47" s="34">
        <f>G35-G25</f>
        <v>0.21667753198901085</v>
      </c>
      <c r="H47" s="34">
        <f t="shared" si="6"/>
        <v>-1.4336998226362585E-2</v>
      </c>
      <c r="I47" s="38">
        <f t="shared" si="6"/>
        <v>8.1760792795343762E-2</v>
      </c>
    </row>
    <row r="48" spans="1:14">
      <c r="A48" s="17" t="s">
        <v>70</v>
      </c>
      <c r="B48" s="39">
        <f>B35-B6</f>
        <v>-0.29797129121437627</v>
      </c>
      <c r="C48" s="40">
        <f t="shared" ref="C48:I48" si="7">C35-C6</f>
        <v>-0.7057487061902189</v>
      </c>
      <c r="D48" s="40">
        <f t="shared" si="7"/>
        <v>0.20552304235598556</v>
      </c>
      <c r="E48" s="41">
        <f t="shared" si="7"/>
        <v>0.27257954120219724</v>
      </c>
      <c r="F48" s="39">
        <f t="shared" si="7"/>
        <v>-1.6078694372146149</v>
      </c>
      <c r="G48" s="40">
        <f t="shared" si="7"/>
        <v>3.0781071581813979E-2</v>
      </c>
      <c r="H48" s="40">
        <f t="shared" si="7"/>
        <v>-6.4113104497427131E-2</v>
      </c>
      <c r="I48" s="41">
        <f t="shared" si="7"/>
        <v>1.5124910425576621E-2</v>
      </c>
    </row>
    <row r="50" spans="1:1">
      <c r="A50" s="1" t="s">
        <v>136</v>
      </c>
    </row>
    <row r="51" spans="1:1">
      <c r="A51" s="1" t="s">
        <v>98</v>
      </c>
    </row>
  </sheetData>
  <mergeCells count="5">
    <mergeCell ref="B4:E4"/>
    <mergeCell ref="F4:I4"/>
    <mergeCell ref="A38:I38"/>
    <mergeCell ref="A44:I44"/>
    <mergeCell ref="J4:M4"/>
  </mergeCells>
  <pageMargins left="0.7" right="0.7" top="0.75" bottom="0.75" header="0.3" footer="0.3"/>
  <pageSetup scale="62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M51"/>
  <sheetViews>
    <sheetView view="pageBreakPreview" zoomScale="60" zoomScaleNormal="100" workbookViewId="0">
      <selection sqref="A1:H2"/>
    </sheetView>
  </sheetViews>
  <sheetFormatPr defaultRowHeight="15"/>
  <cols>
    <col min="1" max="1" width="11" style="1" customWidth="1"/>
    <col min="2" max="2" width="12.7109375" style="1" bestFit="1" customWidth="1"/>
    <col min="3" max="3" width="10.42578125" style="1" bestFit="1" customWidth="1"/>
    <col min="4" max="4" width="17.5703125" style="1" bestFit="1" customWidth="1"/>
    <col min="5" max="5" width="18.28515625" style="1" customWidth="1"/>
    <col min="6" max="6" width="12.7109375" style="1" bestFit="1" customWidth="1"/>
    <col min="7" max="7" width="10.42578125" style="1" bestFit="1" customWidth="1"/>
    <col min="8" max="8" width="21.85546875" style="1" bestFit="1" customWidth="1"/>
    <col min="9" max="9" width="19" style="1" customWidth="1"/>
    <col min="10" max="10" width="13.28515625" style="1" bestFit="1" customWidth="1"/>
    <col min="11" max="11" width="10.85546875" style="1" bestFit="1" customWidth="1"/>
    <col min="12" max="12" width="22.28515625" style="1" bestFit="1" customWidth="1"/>
    <col min="13" max="16384" width="9.140625" style="1"/>
  </cols>
  <sheetData>
    <row r="1" spans="1:13" ht="42.75" customHeight="1">
      <c r="A1" s="387" t="s">
        <v>101</v>
      </c>
      <c r="B1" s="387"/>
      <c r="C1" s="387"/>
      <c r="D1" s="387"/>
      <c r="E1" s="387"/>
      <c r="F1" s="387"/>
      <c r="G1" s="387"/>
      <c r="H1" s="387"/>
      <c r="I1" s="222"/>
    </row>
    <row r="2" spans="1:13" ht="15" hidden="1" customHeight="1">
      <c r="A2" s="387"/>
      <c r="B2" s="387"/>
      <c r="C2" s="387"/>
      <c r="D2" s="387"/>
      <c r="E2" s="387"/>
      <c r="F2" s="387"/>
      <c r="G2" s="387"/>
      <c r="H2" s="387"/>
      <c r="I2" s="222"/>
    </row>
    <row r="3" spans="1:13" ht="15.75" customHeight="1"/>
    <row r="4" spans="1:13"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7" t="s">
        <v>38</v>
      </c>
      <c r="K4" s="375"/>
      <c r="L4" s="375"/>
      <c r="M4" s="376"/>
    </row>
    <row r="5" spans="1:13" ht="45">
      <c r="B5" s="3" t="s">
        <v>0</v>
      </c>
      <c r="C5" s="4" t="s">
        <v>1</v>
      </c>
      <c r="D5" s="4" t="s">
        <v>2</v>
      </c>
      <c r="E5" s="4" t="s">
        <v>84</v>
      </c>
      <c r="F5" s="3" t="s">
        <v>0</v>
      </c>
      <c r="G5" s="4" t="s">
        <v>1</v>
      </c>
      <c r="H5" s="4" t="s">
        <v>2</v>
      </c>
      <c r="I5" s="5" t="s">
        <v>84</v>
      </c>
      <c r="J5" s="3" t="s">
        <v>39</v>
      </c>
      <c r="K5" s="4" t="s">
        <v>41</v>
      </c>
      <c r="L5" s="4" t="s">
        <v>40</v>
      </c>
      <c r="M5" s="5" t="s">
        <v>84</v>
      </c>
    </row>
    <row r="6" spans="1:13">
      <c r="A6" s="27">
        <v>1981</v>
      </c>
      <c r="B6" s="37">
        <f>'3a'!B6/'3a'!$E6*100</f>
        <v>46.201131898203734</v>
      </c>
      <c r="C6" s="34">
        <f>'3a'!C6/'3a'!$E6*100</f>
        <v>38.635607817404988</v>
      </c>
      <c r="D6" s="34">
        <f>'3a'!D6/'3a'!$E6*100</f>
        <v>15.163260284391288</v>
      </c>
      <c r="E6" s="38">
        <f>SUM(B6:D6)</f>
        <v>100.00000000000001</v>
      </c>
      <c r="F6" s="37">
        <f>'3a'!F6/'3a'!$I6*100</f>
        <v>65.050455501873529</v>
      </c>
      <c r="G6" s="34">
        <f>'3a'!G6/'3a'!$I6*100</f>
        <v>18.648057765359329</v>
      </c>
      <c r="H6" s="34">
        <f>'3a'!H6/'3a'!$I6*100</f>
        <v>16.301486732767152</v>
      </c>
      <c r="I6" s="38">
        <f>SUM(F6:H6)</f>
        <v>100</v>
      </c>
      <c r="J6" s="85">
        <f>'3a'!J6/'3a'!$M6*100</f>
        <v>21.518881177531295</v>
      </c>
      <c r="K6" s="86">
        <f>'3a'!K6/'3a'!$M6*100</f>
        <v>10.886293586060846</v>
      </c>
      <c r="L6" s="86">
        <f>'3a'!L6/'3a'!$M6*100</f>
        <v>67.594825236407857</v>
      </c>
      <c r="M6" s="202">
        <f>SUM(J6:L6)</f>
        <v>100</v>
      </c>
    </row>
    <row r="7" spans="1:13">
      <c r="A7" s="28">
        <v>1982</v>
      </c>
      <c r="B7" s="37">
        <f>'3a'!B7/'3a'!$E7*100</f>
        <v>41.829507193598161</v>
      </c>
      <c r="C7" s="34">
        <f>'3a'!C7/'3a'!$E7*100</f>
        <v>42.101894083976546</v>
      </c>
      <c r="D7" s="34">
        <f>'3a'!D7/'3a'!$E7*100</f>
        <v>16.068598722425282</v>
      </c>
      <c r="E7" s="38">
        <f t="shared" ref="E7:E36" si="0">SUM(B7:D7)</f>
        <v>99.999999999999986</v>
      </c>
      <c r="F7" s="37">
        <f>'3a'!F7/'3a'!$I7*100</f>
        <v>61.900718135929054</v>
      </c>
      <c r="G7" s="34">
        <f>'3a'!G7/'3a'!$I7*100</f>
        <v>22.140828782654328</v>
      </c>
      <c r="H7" s="34">
        <f>'3a'!H7/'3a'!$I7*100</f>
        <v>15.958453081416609</v>
      </c>
      <c r="I7" s="38">
        <f t="shared" ref="I7:I36" si="1">SUM(F7:H7)</f>
        <v>99.999999999999986</v>
      </c>
      <c r="J7" s="85">
        <f>'3a'!J7/'3a'!$M7*100</f>
        <v>22.250794221662769</v>
      </c>
      <c r="K7" s="86">
        <f>'3a'!K7/'3a'!$M7*100</f>
        <v>12.026613918360008</v>
      </c>
      <c r="L7" s="86">
        <f>'3a'!L7/'3a'!$M7*100</f>
        <v>65.722591859977214</v>
      </c>
      <c r="M7" s="202">
        <f t="shared" ref="M7:M36" si="2">SUM(J7:L7)</f>
        <v>100</v>
      </c>
    </row>
    <row r="8" spans="1:13">
      <c r="A8" s="28">
        <v>1983</v>
      </c>
      <c r="B8" s="37">
        <f>'3a'!B8/'3a'!$E8*100</f>
        <v>35.781390310591021</v>
      </c>
      <c r="C8" s="34">
        <f>'3a'!C8/'3a'!$E8*100</f>
        <v>48.078588024950371</v>
      </c>
      <c r="D8" s="34">
        <f>'3a'!D8/'3a'!$E8*100</f>
        <v>16.140021664458608</v>
      </c>
      <c r="E8" s="38">
        <f t="shared" si="0"/>
        <v>100</v>
      </c>
      <c r="F8" s="37">
        <f>'3a'!F8/'3a'!$I8*100</f>
        <v>54.847159575606632</v>
      </c>
      <c r="G8" s="34">
        <f>'3a'!G8/'3a'!$I8*100</f>
        <v>27.424099317441954</v>
      </c>
      <c r="H8" s="34">
        <f>'3a'!H8/'3a'!$I8*100</f>
        <v>17.728741106951411</v>
      </c>
      <c r="I8" s="38">
        <f t="shared" si="1"/>
        <v>100</v>
      </c>
      <c r="J8" s="85">
        <f>'3a'!J8/'3a'!$M8*100</f>
        <v>20.849059811622293</v>
      </c>
      <c r="K8" s="86">
        <f>'3a'!K8/'3a'!$M8*100</f>
        <v>13.701021229328889</v>
      </c>
      <c r="L8" s="86">
        <f>'3a'!L8/'3a'!$M8*100</f>
        <v>65.449918959048816</v>
      </c>
      <c r="M8" s="202">
        <f t="shared" si="2"/>
        <v>100</v>
      </c>
    </row>
    <row r="9" spans="1:13">
      <c r="A9" s="28">
        <v>1984</v>
      </c>
      <c r="B9" s="37">
        <f>'3a'!B9/'3a'!$E9*100</f>
        <v>32.236327131464257</v>
      </c>
      <c r="C9" s="34">
        <f>'3a'!C9/'3a'!$E9*100</f>
        <v>53.872275132934263</v>
      </c>
      <c r="D9" s="34">
        <f>'3a'!D9/'3a'!$E9*100</f>
        <v>13.891397735601469</v>
      </c>
      <c r="E9" s="38">
        <f t="shared" si="0"/>
        <v>99.999999999999986</v>
      </c>
      <c r="F9" s="37">
        <f>'3a'!F9/'3a'!$I9*100</f>
        <v>52.154920366048053</v>
      </c>
      <c r="G9" s="34">
        <f>'3a'!G9/'3a'!$I9*100</f>
        <v>30.261297513473508</v>
      </c>
      <c r="H9" s="34">
        <f>'3a'!H9/'3a'!$I9*100</f>
        <v>17.583782120478446</v>
      </c>
      <c r="I9" s="38">
        <f t="shared" si="1"/>
        <v>100</v>
      </c>
      <c r="J9" s="85">
        <f>'3a'!J9/'3a'!$M9*100</f>
        <v>21.782593645432328</v>
      </c>
      <c r="K9" s="86">
        <f>'3a'!K9/'3a'!$M9*100</f>
        <v>15.442711338151533</v>
      </c>
      <c r="L9" s="86">
        <f>'3a'!L9/'3a'!$M9*100</f>
        <v>62.774695016416146</v>
      </c>
      <c r="M9" s="202">
        <f t="shared" si="2"/>
        <v>100</v>
      </c>
    </row>
    <row r="10" spans="1:13">
      <c r="A10" s="28">
        <v>1985</v>
      </c>
      <c r="B10" s="37">
        <f>'3a'!B10/'3a'!$E10*100</f>
        <v>39.136779792191533</v>
      </c>
      <c r="C10" s="34">
        <f>'3a'!C10/'3a'!$E10*100</f>
        <v>40.211019447051655</v>
      </c>
      <c r="D10" s="34">
        <f>'3a'!D10/'3a'!$E10*100</f>
        <v>20.652200760756802</v>
      </c>
      <c r="E10" s="38">
        <f t="shared" si="0"/>
        <v>99.999999999999986</v>
      </c>
      <c r="F10" s="37">
        <f>'3a'!F10/'3a'!$I10*100</f>
        <v>43.347670312192705</v>
      </c>
      <c r="G10" s="34">
        <f>'3a'!G10/'3a'!$I10*100</f>
        <v>35.740805664104244</v>
      </c>
      <c r="H10" s="34">
        <f>'3a'!H10/'3a'!$I10*100</f>
        <v>20.911524023703045</v>
      </c>
      <c r="I10" s="38">
        <f t="shared" si="1"/>
        <v>100</v>
      </c>
      <c r="J10" s="85">
        <f>'3a'!J10/'3a'!$M10*100</f>
        <v>21.711664807239369</v>
      </c>
      <c r="K10" s="86">
        <f>'3a'!K10/'3a'!$M10*100</f>
        <v>17.611007809594646</v>
      </c>
      <c r="L10" s="86">
        <f>'3a'!L10/'3a'!$M10*100</f>
        <v>60.677327383165988</v>
      </c>
      <c r="M10" s="202">
        <f t="shared" si="2"/>
        <v>100</v>
      </c>
    </row>
    <row r="11" spans="1:13">
      <c r="A11" s="28">
        <v>1986</v>
      </c>
      <c r="B11" s="37">
        <f>'3a'!B11/'3a'!$E11*100</f>
        <v>34.835247541792178</v>
      </c>
      <c r="C11" s="34">
        <f>'3a'!C11/'3a'!$E11*100</f>
        <v>45.328797182032396</v>
      </c>
      <c r="D11" s="34">
        <f>'3a'!D11/'3a'!$E11*100</f>
        <v>19.835955276175415</v>
      </c>
      <c r="E11" s="38">
        <f t="shared" si="0"/>
        <v>99.999999999999986</v>
      </c>
      <c r="F11" s="37">
        <f>'3a'!F11/'3a'!$I11*100</f>
        <v>38.442200524023008</v>
      </c>
      <c r="G11" s="34">
        <f>'3a'!G11/'3a'!$I11*100</f>
        <v>37.422935739653902</v>
      </c>
      <c r="H11" s="34">
        <f>'3a'!H11/'3a'!$I11*100</f>
        <v>24.134863736323105</v>
      </c>
      <c r="I11" s="38">
        <f t="shared" si="1"/>
        <v>100</v>
      </c>
      <c r="J11" s="85">
        <f>'3a'!J11/'3a'!$M11*100</f>
        <v>21.405405908437366</v>
      </c>
      <c r="K11" s="86">
        <f>'3a'!K11/'3a'!$M11*100</f>
        <v>19.486024577387127</v>
      </c>
      <c r="L11" s="86">
        <f>'3a'!L11/'3a'!$M11*100</f>
        <v>59.1085695141755</v>
      </c>
      <c r="M11" s="202">
        <f t="shared" si="2"/>
        <v>100</v>
      </c>
    </row>
    <row r="12" spans="1:13">
      <c r="A12" s="28">
        <v>1987</v>
      </c>
      <c r="B12" s="37">
        <f>'3a'!B12/'3a'!$E12*100</f>
        <v>29.400486008566499</v>
      </c>
      <c r="C12" s="34">
        <f>'3a'!C12/'3a'!$E12*100</f>
        <v>50.089910174446906</v>
      </c>
      <c r="D12" s="34">
        <f>'3a'!D12/'3a'!$E12*100</f>
        <v>20.509603816986605</v>
      </c>
      <c r="E12" s="38">
        <f t="shared" si="0"/>
        <v>100</v>
      </c>
      <c r="F12" s="37">
        <f>'3a'!F12/'3a'!$I12*100</f>
        <v>38.36828396665554</v>
      </c>
      <c r="G12" s="34">
        <f>'3a'!G12/'3a'!$I12*100</f>
        <v>38.712044108682996</v>
      </c>
      <c r="H12" s="34">
        <f>'3a'!H12/'3a'!$I12*100</f>
        <v>22.919671924661454</v>
      </c>
      <c r="I12" s="38">
        <f t="shared" si="1"/>
        <v>100</v>
      </c>
      <c r="J12" s="85">
        <f>'3a'!J12/'3a'!$M12*100</f>
        <v>23.237041555598267</v>
      </c>
      <c r="K12" s="86">
        <f>'3a'!K12/'3a'!$M12*100</f>
        <v>20.794511619356403</v>
      </c>
      <c r="L12" s="86">
        <f>'3a'!L12/'3a'!$M12*100</f>
        <v>55.968446825045334</v>
      </c>
      <c r="M12" s="202">
        <f t="shared" si="2"/>
        <v>100</v>
      </c>
    </row>
    <row r="13" spans="1:13">
      <c r="A13" s="28">
        <v>1988</v>
      </c>
      <c r="B13" s="37">
        <f>'3a'!B13/'3a'!$E13*100</f>
        <v>24.215112566853499</v>
      </c>
      <c r="C13" s="34">
        <f>'3a'!C13/'3a'!$E13*100</f>
        <v>60.440462940603645</v>
      </c>
      <c r="D13" s="34">
        <f>'3a'!D13/'3a'!$E13*100</f>
        <v>15.344424492542853</v>
      </c>
      <c r="E13" s="38">
        <f t="shared" si="0"/>
        <v>100</v>
      </c>
      <c r="F13" s="37">
        <f>'3a'!F13/'3a'!$I13*100</f>
        <v>39.277212914289613</v>
      </c>
      <c r="G13" s="34">
        <f>'3a'!G13/'3a'!$I13*100</f>
        <v>39.406998894090947</v>
      </c>
      <c r="H13" s="34">
        <f>'3a'!H13/'3a'!$I13*100</f>
        <v>21.31578819161945</v>
      </c>
      <c r="I13" s="38">
        <f t="shared" si="1"/>
        <v>100</v>
      </c>
      <c r="J13" s="85">
        <f>'3a'!J13/'3a'!$M13*100</f>
        <v>22.450930337009638</v>
      </c>
      <c r="K13" s="86">
        <f>'3a'!K13/'3a'!$M13*100</f>
        <v>22.98452573350173</v>
      </c>
      <c r="L13" s="86">
        <f>'3a'!L13/'3a'!$M13*100</f>
        <v>54.564543929488643</v>
      </c>
      <c r="M13" s="202">
        <f t="shared" si="2"/>
        <v>100</v>
      </c>
    </row>
    <row r="14" spans="1:13">
      <c r="A14" s="28">
        <v>1989</v>
      </c>
      <c r="B14" s="37">
        <f>'3a'!B14/'3a'!$E14*100</f>
        <v>23.922064919776119</v>
      </c>
      <c r="C14" s="34">
        <f>'3a'!C14/'3a'!$E14*100</f>
        <v>62.557019913713319</v>
      </c>
      <c r="D14" s="34">
        <f>'3a'!D14/'3a'!$E14*100</f>
        <v>13.520915166510564</v>
      </c>
      <c r="E14" s="38">
        <f t="shared" si="0"/>
        <v>100</v>
      </c>
      <c r="F14" s="37">
        <f>'3a'!F14/'3a'!$I14*100</f>
        <v>34.065844194788319</v>
      </c>
      <c r="G14" s="34">
        <f>'3a'!G14/'3a'!$I14*100</f>
        <v>40.691256011283997</v>
      </c>
      <c r="H14" s="34">
        <f>'3a'!H14/'3a'!$I14*100</f>
        <v>25.242899793927688</v>
      </c>
      <c r="I14" s="38">
        <f t="shared" si="1"/>
        <v>100.00000000000001</v>
      </c>
      <c r="J14" s="85">
        <f>'3a'!J14/'3a'!$M14*100</f>
        <v>21.505890129945719</v>
      </c>
      <c r="K14" s="86">
        <f>'3a'!K14/'3a'!$M14*100</f>
        <v>24.955181841370667</v>
      </c>
      <c r="L14" s="86">
        <f>'3a'!L14/'3a'!$M14*100</f>
        <v>53.538928028683628</v>
      </c>
      <c r="M14" s="202">
        <f t="shared" si="2"/>
        <v>100.00000000000001</v>
      </c>
    </row>
    <row r="15" spans="1:13">
      <c r="A15" s="28">
        <v>1990</v>
      </c>
      <c r="B15" s="37">
        <f>'3a'!B15/'3a'!$E15*100</f>
        <v>14.416714770439409</v>
      </c>
      <c r="C15" s="34">
        <f>'3a'!C15/'3a'!$E15*100</f>
        <v>72.87454066763344</v>
      </c>
      <c r="D15" s="34">
        <f>'3a'!D15/'3a'!$E15*100</f>
        <v>12.708744561927151</v>
      </c>
      <c r="E15" s="38">
        <f t="shared" si="0"/>
        <v>100</v>
      </c>
      <c r="F15" s="37">
        <f>'3a'!F15/'3a'!$I15*100</f>
        <v>32.567795623519523</v>
      </c>
      <c r="G15" s="34">
        <f>'3a'!G15/'3a'!$I15*100</f>
        <v>43.47374296691472</v>
      </c>
      <c r="H15" s="34">
        <f>'3a'!H15/'3a'!$I15*100</f>
        <v>23.958461409565757</v>
      </c>
      <c r="I15" s="38">
        <f t="shared" si="1"/>
        <v>100</v>
      </c>
      <c r="J15" s="85">
        <f>'3a'!J15/'3a'!$M15*100</f>
        <v>20.055738064314685</v>
      </c>
      <c r="K15" s="86">
        <f>'3a'!K15/'3a'!$M15*100</f>
        <v>26.607451893532989</v>
      </c>
      <c r="L15" s="86">
        <f>'3a'!L15/'3a'!$M15*100</f>
        <v>53.336810042152329</v>
      </c>
      <c r="M15" s="202">
        <f t="shared" si="2"/>
        <v>100</v>
      </c>
    </row>
    <row r="16" spans="1:13">
      <c r="A16" s="28">
        <v>1991</v>
      </c>
      <c r="B16" s="37">
        <f>'3a'!B16/'3a'!$E16*100</f>
        <v>12.13392454132703</v>
      </c>
      <c r="C16" s="34">
        <f>'3a'!C16/'3a'!$E16*100</f>
        <v>74.848718177714815</v>
      </c>
      <c r="D16" s="34">
        <f>'3a'!D16/'3a'!$E16*100</f>
        <v>13.01735728095816</v>
      </c>
      <c r="E16" s="38">
        <f t="shared" si="0"/>
        <v>100.00000000000001</v>
      </c>
      <c r="F16" s="37">
        <f>'3a'!F16/'3a'!$I16*100</f>
        <v>31.987876017908313</v>
      </c>
      <c r="G16" s="34">
        <f>'3a'!G16/'3a'!$I16*100</f>
        <v>45.445274988819598</v>
      </c>
      <c r="H16" s="34">
        <f>'3a'!H16/'3a'!$I16*100</f>
        <v>22.566848993272099</v>
      </c>
      <c r="I16" s="38">
        <f t="shared" si="1"/>
        <v>100.00000000000001</v>
      </c>
      <c r="J16" s="85">
        <f>'3a'!J16/'3a'!$M16*100</f>
        <v>17.659595624792839</v>
      </c>
      <c r="K16" s="86">
        <f>'3a'!K16/'3a'!$M16*100</f>
        <v>29.4739807756049</v>
      </c>
      <c r="L16" s="86">
        <f>'3a'!L16/'3a'!$M16*100</f>
        <v>52.86642359960225</v>
      </c>
      <c r="M16" s="202">
        <f t="shared" si="2"/>
        <v>100</v>
      </c>
    </row>
    <row r="17" spans="1:13">
      <c r="A17" s="28">
        <v>1992</v>
      </c>
      <c r="B17" s="37">
        <f>'3a'!B17/'3a'!$E17*100</f>
        <v>18.346246292855014</v>
      </c>
      <c r="C17" s="34">
        <f>'3a'!C17/'3a'!$E17*100</f>
        <v>72.201551233058296</v>
      </c>
      <c r="D17" s="34">
        <f>'3a'!D17/'3a'!$E17*100</f>
        <v>9.4522024740866879</v>
      </c>
      <c r="E17" s="38">
        <f t="shared" si="0"/>
        <v>100</v>
      </c>
      <c r="F17" s="37">
        <f>'3a'!F17/'3a'!$I17*100</f>
        <v>34.43845971411298</v>
      </c>
      <c r="G17" s="34">
        <f>'3a'!G17/'3a'!$I17*100</f>
        <v>44.253128045963471</v>
      </c>
      <c r="H17" s="34">
        <f>'3a'!H17/'3a'!$I17*100</f>
        <v>21.308412239923559</v>
      </c>
      <c r="I17" s="38">
        <f t="shared" si="1"/>
        <v>100.00000000000001</v>
      </c>
      <c r="J17" s="85">
        <f>'3a'!J17/'3a'!$M17*100</f>
        <v>18.39652517324458</v>
      </c>
      <c r="K17" s="86">
        <f>'3a'!K17/'3a'!$M17*100</f>
        <v>29.071868557661261</v>
      </c>
      <c r="L17" s="86">
        <f>'3a'!L17/'3a'!$M17*100</f>
        <v>52.531606269094155</v>
      </c>
      <c r="M17" s="202">
        <f t="shared" si="2"/>
        <v>100</v>
      </c>
    </row>
    <row r="18" spans="1:13">
      <c r="A18" s="28">
        <v>1993</v>
      </c>
      <c r="B18" s="37">
        <f>'3a'!B18/'3a'!$E18*100</f>
        <v>31.522264431788532</v>
      </c>
      <c r="C18" s="34">
        <f>'3a'!C18/'3a'!$E18*100</f>
        <v>61.558368517855321</v>
      </c>
      <c r="D18" s="34">
        <f>'3a'!D18/'3a'!$E18*100</f>
        <v>6.9193670503561648</v>
      </c>
      <c r="E18" s="38">
        <f t="shared" si="0"/>
        <v>100.00000000000003</v>
      </c>
      <c r="F18" s="37">
        <f>'3a'!F18/'3a'!$I18*100</f>
        <v>28.301680920082571</v>
      </c>
      <c r="G18" s="34">
        <f>'3a'!G18/'3a'!$I18*100</f>
        <v>52.342524329106467</v>
      </c>
      <c r="H18" s="34">
        <f>'3a'!H18/'3a'!$I18*100</f>
        <v>19.355794750810968</v>
      </c>
      <c r="I18" s="38">
        <f t="shared" si="1"/>
        <v>100.00000000000001</v>
      </c>
      <c r="J18" s="85">
        <f>'3a'!J18/'3a'!$M18*100</f>
        <v>18.26620429008598</v>
      </c>
      <c r="K18" s="86">
        <f>'3a'!K18/'3a'!$M18*100</f>
        <v>31.370853387607255</v>
      </c>
      <c r="L18" s="86">
        <f>'3a'!L18/'3a'!$M18*100</f>
        <v>50.36294232230675</v>
      </c>
      <c r="M18" s="202">
        <f t="shared" si="2"/>
        <v>99.999999999999986</v>
      </c>
    </row>
    <row r="19" spans="1:13">
      <c r="A19" s="28">
        <v>1994</v>
      </c>
      <c r="B19" s="37">
        <f>'3a'!B19/'3a'!$E19*100</f>
        <v>22.305106036751742</v>
      </c>
      <c r="C19" s="34">
        <f>'3a'!C19/'3a'!$E19*100</f>
        <v>69.780662243791298</v>
      </c>
      <c r="D19" s="34">
        <f>'3a'!D19/'3a'!$E19*100</f>
        <v>7.9142317194569722</v>
      </c>
      <c r="E19" s="38">
        <f t="shared" si="0"/>
        <v>100.00000000000001</v>
      </c>
      <c r="F19" s="37">
        <f>'3a'!F19/'3a'!$I19*100</f>
        <v>29.216952648101437</v>
      </c>
      <c r="G19" s="34">
        <f>'3a'!G19/'3a'!$I19*100</f>
        <v>55.349476264064599</v>
      </c>
      <c r="H19" s="34">
        <f>'3a'!H19/'3a'!$I19*100</f>
        <v>15.433571087833958</v>
      </c>
      <c r="I19" s="38">
        <f t="shared" si="1"/>
        <v>99.999999999999986</v>
      </c>
      <c r="J19" s="85">
        <f>'3a'!J19/'3a'!$M19*100</f>
        <v>19.140203186636402</v>
      </c>
      <c r="K19" s="86">
        <f>'3a'!K19/'3a'!$M19*100</f>
        <v>34.269288406020671</v>
      </c>
      <c r="L19" s="86">
        <f>'3a'!L19/'3a'!$M19*100</f>
        <v>46.590508407342924</v>
      </c>
      <c r="M19" s="202">
        <f t="shared" si="2"/>
        <v>100</v>
      </c>
    </row>
    <row r="20" spans="1:13">
      <c r="A20" s="28">
        <v>1995</v>
      </c>
      <c r="B20" s="37">
        <f>'3a'!B20/'3a'!$E20*100</f>
        <v>17.670531166784059</v>
      </c>
      <c r="C20" s="34">
        <f>'3a'!C20/'3a'!$E20*100</f>
        <v>75.016416127550727</v>
      </c>
      <c r="D20" s="34">
        <f>'3a'!D20/'3a'!$E20*100</f>
        <v>7.3130527056652044</v>
      </c>
      <c r="E20" s="38">
        <f t="shared" si="0"/>
        <v>99.999999999999986</v>
      </c>
      <c r="F20" s="37">
        <f>'3a'!F20/'3a'!$I20*100</f>
        <v>38.774447638212386</v>
      </c>
      <c r="G20" s="34">
        <f>'3a'!G20/'3a'!$I20*100</f>
        <v>51.351326825306444</v>
      </c>
      <c r="H20" s="34">
        <f>'3a'!H20/'3a'!$I20*100</f>
        <v>9.8742255364811751</v>
      </c>
      <c r="I20" s="38">
        <f t="shared" si="1"/>
        <v>100.00000000000001</v>
      </c>
      <c r="J20" s="85">
        <f>'3a'!J20/'3a'!$M20*100</f>
        <v>20.360640430911879</v>
      </c>
      <c r="K20" s="86">
        <f>'3a'!K20/'3a'!$M20*100</f>
        <v>36.065932108710257</v>
      </c>
      <c r="L20" s="86">
        <f>'3a'!L20/'3a'!$M20*100</f>
        <v>43.573427460377857</v>
      </c>
      <c r="M20" s="202">
        <f t="shared" si="2"/>
        <v>100</v>
      </c>
    </row>
    <row r="21" spans="1:13">
      <c r="A21" s="28">
        <v>1996</v>
      </c>
      <c r="B21" s="37">
        <f>'3a'!B21/'3a'!$E21*100</f>
        <v>17.010924143662741</v>
      </c>
      <c r="C21" s="34">
        <f>'3a'!C21/'3a'!$E21*100</f>
        <v>74.947297200105496</v>
      </c>
      <c r="D21" s="34">
        <f>'3a'!D21/'3a'!$E21*100</f>
        <v>8.0417786562317701</v>
      </c>
      <c r="E21" s="38">
        <f t="shared" si="0"/>
        <v>100</v>
      </c>
      <c r="F21" s="37">
        <f>'3a'!F21/'3a'!$I21*100</f>
        <v>44.568109532983236</v>
      </c>
      <c r="G21" s="34">
        <f>'3a'!G21/'3a'!$I21*100</f>
        <v>49.145129552701817</v>
      </c>
      <c r="H21" s="34">
        <f>'3a'!H21/'3a'!$I21*100</f>
        <v>6.2867609143149439</v>
      </c>
      <c r="I21" s="38">
        <f t="shared" si="1"/>
        <v>99.999999999999986</v>
      </c>
      <c r="J21" s="85">
        <f>'3a'!J21/'3a'!$M21*100</f>
        <v>19.329747875078677</v>
      </c>
      <c r="K21" s="86">
        <f>'3a'!K21/'3a'!$M21*100</f>
        <v>37.898054948597625</v>
      </c>
      <c r="L21" s="86">
        <f>'3a'!L21/'3a'!$M21*100</f>
        <v>42.772197176323687</v>
      </c>
      <c r="M21" s="202">
        <f t="shared" si="2"/>
        <v>99.999999999999986</v>
      </c>
    </row>
    <row r="22" spans="1:13">
      <c r="A22" s="28">
        <v>1997</v>
      </c>
      <c r="B22" s="37">
        <f>'3a'!B22/'3a'!$E22*100</f>
        <v>28.429202977717932</v>
      </c>
      <c r="C22" s="34">
        <f>'3a'!C22/'3a'!$E22*100</f>
        <v>60.783778805355816</v>
      </c>
      <c r="D22" s="34">
        <f>'3a'!D22/'3a'!$E22*100</f>
        <v>10.787018216926242</v>
      </c>
      <c r="E22" s="38">
        <f t="shared" si="0"/>
        <v>99.999999999999986</v>
      </c>
      <c r="F22" s="37">
        <f>'3a'!F22/'3a'!$I22*100</f>
        <v>43.720167945272657</v>
      </c>
      <c r="G22" s="34">
        <f>'3a'!G22/'3a'!$I22*100</f>
        <v>52.468985672606792</v>
      </c>
      <c r="H22" s="34">
        <f>'3a'!H22/'3a'!$I22*100</f>
        <v>3.8108463821205336</v>
      </c>
      <c r="I22" s="38">
        <f t="shared" si="1"/>
        <v>99.999999999999972</v>
      </c>
      <c r="J22" s="85">
        <f>'3a'!J22/'3a'!$M22*100</f>
        <v>20.019163517107142</v>
      </c>
      <c r="K22" s="86">
        <f>'3a'!K22/'3a'!$M22*100</f>
        <v>38.321248128201148</v>
      </c>
      <c r="L22" s="86">
        <f>'3a'!L22/'3a'!$M22*100</f>
        <v>41.659588354691699</v>
      </c>
      <c r="M22" s="202">
        <f t="shared" si="2"/>
        <v>100</v>
      </c>
    </row>
    <row r="23" spans="1:13">
      <c r="A23" s="28">
        <v>1998</v>
      </c>
      <c r="B23" s="37">
        <f>'3a'!B23/'3a'!$E23*100</f>
        <v>34.09033220702787</v>
      </c>
      <c r="C23" s="34">
        <f>'3a'!C23/'3a'!$E23*100</f>
        <v>58.11468337497864</v>
      </c>
      <c r="D23" s="34">
        <f>'3a'!D23/'3a'!$E23*100</f>
        <v>7.7949844179934775</v>
      </c>
      <c r="E23" s="38">
        <f t="shared" si="0"/>
        <v>99.999999999999986</v>
      </c>
      <c r="F23" s="37">
        <f>'3a'!F23/'3a'!$I23*100</f>
        <v>52.683282269656985</v>
      </c>
      <c r="G23" s="34">
        <f>'3a'!G23/'3a'!$I23*100</f>
        <v>43.740149530099124</v>
      </c>
      <c r="H23" s="34">
        <f>'3a'!H23/'3a'!$I23*100</f>
        <v>3.5765682002438992</v>
      </c>
      <c r="I23" s="38">
        <f t="shared" si="1"/>
        <v>100.00000000000001</v>
      </c>
      <c r="J23" s="85">
        <f>'3a'!J23/'3a'!$M23*100</f>
        <v>22.18318991901431</v>
      </c>
      <c r="K23" s="86">
        <f>'3a'!K23/'3a'!$M23*100</f>
        <v>38.630982887804841</v>
      </c>
      <c r="L23" s="86">
        <f>'3a'!L23/'3a'!$M23*100</f>
        <v>39.185827193180849</v>
      </c>
      <c r="M23" s="202">
        <f t="shared" si="2"/>
        <v>100</v>
      </c>
    </row>
    <row r="24" spans="1:13">
      <c r="A24" s="28">
        <v>1999</v>
      </c>
      <c r="B24" s="37">
        <f>'3a'!B24/'3a'!$E24*100</f>
        <v>28.425431917898099</v>
      </c>
      <c r="C24" s="34">
        <f>'3a'!C24/'3a'!$E24*100</f>
        <v>65.364304707776782</v>
      </c>
      <c r="D24" s="34">
        <f>'3a'!D24/'3a'!$E24*100</f>
        <v>6.2102633743251312</v>
      </c>
      <c r="E24" s="38">
        <f t="shared" si="0"/>
        <v>100.00000000000001</v>
      </c>
      <c r="F24" s="37">
        <f>'3a'!F24/'3a'!$I24*100</f>
        <v>40.84534651039327</v>
      </c>
      <c r="G24" s="34">
        <f>'3a'!G24/'3a'!$I24*100</f>
        <v>55.170907011883862</v>
      </c>
      <c r="H24" s="34">
        <f>'3a'!H24/'3a'!$I24*100</f>
        <v>3.9837464777228742</v>
      </c>
      <c r="I24" s="38">
        <f t="shared" si="1"/>
        <v>100.00000000000001</v>
      </c>
      <c r="J24" s="85">
        <f>'3a'!J24/'3a'!$M24*100</f>
        <v>22.808435906759406</v>
      </c>
      <c r="K24" s="86">
        <f>'3a'!K24/'3a'!$M24*100</f>
        <v>39.390709980890783</v>
      </c>
      <c r="L24" s="86">
        <f>'3a'!L24/'3a'!$M24*100</f>
        <v>37.800854112349811</v>
      </c>
      <c r="M24" s="202">
        <f t="shared" si="2"/>
        <v>100</v>
      </c>
    </row>
    <row r="25" spans="1:13">
      <c r="A25" s="28">
        <v>2000</v>
      </c>
      <c r="B25" s="37">
        <f>'3a'!B25/'3a'!$E25*100</f>
        <v>16.795943438281725</v>
      </c>
      <c r="C25" s="34">
        <f>'3a'!C25/'3a'!$E25*100</f>
        <v>78.395680329303858</v>
      </c>
      <c r="D25" s="34">
        <f>'3a'!D25/'3a'!$E25*100</f>
        <v>4.808376232414421</v>
      </c>
      <c r="E25" s="38">
        <f t="shared" si="0"/>
        <v>100</v>
      </c>
      <c r="F25" s="37">
        <f>'3a'!F25/'3a'!$I25*100</f>
        <v>31.25498021173772</v>
      </c>
      <c r="G25" s="34">
        <f>'3a'!G25/'3a'!$I25*100</f>
        <v>62.136834010620021</v>
      </c>
      <c r="H25" s="34">
        <f>'3a'!H25/'3a'!$I25*100</f>
        <v>6.6081857776422472</v>
      </c>
      <c r="I25" s="38">
        <f t="shared" si="1"/>
        <v>99.999999999999986</v>
      </c>
      <c r="J25" s="85">
        <f>'3a'!J25/'3a'!$M25*100</f>
        <v>23.364774360952346</v>
      </c>
      <c r="K25" s="86">
        <f>'3a'!K25/'3a'!$M25*100</f>
        <v>39.393562186612435</v>
      </c>
      <c r="L25" s="86">
        <f>'3a'!L25/'3a'!$M25*100</f>
        <v>37.241663452435219</v>
      </c>
      <c r="M25" s="202">
        <f t="shared" si="2"/>
        <v>100</v>
      </c>
    </row>
    <row r="26" spans="1:13">
      <c r="A26" s="28">
        <v>2001</v>
      </c>
      <c r="B26" s="37">
        <f>'3a'!B26/'3a'!$E26*100</f>
        <v>10.244732576658388</v>
      </c>
      <c r="C26" s="34">
        <f>'3a'!C26/'3a'!$E26*100</f>
        <v>85.719699086820555</v>
      </c>
      <c r="D26" s="34">
        <f>'3a'!D26/'3a'!$E26*100</f>
        <v>4.0355683365210639</v>
      </c>
      <c r="E26" s="38">
        <f t="shared" si="0"/>
        <v>100.00000000000001</v>
      </c>
      <c r="F26" s="37">
        <f>'3a'!F26/'3a'!$I26*100</f>
        <v>19.810779115591696</v>
      </c>
      <c r="G26" s="34">
        <f>'3a'!G26/'3a'!$I26*100</f>
        <v>73.854583912005552</v>
      </c>
      <c r="H26" s="34">
        <f>'3a'!H26/'3a'!$I26*100</f>
        <v>6.3346369724027571</v>
      </c>
      <c r="I26" s="38">
        <f t="shared" si="1"/>
        <v>100.00000000000001</v>
      </c>
      <c r="J26" s="85">
        <f>'3a'!J26/'3a'!$M26*100</f>
        <v>21.709113401114667</v>
      </c>
      <c r="K26" s="86">
        <f>'3a'!K26/'3a'!$M26*100</f>
        <v>40.042230713574369</v>
      </c>
      <c r="L26" s="86">
        <f>'3a'!L26/'3a'!$M26*100</f>
        <v>38.248655885310967</v>
      </c>
      <c r="M26" s="202">
        <f t="shared" si="2"/>
        <v>100</v>
      </c>
    </row>
    <row r="27" spans="1:13">
      <c r="A27" s="28">
        <v>2002</v>
      </c>
      <c r="B27" s="37">
        <f>'3a'!B27/'3a'!$E27*100</f>
        <v>12.275763734672314</v>
      </c>
      <c r="C27" s="34">
        <f>'3a'!C27/'3a'!$E27*100</f>
        <v>83.597654621237311</v>
      </c>
      <c r="D27" s="34">
        <f>'3a'!D27/'3a'!$E27*100</f>
        <v>4.1265816440903755</v>
      </c>
      <c r="E27" s="38">
        <f t="shared" si="0"/>
        <v>100</v>
      </c>
      <c r="F27" s="37">
        <f>'3a'!F27/'3a'!$I27*100</f>
        <v>13.565031547999466</v>
      </c>
      <c r="G27" s="34">
        <f>'3a'!G27/'3a'!$I27*100</f>
        <v>79.654511275029506</v>
      </c>
      <c r="H27" s="34">
        <f>'3a'!H27/'3a'!$I27*100</f>
        <v>6.7804571769710344</v>
      </c>
      <c r="I27" s="38">
        <f t="shared" si="1"/>
        <v>100.00000000000001</v>
      </c>
      <c r="J27" s="85">
        <f>'3a'!J27/'3a'!$M27*100</f>
        <v>21.657532510988599</v>
      </c>
      <c r="K27" s="86">
        <f>'3a'!K27/'3a'!$M27*100</f>
        <v>40.030992238945615</v>
      </c>
      <c r="L27" s="86">
        <f>'3a'!L27/'3a'!$M27*100</f>
        <v>38.311475250065783</v>
      </c>
      <c r="M27" s="202">
        <f t="shared" si="2"/>
        <v>100</v>
      </c>
    </row>
    <row r="28" spans="1:13">
      <c r="A28" s="28">
        <v>2003</v>
      </c>
      <c r="B28" s="37">
        <f>'3a'!B28/'3a'!$E28*100</f>
        <v>19.680623795812245</v>
      </c>
      <c r="C28" s="34">
        <f>'3a'!C28/'3a'!$E28*100</f>
        <v>74.878135373246863</v>
      </c>
      <c r="D28" s="34">
        <f>'3a'!D28/'3a'!$E28*100</f>
        <v>5.4412408309408917</v>
      </c>
      <c r="E28" s="38">
        <f t="shared" si="0"/>
        <v>100</v>
      </c>
      <c r="F28" s="37">
        <f>'3a'!F28/'3a'!$I28*100</f>
        <v>14.464253325426082</v>
      </c>
      <c r="G28" s="34">
        <f>'3a'!G28/'3a'!$I28*100</f>
        <v>79.037638911815833</v>
      </c>
      <c r="H28" s="34">
        <f>'3a'!H28/'3a'!$I28*100</f>
        <v>6.4981077627580781</v>
      </c>
      <c r="I28" s="38">
        <f t="shared" si="1"/>
        <v>100</v>
      </c>
      <c r="J28" s="85">
        <f>'3a'!J28/'3a'!$M28*100</f>
        <v>22.87805811887042</v>
      </c>
      <c r="K28" s="86">
        <f>'3a'!K28/'3a'!$M28*100</f>
        <v>41.365435993176042</v>
      </c>
      <c r="L28" s="86">
        <f>'3a'!L28/'3a'!$M28*100</f>
        <v>35.756505887953537</v>
      </c>
      <c r="M28" s="202">
        <f t="shared" si="2"/>
        <v>100</v>
      </c>
    </row>
    <row r="29" spans="1:13">
      <c r="A29" s="28">
        <v>2004</v>
      </c>
      <c r="B29" s="37">
        <f>'3a'!B29/'3a'!$E29*100</f>
        <v>22.602758131867851</v>
      </c>
      <c r="C29" s="34">
        <f>'3a'!C29/'3a'!$E29*100</f>
        <v>71.360569826194464</v>
      </c>
      <c r="D29" s="34">
        <f>'3a'!D29/'3a'!$E29*100</f>
        <v>6.0366720419376785</v>
      </c>
      <c r="E29" s="38">
        <f t="shared" si="0"/>
        <v>99.999999999999986</v>
      </c>
      <c r="F29" s="37">
        <f>'3a'!F29/'3a'!$I29*100</f>
        <v>11.782460386060787</v>
      </c>
      <c r="G29" s="34">
        <f>'3a'!G29/'3a'!$I29*100</f>
        <v>83.019949294497934</v>
      </c>
      <c r="H29" s="34">
        <f>'3a'!H29/'3a'!$I29*100</f>
        <v>5.1975903194412609</v>
      </c>
      <c r="I29" s="38">
        <f t="shared" si="1"/>
        <v>99.999999999999986</v>
      </c>
      <c r="J29" s="85">
        <f>'3a'!J29/'3a'!$M29*100</f>
        <v>23.918790224460537</v>
      </c>
      <c r="K29" s="86">
        <f>'3a'!K29/'3a'!$M29*100</f>
        <v>43.300413809932117</v>
      </c>
      <c r="L29" s="86">
        <f>'3a'!L29/'3a'!$M29*100</f>
        <v>32.780795965607339</v>
      </c>
      <c r="M29" s="202">
        <f t="shared" si="2"/>
        <v>99.999999999999986</v>
      </c>
    </row>
    <row r="30" spans="1:13">
      <c r="A30" s="28">
        <v>2005</v>
      </c>
      <c r="B30" s="37">
        <f>'3a'!B30/'3a'!$E30*100</f>
        <v>23.771653397753155</v>
      </c>
      <c r="C30" s="34">
        <f>'3a'!C30/'3a'!$E30*100</f>
        <v>70.620358596319861</v>
      </c>
      <c r="D30" s="34">
        <f>'3a'!D30/'3a'!$E30*100</f>
        <v>5.6079880059269875</v>
      </c>
      <c r="E30" s="38">
        <f t="shared" si="0"/>
        <v>100</v>
      </c>
      <c r="F30" s="37">
        <f>'3a'!F30/'3a'!$I30*100</f>
        <v>11.479897439454859</v>
      </c>
      <c r="G30" s="34">
        <f>'3a'!G30/'3a'!$I30*100</f>
        <v>83.270444740303574</v>
      </c>
      <c r="H30" s="34">
        <f>'3a'!H30/'3a'!$I30*100</f>
        <v>5.2496578202415671</v>
      </c>
      <c r="I30" s="38">
        <f t="shared" si="1"/>
        <v>100</v>
      </c>
      <c r="J30" s="85">
        <f>'3a'!J30/'3a'!$M30*100</f>
        <v>24.561406387150228</v>
      </c>
      <c r="K30" s="86">
        <f>'3a'!K30/'3a'!$M30*100</f>
        <v>45.174690937728158</v>
      </c>
      <c r="L30" s="86">
        <f>'3a'!L30/'3a'!$M30*100</f>
        <v>30.263902675121617</v>
      </c>
      <c r="M30" s="202">
        <f t="shared" si="2"/>
        <v>100</v>
      </c>
    </row>
    <row r="31" spans="1:13">
      <c r="A31" s="28">
        <v>2006</v>
      </c>
      <c r="B31" s="37">
        <f>'3a'!B31/'3a'!$E31*100</f>
        <v>23.027481411387186</v>
      </c>
      <c r="C31" s="34">
        <f>'3a'!C31/'3a'!$E31*100</f>
        <v>70.468962708168462</v>
      </c>
      <c r="D31" s="34">
        <f>'3a'!D31/'3a'!$E31*100</f>
        <v>6.5035558804443632</v>
      </c>
      <c r="E31" s="38">
        <f t="shared" si="0"/>
        <v>100.00000000000001</v>
      </c>
      <c r="F31" s="37">
        <f>'3a'!F31/'3a'!$I31*100</f>
        <v>11.705921042157859</v>
      </c>
      <c r="G31" s="34">
        <f>'3a'!G31/'3a'!$I31*100</f>
        <v>82.894996015304486</v>
      </c>
      <c r="H31" s="34">
        <f>'3a'!H31/'3a'!$I31*100</f>
        <v>5.399082942537663</v>
      </c>
      <c r="I31" s="38">
        <f t="shared" si="1"/>
        <v>100</v>
      </c>
      <c r="J31" s="85">
        <f>'3a'!J31/'3a'!$M31*100</f>
        <v>26.027549190519935</v>
      </c>
      <c r="K31" s="86">
        <f>'3a'!K31/'3a'!$M31*100</f>
        <v>45.717035009778748</v>
      </c>
      <c r="L31" s="86">
        <f>'3a'!L31/'3a'!$M31*100</f>
        <v>28.255415799701321</v>
      </c>
      <c r="M31" s="202">
        <f t="shared" si="2"/>
        <v>100</v>
      </c>
    </row>
    <row r="32" spans="1:13">
      <c r="A32" s="28">
        <v>2007</v>
      </c>
      <c r="B32" s="37">
        <f>'3a'!B32/'3a'!$E32*100</f>
        <v>29.083088308682285</v>
      </c>
      <c r="C32" s="34">
        <f>'3a'!C32/'3a'!$E32*100</f>
        <v>61.360627297560313</v>
      </c>
      <c r="D32" s="34">
        <f>'3a'!D32/'3a'!$E32*100</f>
        <v>9.5562843937573856</v>
      </c>
      <c r="E32" s="38">
        <f t="shared" si="0"/>
        <v>99.999999999999972</v>
      </c>
      <c r="F32" s="37">
        <f>'3a'!F32/'3a'!$I32*100</f>
        <v>7.9332861608063148</v>
      </c>
      <c r="G32" s="34">
        <f>'3a'!G32/'3a'!$I32*100</f>
        <v>87.805140319696022</v>
      </c>
      <c r="H32" s="34">
        <f>'3a'!H32/'3a'!$I32*100</f>
        <v>4.2615735194976683</v>
      </c>
      <c r="I32" s="38">
        <f t="shared" si="1"/>
        <v>100.00000000000001</v>
      </c>
      <c r="J32" s="85">
        <f>'3a'!J32/'3a'!$M32*100</f>
        <v>26.076475527297216</v>
      </c>
      <c r="K32" s="86">
        <f>'3a'!K32/'3a'!$M32*100</f>
        <v>48.400232607128338</v>
      </c>
      <c r="L32" s="86">
        <f>'3a'!L32/'3a'!$M32*100</f>
        <v>25.523291865574443</v>
      </c>
      <c r="M32" s="202">
        <f t="shared" si="2"/>
        <v>100</v>
      </c>
    </row>
    <row r="33" spans="1:13">
      <c r="A33" s="28">
        <v>2008</v>
      </c>
      <c r="B33" s="37">
        <f>'3a'!B33/'3a'!$E33*100</f>
        <v>23.79024755376825</v>
      </c>
      <c r="C33" s="34">
        <f>'3a'!C33/'3a'!$E33*100</f>
        <v>67.255196800811134</v>
      </c>
      <c r="D33" s="34">
        <f>'3a'!D33/'3a'!$E33*100</f>
        <v>8.9545556454206263</v>
      </c>
      <c r="E33" s="38">
        <f t="shared" si="0"/>
        <v>100.00000000000001</v>
      </c>
      <c r="F33" s="37">
        <f>'3a'!F33/'3a'!$I33*100</f>
        <v>6.143945476899618</v>
      </c>
      <c r="G33" s="34">
        <f>'3a'!G33/'3a'!$I33*100</f>
        <v>89.858925909224013</v>
      </c>
      <c r="H33" s="34">
        <f>'3a'!H33/'3a'!$I33*100</f>
        <v>3.9971286138763675</v>
      </c>
      <c r="I33" s="38">
        <f t="shared" si="1"/>
        <v>100</v>
      </c>
      <c r="J33" s="85">
        <f>'3a'!J33/'3a'!$M33*100</f>
        <v>25.591058393653913</v>
      </c>
      <c r="K33" s="86">
        <f>'3a'!K33/'3a'!$M33*100</f>
        <v>49.740670092931168</v>
      </c>
      <c r="L33" s="86">
        <f>'3a'!L33/'3a'!$M33*100</f>
        <v>24.668271513414908</v>
      </c>
      <c r="M33" s="202">
        <f t="shared" si="2"/>
        <v>99.999999999999986</v>
      </c>
    </row>
    <row r="34" spans="1:13">
      <c r="A34" s="28">
        <v>2009</v>
      </c>
      <c r="B34" s="37">
        <f>'3a'!B34/'3a'!$E34*100</f>
        <v>23.430420658649336</v>
      </c>
      <c r="C34" s="34">
        <f>'3a'!C34/'3a'!$E34*100</f>
        <v>67.268804164157316</v>
      </c>
      <c r="D34" s="34">
        <f>'3a'!D34/'3a'!$E34*100</f>
        <v>9.3007751771933656</v>
      </c>
      <c r="E34" s="38">
        <f t="shared" si="0"/>
        <v>100.00000000000003</v>
      </c>
      <c r="F34" s="37">
        <f>'3a'!F34/'3a'!$I34*100</f>
        <v>6.5314473958232977</v>
      </c>
      <c r="G34" s="34">
        <f>'3a'!G34/'3a'!$I34*100</f>
        <v>90.061378949599714</v>
      </c>
      <c r="H34" s="34">
        <f>'3a'!H34/'3a'!$I34*100</f>
        <v>3.4071736545769995</v>
      </c>
      <c r="I34" s="38">
        <f t="shared" si="1"/>
        <v>100</v>
      </c>
      <c r="J34" s="85">
        <f>'3a'!J34/'3a'!$M34*100</f>
        <v>24.903684482279267</v>
      </c>
      <c r="K34" s="86">
        <f>'3a'!K34/'3a'!$M34*100</f>
        <v>50.256179418267507</v>
      </c>
      <c r="L34" s="86">
        <f>'3a'!L34/'3a'!$M34*100</f>
        <v>24.840136099453218</v>
      </c>
      <c r="M34" s="202">
        <f t="shared" si="2"/>
        <v>100</v>
      </c>
    </row>
    <row r="35" spans="1:13">
      <c r="A35" s="28">
        <v>2010</v>
      </c>
      <c r="B35" s="37">
        <f>'3a'!B35/'3a'!$E35*100</f>
        <v>22.789587105026492</v>
      </c>
      <c r="C35" s="34">
        <f>'3a'!C35/'3a'!$E35*100</f>
        <v>67.049279849033056</v>
      </c>
      <c r="D35" s="34">
        <f>'3a'!D35/'3a'!$E35*100</f>
        <v>10.161133045940463</v>
      </c>
      <c r="E35" s="38">
        <f t="shared" si="0"/>
        <v>100</v>
      </c>
      <c r="F35" s="37">
        <f>'3a'!F35/'3a'!$I35*100</f>
        <v>7.5186758154348787</v>
      </c>
      <c r="G35" s="34">
        <f>'3a'!G35/'3a'!$I35*100</f>
        <v>89.324429816926099</v>
      </c>
      <c r="H35" s="34">
        <f>'3a'!H35/'3a'!$I35*100</f>
        <v>3.1568943676390235</v>
      </c>
      <c r="I35" s="38">
        <f t="shared" si="1"/>
        <v>100</v>
      </c>
      <c r="J35" s="85">
        <f>'3a'!J35/'3a'!$M35*100</f>
        <v>23.851284849262896</v>
      </c>
      <c r="K35" s="86">
        <f>'3a'!K35/'3a'!$M35*100</f>
        <v>51.903737937822278</v>
      </c>
      <c r="L35" s="86">
        <f>'3a'!L35/'3a'!$M35*100</f>
        <v>24.244977212914822</v>
      </c>
      <c r="M35" s="202">
        <f t="shared" si="2"/>
        <v>100</v>
      </c>
    </row>
    <row r="36" spans="1:13">
      <c r="A36" s="29">
        <v>2011</v>
      </c>
      <c r="B36" s="39">
        <f>'3a'!B36/'3a'!$E36*100</f>
        <v>22.012041282028196</v>
      </c>
      <c r="C36" s="40">
        <f>'3a'!C36/'3a'!$E36*100</f>
        <v>66.905004107036802</v>
      </c>
      <c r="D36" s="40">
        <f>'3a'!D36/'3a'!$E36*100</f>
        <v>11.082954610934999</v>
      </c>
      <c r="E36" s="41">
        <f t="shared" si="0"/>
        <v>100</v>
      </c>
      <c r="F36" s="39">
        <f>'3a'!F36/'3a'!$I36*100</f>
        <v>8.3200197673657073</v>
      </c>
      <c r="G36" s="40">
        <f>'3a'!G36/'3a'!$I36*100</f>
        <v>88.51947430542026</v>
      </c>
      <c r="H36" s="40">
        <f>'3a'!H36/'3a'!$I36*100</f>
        <v>3.160505927214031</v>
      </c>
      <c r="I36" s="41">
        <f t="shared" si="1"/>
        <v>100</v>
      </c>
      <c r="J36" s="88">
        <f>'3a'!J36/'3a'!$M36*100</f>
        <v>22.919571742572852</v>
      </c>
      <c r="K36" s="89">
        <f>'3a'!K36/'3a'!$M36*100</f>
        <v>52.785590298293847</v>
      </c>
      <c r="L36" s="89">
        <f>'3a'!L36/'3a'!$M36*100</f>
        <v>24.294837959133297</v>
      </c>
      <c r="M36" s="203">
        <f t="shared" si="2"/>
        <v>100</v>
      </c>
    </row>
    <row r="38" spans="1:13">
      <c r="A38" s="384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6"/>
    </row>
    <row r="39" spans="1:13">
      <c r="A39" s="27" t="s">
        <v>53</v>
      </c>
      <c r="B39" s="82">
        <f>(POWER(B15/B6,1/($A15-$A6))-1)*100</f>
        <v>-12.137911732394635</v>
      </c>
      <c r="C39" s="83">
        <f t="shared" ref="C39:F39" si="3">(POWER(C15/C6,1/($A15-$A6))-1)*100</f>
        <v>7.3052320187454001</v>
      </c>
      <c r="D39" s="83">
        <f t="shared" si="3"/>
        <v>-1.942933724317697</v>
      </c>
      <c r="E39" s="84"/>
      <c r="F39" s="82">
        <f t="shared" si="3"/>
        <v>-7.3990726829183622</v>
      </c>
      <c r="G39" s="83">
        <f t="shared" ref="G39:H39" si="4">(POWER(G15/G6,1/($A15-$A6))-1)*100</f>
        <v>9.8610420777759842</v>
      </c>
      <c r="H39" s="83">
        <f t="shared" si="4"/>
        <v>4.3713500390692328</v>
      </c>
      <c r="I39" s="84"/>
      <c r="J39" s="82">
        <f t="shared" ref="J39:L39" si="5">(POWER(J15/J6,1/($A15-$A6))-1)*100</f>
        <v>-0.77934108284847259</v>
      </c>
      <c r="K39" s="83">
        <f t="shared" si="5"/>
        <v>10.439594863555657</v>
      </c>
      <c r="L39" s="83">
        <f t="shared" si="5"/>
        <v>-2.5979322796613524</v>
      </c>
      <c r="M39" s="205"/>
    </row>
    <row r="40" spans="1:13">
      <c r="A40" s="28" t="s">
        <v>71</v>
      </c>
      <c r="B40" s="37">
        <f>(POWER(B$25/B15,1/($A$25-$A$15))-1)*100</f>
        <v>1.5392169118353394</v>
      </c>
      <c r="C40" s="34">
        <f t="shared" ref="C40:F40" si="6">(POWER(C$25/C15,1/($A$25-$A$15))-1)*100</f>
        <v>0.73296801992637217</v>
      </c>
      <c r="D40" s="34">
        <f>(POWER(D$25/D15,1/($A$25-$A$15))-1)*100</f>
        <v>-9.2619213236536204</v>
      </c>
      <c r="E40" s="38"/>
      <c r="F40" s="37">
        <f t="shared" si="6"/>
        <v>-0.41060675120268009</v>
      </c>
      <c r="G40" s="34">
        <f t="shared" ref="G40:H40" si="7">(POWER(G$25/G15,1/($A$25-$A$15))-1)*100</f>
        <v>3.6363738078098562</v>
      </c>
      <c r="H40" s="34">
        <f t="shared" si="7"/>
        <v>-12.085131278416018</v>
      </c>
      <c r="I40" s="38"/>
      <c r="J40" s="37">
        <f t="shared" ref="J40:L40" si="8">(POWER(J$25/J15,1/($A$25-$A$15))-1)*100</f>
        <v>1.5388625867715611</v>
      </c>
      <c r="K40" s="34">
        <f t="shared" si="8"/>
        <v>4.0021211246576982</v>
      </c>
      <c r="L40" s="34">
        <f t="shared" si="8"/>
        <v>-3.5282396459847876</v>
      </c>
      <c r="M40" s="206"/>
    </row>
    <row r="41" spans="1:13">
      <c r="A41" s="28" t="s">
        <v>69</v>
      </c>
      <c r="B41" s="37">
        <f>(POWER(B$35/B25,1/($A$35-$A$25))-1)*100</f>
        <v>3.0987038362347397</v>
      </c>
      <c r="C41" s="34">
        <f t="shared" ref="C41:F41" si="9">(POWER(C$35/C25,1/($A$35-$A$25))-1)*100</f>
        <v>-1.5512517818712657</v>
      </c>
      <c r="D41" s="34">
        <f t="shared" si="9"/>
        <v>7.7691281926161704</v>
      </c>
      <c r="E41" s="38"/>
      <c r="F41" s="37">
        <f t="shared" si="9"/>
        <v>-13.279412150961056</v>
      </c>
      <c r="G41" s="34">
        <f t="shared" ref="G41:H41" si="10">(POWER(G$35/G25,1/($A$35-$A$25))-1)*100</f>
        <v>3.6960260308693149</v>
      </c>
      <c r="H41" s="34">
        <f t="shared" si="10"/>
        <v>-7.1209465779881747</v>
      </c>
      <c r="I41" s="38"/>
      <c r="J41" s="37">
        <f t="shared" ref="J41:L41" si="11">(POWER(J$35/J25,1/($A$35-$A$25))-1)*100</f>
        <v>0.20629819254038839</v>
      </c>
      <c r="K41" s="34">
        <f t="shared" si="11"/>
        <v>2.7962656779038753</v>
      </c>
      <c r="L41" s="34">
        <f t="shared" si="11"/>
        <v>-4.2013760521373396</v>
      </c>
      <c r="M41" s="206"/>
    </row>
    <row r="42" spans="1:13">
      <c r="A42" s="29" t="s">
        <v>70</v>
      </c>
      <c r="B42" s="39">
        <f>(POWER(B35/B6,1/($A$35-$A$6))-1)*100</f>
        <v>-2.4074458808844845</v>
      </c>
      <c r="C42" s="40">
        <f t="shared" ref="C42:D42" si="12">(POWER(C35/C6,1/($A$35-$A$6))-1)*100</f>
        <v>1.9190558960929804</v>
      </c>
      <c r="D42" s="40">
        <f t="shared" si="12"/>
        <v>-1.3708803184221185</v>
      </c>
      <c r="E42" s="41"/>
      <c r="F42" s="39">
        <f>(POWER(F35/F6,1/($A$35-$A$6))-1)*100</f>
        <v>-7.1705243871034385</v>
      </c>
      <c r="G42" s="40">
        <f t="shared" ref="G42:H42" si="13">(POWER(G35/G6,1/($A$35-$A$6))-1)*100</f>
        <v>5.5504002185781554</v>
      </c>
      <c r="H42" s="40">
        <f t="shared" si="13"/>
        <v>-5.5036736056693574</v>
      </c>
      <c r="I42" s="41"/>
      <c r="J42" s="39">
        <f t="shared" ref="J42:L42" si="14">(POWER(J35/J6,1/($A$35-$A$6))-1)*100</f>
        <v>0.35548325838841155</v>
      </c>
      <c r="K42" s="40">
        <f t="shared" si="14"/>
        <v>5.533488976127976</v>
      </c>
      <c r="L42" s="40">
        <f t="shared" si="14"/>
        <v>-3.4738210177311157</v>
      </c>
      <c r="M42" s="210"/>
    </row>
    <row r="43" spans="1:13">
      <c r="A43" s="2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3">
      <c r="A44" s="389" t="s">
        <v>77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0"/>
    </row>
    <row r="45" spans="1:13">
      <c r="A45" s="27" t="s">
        <v>53</v>
      </c>
      <c r="B45" s="35">
        <f>B15-B6</f>
        <v>-31.784417127764325</v>
      </c>
      <c r="C45" s="30">
        <f t="shared" ref="C45:L45" si="15">C15-C6</f>
        <v>34.238932850228451</v>
      </c>
      <c r="D45" s="30">
        <f t="shared" si="15"/>
        <v>-2.4545157224641372</v>
      </c>
      <c r="E45" s="36"/>
      <c r="F45" s="35">
        <f t="shared" si="15"/>
        <v>-32.482659878354006</v>
      </c>
      <c r="G45" s="30">
        <f t="shared" si="15"/>
        <v>24.825685201555391</v>
      </c>
      <c r="H45" s="30">
        <f t="shared" si="15"/>
        <v>7.6569746767986047</v>
      </c>
      <c r="I45" s="36"/>
      <c r="J45" s="35">
        <f t="shared" si="15"/>
        <v>-1.4631431132166099</v>
      </c>
      <c r="K45" s="30">
        <f t="shared" si="15"/>
        <v>15.721158307472143</v>
      </c>
      <c r="L45" s="30">
        <f t="shared" si="15"/>
        <v>-14.258015194255528</v>
      </c>
      <c r="M45" s="205"/>
    </row>
    <row r="46" spans="1:13">
      <c r="A46" s="28" t="s">
        <v>71</v>
      </c>
      <c r="B46" s="37">
        <f>B25-B15</f>
        <v>2.379228667842316</v>
      </c>
      <c r="C46" s="34">
        <f t="shared" ref="C46:L46" si="16">C25-C15</f>
        <v>5.5211396616704178</v>
      </c>
      <c r="D46" s="34">
        <f t="shared" si="16"/>
        <v>-7.9003683295127303</v>
      </c>
      <c r="E46" s="38"/>
      <c r="F46" s="37">
        <f t="shared" si="16"/>
        <v>-1.3128154117818021</v>
      </c>
      <c r="G46" s="34">
        <f t="shared" si="16"/>
        <v>18.6630910437053</v>
      </c>
      <c r="H46" s="34">
        <f t="shared" si="16"/>
        <v>-17.350275631923509</v>
      </c>
      <c r="I46" s="38"/>
      <c r="J46" s="37">
        <f t="shared" si="16"/>
        <v>3.309036296637661</v>
      </c>
      <c r="K46" s="34">
        <f t="shared" si="16"/>
        <v>12.786110293079446</v>
      </c>
      <c r="L46" s="34">
        <f t="shared" si="16"/>
        <v>-16.09514658971711</v>
      </c>
      <c r="M46" s="206"/>
    </row>
    <row r="47" spans="1:13">
      <c r="A47" s="28" t="s">
        <v>69</v>
      </c>
      <c r="B47" s="37">
        <f>B35-B25</f>
        <v>5.9936436667447666</v>
      </c>
      <c r="C47" s="34">
        <f t="shared" ref="C47:L47" si="17">C35-C25</f>
        <v>-11.346400480270802</v>
      </c>
      <c r="D47" s="34">
        <f t="shared" si="17"/>
        <v>5.3527568135260424</v>
      </c>
      <c r="E47" s="38"/>
      <c r="F47" s="37">
        <f t="shared" si="17"/>
        <v>-23.736304396302842</v>
      </c>
      <c r="G47" s="34">
        <f t="shared" si="17"/>
        <v>27.187595806306078</v>
      </c>
      <c r="H47" s="34">
        <f>H35-H25</f>
        <v>-3.4512914100032237</v>
      </c>
      <c r="I47" s="38"/>
      <c r="J47" s="37">
        <f t="shared" si="17"/>
        <v>0.48651048831055022</v>
      </c>
      <c r="K47" s="34">
        <f t="shared" si="17"/>
        <v>12.510175751209843</v>
      </c>
      <c r="L47" s="34">
        <f t="shared" si="17"/>
        <v>-12.996686239520397</v>
      </c>
      <c r="M47" s="206"/>
    </row>
    <row r="48" spans="1:13">
      <c r="A48" s="29" t="s">
        <v>70</v>
      </c>
      <c r="B48" s="39">
        <f>B35-B6</f>
        <v>-23.411544793177242</v>
      </c>
      <c r="C48" s="40">
        <f t="shared" ref="C48:L48" si="18">C35-C6</f>
        <v>28.413672031628067</v>
      </c>
      <c r="D48" s="40">
        <f t="shared" si="18"/>
        <v>-5.0021272384508251</v>
      </c>
      <c r="E48" s="41"/>
      <c r="F48" s="39">
        <f t="shared" si="18"/>
        <v>-57.531779686438654</v>
      </c>
      <c r="G48" s="40">
        <f t="shared" si="18"/>
        <v>70.676372051566773</v>
      </c>
      <c r="H48" s="40">
        <f t="shared" si="18"/>
        <v>-13.14459236512813</v>
      </c>
      <c r="I48" s="41"/>
      <c r="J48" s="39">
        <f t="shared" si="18"/>
        <v>2.3324036717316012</v>
      </c>
      <c r="K48" s="40">
        <f t="shared" si="18"/>
        <v>41.017444351761434</v>
      </c>
      <c r="L48" s="40">
        <f t="shared" si="18"/>
        <v>-43.349848023493038</v>
      </c>
      <c r="M48" s="210"/>
    </row>
    <row r="49" spans="1:12">
      <c r="A49" s="18"/>
      <c r="B49" s="18"/>
      <c r="C49" s="18"/>
      <c r="D49" s="18"/>
      <c r="E49" s="18"/>
      <c r="F49" s="18"/>
      <c r="G49" s="18"/>
      <c r="J49" s="18"/>
      <c r="K49" s="18"/>
      <c r="L49" s="18"/>
    </row>
    <row r="50" spans="1:12">
      <c r="A50" s="1" t="s">
        <v>68</v>
      </c>
    </row>
    <row r="51" spans="1:12">
      <c r="A51" s="1" t="s">
        <v>98</v>
      </c>
    </row>
  </sheetData>
  <mergeCells count="6">
    <mergeCell ref="A44:M44"/>
    <mergeCell ref="A1:H2"/>
    <mergeCell ref="B4:E4"/>
    <mergeCell ref="F4:I4"/>
    <mergeCell ref="J4:M4"/>
    <mergeCell ref="A38:M38"/>
  </mergeCells>
  <pageMargins left="0.7" right="0.7" top="0.75" bottom="0.75" header="0.3" footer="0.3"/>
  <pageSetup scale="64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M44"/>
  <sheetViews>
    <sheetView zoomScaleNormal="100" workbookViewId="0"/>
  </sheetViews>
  <sheetFormatPr defaultRowHeight="15"/>
  <cols>
    <col min="1" max="1" width="10.5703125" style="1" customWidth="1"/>
    <col min="2" max="2" width="10.85546875" style="1" customWidth="1"/>
    <col min="3" max="3" width="9.140625" style="1"/>
    <col min="4" max="5" width="23.140625" style="1" customWidth="1"/>
    <col min="6" max="6" width="14.5703125" style="1" customWidth="1"/>
    <col min="7" max="7" width="9.140625" style="1"/>
    <col min="8" max="9" width="18.85546875" style="1" customWidth="1"/>
    <col min="10" max="10" width="13.7109375" style="1" customWidth="1"/>
    <col min="11" max="11" width="9.140625" style="1"/>
    <col min="12" max="12" width="18" style="1" customWidth="1"/>
    <col min="13" max="16384" width="9.140625" style="1"/>
  </cols>
  <sheetData>
    <row r="1" spans="1:13">
      <c r="A1" s="2" t="s">
        <v>137</v>
      </c>
    </row>
    <row r="3" spans="1:13">
      <c r="B3" s="378" t="s">
        <v>3</v>
      </c>
      <c r="C3" s="379"/>
      <c r="D3" s="379"/>
      <c r="E3" s="380"/>
      <c r="F3" s="378" t="s">
        <v>4</v>
      </c>
      <c r="G3" s="379"/>
      <c r="H3" s="379"/>
      <c r="I3" s="380"/>
      <c r="J3" s="377" t="s">
        <v>38</v>
      </c>
      <c r="K3" s="375"/>
      <c r="L3" s="375"/>
      <c r="M3" s="376"/>
    </row>
    <row r="4" spans="1:13" ht="45">
      <c r="B4" s="59" t="s">
        <v>0</v>
      </c>
      <c r="C4" s="60" t="s">
        <v>1</v>
      </c>
      <c r="D4" s="60" t="s">
        <v>2</v>
      </c>
      <c r="E4" s="51" t="s">
        <v>88</v>
      </c>
      <c r="F4" s="59" t="s">
        <v>0</v>
      </c>
      <c r="G4" s="60" t="s">
        <v>1</v>
      </c>
      <c r="H4" s="60" t="s">
        <v>2</v>
      </c>
      <c r="I4" s="51" t="s">
        <v>88</v>
      </c>
      <c r="J4" s="59" t="s">
        <v>39</v>
      </c>
      <c r="K4" s="60" t="s">
        <v>41</v>
      </c>
      <c r="L4" s="60" t="s">
        <v>40</v>
      </c>
      <c r="M4" s="51" t="s">
        <v>88</v>
      </c>
    </row>
    <row r="5" spans="1:13">
      <c r="A5" s="27">
        <v>1981</v>
      </c>
      <c r="B5" s="67">
        <f>IFERROR('1a'!B6/'3a'!B6, "na")</f>
        <v>0.75153968315451058</v>
      </c>
      <c r="C5" s="105">
        <f>IFERROR('1a'!C6/'3a'!C6, "na")</f>
        <v>0.60944212635048811</v>
      </c>
      <c r="D5" s="105">
        <f>IFERROR('1a'!D6/'3a'!D6, "na")</f>
        <v>0.33222526013493581</v>
      </c>
      <c r="E5" s="109">
        <f>IFERROR('1a'!E6/'3a'!E6, "na")</f>
        <v>0.6330576910171426</v>
      </c>
      <c r="F5" s="67">
        <f>IFERROR('1a'!F6/'3a'!F6, "na")</f>
        <v>0.73161843631555112</v>
      </c>
      <c r="G5" s="105">
        <f>IFERROR('1a'!G6/'3a'!G6, "na")</f>
        <v>0.53043604120649179</v>
      </c>
      <c r="H5" s="105">
        <f>IFERROR('1a'!H6/'3a'!H6, "na")</f>
        <v>0.29126563051162258</v>
      </c>
      <c r="I5" s="109">
        <f>IFERROR('1a'!I6/'3a'!I6, "na")</f>
        <v>0.62231777284638512</v>
      </c>
      <c r="J5" s="67">
        <f>IFERROR('1a'!J6/'3a'!J6, "na")</f>
        <v>0.70999382896489005</v>
      </c>
      <c r="K5" s="105">
        <f>IFERROR('1a'!K6/'3a'!K6, "na")</f>
        <v>0.51155624036979974</v>
      </c>
      <c r="L5" s="105">
        <f>IFERROR('1a'!L6/'3a'!L6, "na")</f>
        <v>0.20185288582831856</v>
      </c>
      <c r="M5" s="109">
        <f>IFERROR('1a'!M6/'3a'!M6, "na")</f>
        <v>0.34491434801752879</v>
      </c>
    </row>
    <row r="6" spans="1:13">
      <c r="A6" s="28">
        <v>1982</v>
      </c>
      <c r="B6" s="106">
        <f>IFERROR('1a'!B7/'3a'!B7, "na")</f>
        <v>0.31515297843708834</v>
      </c>
      <c r="C6" s="104">
        <f>IFERROR('1a'!C7/'3a'!C7, "na")</f>
        <v>0.36497045594849636</v>
      </c>
      <c r="D6" s="104">
        <f>IFERROR('1a'!D7/'3a'!D7, "na")</f>
        <v>0.12163673503341313</v>
      </c>
      <c r="E6" s="110">
        <f>IFERROR('1a'!E7/'3a'!E7, "na")</f>
        <v>0.30503173143900181</v>
      </c>
      <c r="F6" s="106">
        <f>IFERROR('1a'!F7/'3a'!F7, "na")</f>
        <v>0.47175399597066858</v>
      </c>
      <c r="G6" s="104">
        <f>IFERROR('1a'!G7/'3a'!G7, "na")</f>
        <v>0.53450048681947648</v>
      </c>
      <c r="H6" s="104">
        <f>IFERROR('1a'!H7/'3a'!H7, "na")</f>
        <v>0.18608644056027926</v>
      </c>
      <c r="I6" s="110">
        <f>IFERROR('1a'!I7/'3a'!I7, "na")</f>
        <v>0.44005846627763023</v>
      </c>
      <c r="J6" s="106">
        <f>IFERROR('1a'!J7/'3a'!J7, "na")</f>
        <v>0.52929608577355136</v>
      </c>
      <c r="K6" s="104">
        <f>IFERROR('1a'!K7/'3a'!K7, "na")</f>
        <v>0.49890350877192979</v>
      </c>
      <c r="L6" s="104">
        <f>IFERROR('1a'!L7/'3a'!L7, "na")</f>
        <v>0.18088376122942224</v>
      </c>
      <c r="M6" s="110">
        <f>IFERROR('1a'!M7/'3a'!M7, "na")</f>
        <v>0.29665527782772882</v>
      </c>
    </row>
    <row r="7" spans="1:13">
      <c r="A7" s="28">
        <v>1983</v>
      </c>
      <c r="B7" s="106">
        <f>IFERROR('1a'!B8/'3a'!B8, "na")</f>
        <v>0.5992774907998244</v>
      </c>
      <c r="C7" s="104">
        <f>IFERROR('1a'!C8/'3a'!C8, "na")</f>
        <v>0.50593966804863411</v>
      </c>
      <c r="D7" s="104">
        <f>IFERROR('1a'!D8/'3a'!D8, "na")</f>
        <v>0.19726720058548108</v>
      </c>
      <c r="E7" s="110">
        <f>IFERROR('1a'!E8/'3a'!E8, "na")</f>
        <v>0.48951743559387334</v>
      </c>
      <c r="F7" s="106">
        <f>IFERROR('1a'!F8/'3a'!F8, "na")</f>
        <v>0.53672038101444719</v>
      </c>
      <c r="G7" s="104">
        <f>IFERROR('1a'!G8/'3a'!G8, "na")</f>
        <v>0.47334161829562166</v>
      </c>
      <c r="H7" s="104">
        <f>IFERROR('1a'!H8/'3a'!H8, "na")</f>
        <v>0.16943788352097899</v>
      </c>
      <c r="I7" s="110">
        <f>IFERROR('1a'!I8/'3a'!I8, "na")</f>
        <v>0.45422476306850823</v>
      </c>
      <c r="J7" s="106">
        <f>IFERROR('1a'!J8/'3a'!J8, "na")</f>
        <v>0.62714398325586451</v>
      </c>
      <c r="K7" s="104">
        <f>IFERROR('1a'!K8/'3a'!K8, "na")</f>
        <v>0.49040370615486428</v>
      </c>
      <c r="L7" s="104">
        <f>IFERROR('1a'!L8/'3a'!L8, "na")</f>
        <v>0.14902718007775631</v>
      </c>
      <c r="M7" s="110">
        <f>IFERROR('1a'!M8/'3a'!M8, "na")</f>
        <v>0.29548210865154656</v>
      </c>
    </row>
    <row r="8" spans="1:13">
      <c r="A8" s="28">
        <v>1984</v>
      </c>
      <c r="B8" s="106">
        <f>IFERROR('1a'!B9/'3a'!B9, "na")</f>
        <v>0.61877051001710037</v>
      </c>
      <c r="C8" s="104">
        <f>IFERROR('1a'!C9/'3a'!C9, "na")</f>
        <v>0.59212339260284164</v>
      </c>
      <c r="D8" s="104">
        <f>IFERROR('1a'!D9/'3a'!D9, "na")</f>
        <v>0.2207607802107466</v>
      </c>
      <c r="E8" s="110">
        <f>IFERROR('1a'!E9/'3a'!E9, "na")</f>
        <v>0.54912598701490156</v>
      </c>
      <c r="F8" s="106">
        <f>IFERROR('1a'!F9/'3a'!F9, "na")</f>
        <v>0.51735553182084637</v>
      </c>
      <c r="G8" s="104">
        <f>IFERROR('1a'!G9/'3a'!G9, "na")</f>
        <v>0.44734785693500351</v>
      </c>
      <c r="H8" s="104">
        <f>IFERROR('1a'!H9/'3a'!H9, "na")</f>
        <v>0.16205540269079494</v>
      </c>
      <c r="I8" s="110">
        <f>IFERROR('1a'!I9/'3a'!I9, "na")</f>
        <v>0.43369510046136944</v>
      </c>
      <c r="J8" s="106">
        <f>IFERROR('1a'!J9/'3a'!J9, "na")</f>
        <v>0.60078975248001543</v>
      </c>
      <c r="K8" s="104">
        <f>IFERROR('1a'!K9/'3a'!K9, "na")</f>
        <v>0.50010188833038993</v>
      </c>
      <c r="L8" s="104">
        <f>IFERROR('1a'!L9/'3a'!L9, "na")</f>
        <v>0.15737321413651933</v>
      </c>
      <c r="M8" s="110">
        <f>IFERROR('1a'!M9/'3a'!M9, "na")</f>
        <v>0.30688743666935897</v>
      </c>
    </row>
    <row r="9" spans="1:13">
      <c r="A9" s="28">
        <v>1985</v>
      </c>
      <c r="B9" s="106">
        <f>IFERROR('1a'!B10/'3a'!B10, "na")</f>
        <v>0.85830190895432645</v>
      </c>
      <c r="C9" s="104">
        <f>IFERROR('1a'!C10/'3a'!C10, "na")</f>
        <v>0.42324006866027153</v>
      </c>
      <c r="D9" s="104">
        <f>IFERROR('1a'!D10/'3a'!D10, "na")</f>
        <v>0.66304546436105705</v>
      </c>
      <c r="E9" s="110">
        <f>IFERROR('1a'!E10/'3a'!E10, "na")</f>
        <v>0.64303435481126536</v>
      </c>
      <c r="F9" s="106">
        <f>IFERROR('1a'!F10/'3a'!F10, "na")</f>
        <v>0.5305777037823165</v>
      </c>
      <c r="G9" s="104">
        <f>IFERROR('1a'!G10/'3a'!G10, "na")</f>
        <v>0.55383297685524124</v>
      </c>
      <c r="H9" s="104">
        <f>IFERROR('1a'!H10/'3a'!H10, "na")</f>
        <v>0.39606794409414692</v>
      </c>
      <c r="I9" s="110">
        <f>IFERROR('1a'!I10/'3a'!I10, "na")</f>
        <v>0.51076128502655049</v>
      </c>
      <c r="J9" s="106">
        <f>IFERROR('1a'!J10/'3a'!J10, "na")</f>
        <v>0.59376070523214652</v>
      </c>
      <c r="K9" s="104">
        <f>IFERROR('1a'!K10/'3a'!K10, "na")</f>
        <v>0.48866739871047665</v>
      </c>
      <c r="L9" s="104">
        <f>IFERROR('1a'!L10/'3a'!L10, "na")</f>
        <v>0.15810935597486331</v>
      </c>
      <c r="M9" s="110">
        <f>IFERROR('1a'!M10/'3a'!M10, "na")</f>
        <v>0.31091111937523241</v>
      </c>
    </row>
    <row r="10" spans="1:13">
      <c r="A10" s="28">
        <v>1986</v>
      </c>
      <c r="B10" s="106">
        <f>IFERROR('1a'!B11/'3a'!B11, "na")</f>
        <v>0.5471524515981212</v>
      </c>
      <c r="C10" s="104">
        <f>IFERROR('1a'!C11/'3a'!C11, "na")</f>
        <v>0.52268268995325629</v>
      </c>
      <c r="D10" s="104">
        <f>IFERROR('1a'!D11/'3a'!D11, "na")</f>
        <v>0.18842479511868498</v>
      </c>
      <c r="E10" s="110">
        <f>IFERROR('1a'!E11/'3a'!E11, "na")</f>
        <v>0.46490354546866047</v>
      </c>
      <c r="F10" s="106">
        <f>IFERROR('1a'!F11/'3a'!F11, "na")</f>
        <v>0.40569681286677223</v>
      </c>
      <c r="G10" s="104">
        <f>IFERROR('1a'!G11/'3a'!G11, "na")</f>
        <v>0.33406424925145423</v>
      </c>
      <c r="H10" s="104">
        <f>IFERROR('1a'!H11/'3a'!H11, "na")</f>
        <v>0.18891152997113261</v>
      </c>
      <c r="I10" s="110">
        <f>IFERROR('1a'!I11/'3a'!I11, "na")</f>
        <v>0.32656897198907997</v>
      </c>
      <c r="J10" s="106">
        <f>IFERROR('1a'!J11/'3a'!J11, "na")</f>
        <v>0.59017890137599716</v>
      </c>
      <c r="K10" s="104">
        <f>IFERROR('1a'!K11/'3a'!K11, "na")</f>
        <v>0.50816657911075025</v>
      </c>
      <c r="L10" s="104">
        <f>IFERROR('1a'!L11/'3a'!L11, "na")</f>
        <v>0.16916997292020908</v>
      </c>
      <c r="M10" s="110">
        <f>IFERROR('1a'!M11/'3a'!M11, "na")</f>
        <v>0.32534560496573028</v>
      </c>
    </row>
    <row r="11" spans="1:13">
      <c r="A11" s="28">
        <v>1987</v>
      </c>
      <c r="B11" s="106">
        <f>IFERROR('1a'!B12/'3a'!B12, "na")</f>
        <v>0.34711445518716882</v>
      </c>
      <c r="C11" s="104">
        <f>IFERROR('1a'!C12/'3a'!C12, "na")</f>
        <v>0.32603798872614437</v>
      </c>
      <c r="D11" s="104">
        <f>IFERROR('1a'!D12/'3a'!D12, "na")</f>
        <v>6.8662474255870007E-2</v>
      </c>
      <c r="E11" s="110">
        <f>IFERROR('1a'!E12/'3a'!E12, "na")</f>
        <v>0.27944787395933379</v>
      </c>
      <c r="F11" s="106">
        <f>IFERROR('1a'!F12/'3a'!F12, "na")</f>
        <v>0.57224260345104394</v>
      </c>
      <c r="G11" s="104">
        <f>IFERROR('1a'!G12/'3a'!G12, "na")</f>
        <v>0.38486018686084228</v>
      </c>
      <c r="H11" s="104">
        <f>IFERROR('1a'!H12/'3a'!H12, "na")</f>
        <v>0.11749273943808865</v>
      </c>
      <c r="I11" s="110">
        <f>IFERROR('1a'!I12/'3a'!I12, "na")</f>
        <v>0.39547586277911545</v>
      </c>
      <c r="J11" s="106">
        <f>IFERROR('1a'!J12/'3a'!J12, "na")</f>
        <v>0.6796785097813578</v>
      </c>
      <c r="K11" s="104">
        <f>IFERROR('1a'!K12/'3a'!K12, "na")</f>
        <v>0.49957805907172997</v>
      </c>
      <c r="L11" s="104">
        <f>IFERROR('1a'!L12/'3a'!L12, "na")</f>
        <v>0.20212607124727522</v>
      </c>
      <c r="M11" s="110">
        <f>IFERROR('1a'!M12/'3a'!M12, "na")</f>
        <v>0.37494881800937568</v>
      </c>
    </row>
    <row r="12" spans="1:13">
      <c r="A12" s="28">
        <v>1988</v>
      </c>
      <c r="B12" s="106">
        <f>IFERROR('1a'!B13/'3a'!B13, "na")</f>
        <v>0.4785957791396323</v>
      </c>
      <c r="C12" s="104">
        <f>IFERROR('1a'!C13/'3a'!C13, "na")</f>
        <v>0.59189195143101481</v>
      </c>
      <c r="D12" s="104">
        <f>IFERROR('1a'!D13/'3a'!D13, "na")</f>
        <v>3.9402532963630554E-2</v>
      </c>
      <c r="E12" s="110">
        <f>IFERROR('1a'!E13/'3a'!E13, "na")</f>
        <v>0.47968083413070334</v>
      </c>
      <c r="F12" s="106">
        <f>IFERROR('1a'!F13/'3a'!F13, "na")</f>
        <v>0.4810917281892515</v>
      </c>
      <c r="G12" s="104">
        <f>IFERROR('1a'!G13/'3a'!G13, "na")</f>
        <v>0.32220178223501367</v>
      </c>
      <c r="H12" s="104">
        <f>IFERROR('1a'!H13/'3a'!H13, "na")</f>
        <v>4.4156972093342177E-2</v>
      </c>
      <c r="I12" s="110">
        <f>IFERROR('1a'!I13/'3a'!I13, "na")</f>
        <v>0.32534188179927026</v>
      </c>
      <c r="J12" s="106">
        <f>IFERROR('1a'!J13/'3a'!J13, "na")</f>
        <v>0.5423192668080159</v>
      </c>
      <c r="K12" s="104">
        <f>IFERROR('1a'!K13/'3a'!K13, "na")</f>
        <v>0.51800447606640621</v>
      </c>
      <c r="L12" s="104">
        <f>IFERROR('1a'!L13/'3a'!L13, "na")</f>
        <v>0.22447041276496951</v>
      </c>
      <c r="M12" s="110">
        <f>IFERROR('1a'!M13/'3a'!M13, "na")</f>
        <v>0.36329784987926927</v>
      </c>
    </row>
    <row r="13" spans="1:13">
      <c r="A13" s="28">
        <v>1989</v>
      </c>
      <c r="B13" s="106">
        <f>IFERROR('1a'!B14/'3a'!B14, "na")</f>
        <v>0.61843040264306615</v>
      </c>
      <c r="C13" s="104">
        <f>IFERROR('1a'!C14/'3a'!C14, "na")</f>
        <v>0.46208478538973924</v>
      </c>
      <c r="D13" s="104">
        <f>IFERROR('1a'!D14/'3a'!D14, "na")</f>
        <v>0.16323714900339212</v>
      </c>
      <c r="E13" s="110">
        <f>IFERROR('1a'!E14/'3a'!E14, "na")</f>
        <v>0.45907895005538485</v>
      </c>
      <c r="F13" s="106">
        <f>IFERROR('1a'!F14/'3a'!F14, "na")</f>
        <v>0.44164458591930011</v>
      </c>
      <c r="G13" s="104">
        <f>IFERROR('1a'!G14/'3a'!G14, "na")</f>
        <v>0.36090199445186077</v>
      </c>
      <c r="H13" s="104">
        <f>IFERROR('1a'!H14/'3a'!H14, "na")</f>
        <v>0.30622407634802989</v>
      </c>
      <c r="I13" s="110">
        <f>IFERROR('1a'!I14/'3a'!I14, "na")</f>
        <v>0.37460534778363719</v>
      </c>
      <c r="J13" s="106">
        <f>IFERROR('1a'!J14/'3a'!J14, "na")</f>
        <v>0.58345166301932805</v>
      </c>
      <c r="K13" s="104">
        <f>IFERROR('1a'!K14/'3a'!K14, "na")</f>
        <v>0.50315280297140885</v>
      </c>
      <c r="L13" s="104">
        <f>IFERROR('1a'!L14/'3a'!L14, "na")</f>
        <v>0.23651223963925275</v>
      </c>
      <c r="M13" s="110">
        <f>IFERROR('1a'!M14/'3a'!M14, "na")</f>
        <v>0.37766528829123369</v>
      </c>
    </row>
    <row r="14" spans="1:13">
      <c r="A14" s="28">
        <v>1990</v>
      </c>
      <c r="B14" s="106">
        <f>IFERROR('1a'!B15/'3a'!B15, "na")</f>
        <v>2.9922576310382271E-2</v>
      </c>
      <c r="C14" s="104">
        <f>IFERROR('1a'!C15/'3a'!C15, "na")</f>
        <v>0.46254487003628231</v>
      </c>
      <c r="D14" s="104">
        <f>IFERROR('1a'!D15/'3a'!D15, "na")</f>
        <v>8.8449301179619452E-2</v>
      </c>
      <c r="E14" s="110">
        <f>IFERROR('1a'!E15/'3a'!E15, "na")</f>
        <v>0.35263209765300513</v>
      </c>
      <c r="F14" s="106">
        <f>IFERROR('1a'!F15/'3a'!F15, "na")</f>
        <v>0.42493835904768906</v>
      </c>
      <c r="G14" s="104">
        <f>IFERROR('1a'!G15/'3a'!G15, "na")</f>
        <v>0.35420290580535352</v>
      </c>
      <c r="H14" s="104">
        <f>IFERROR('1a'!H15/'3a'!H15, "na")</f>
        <v>4.4370770698033517E-2</v>
      </c>
      <c r="I14" s="110">
        <f>IFERROR('1a'!I15/'3a'!I15, "na")</f>
        <v>0.30300887112656671</v>
      </c>
      <c r="J14" s="106">
        <f>IFERROR('1a'!J15/'3a'!J15, "na")</f>
        <v>0.52108383848421602</v>
      </c>
      <c r="K14" s="104">
        <f>IFERROR('1a'!K15/'3a'!K15, "na")</f>
        <v>0.49488152605428082</v>
      </c>
      <c r="L14" s="104">
        <f>IFERROR('1a'!L15/'3a'!L15, "na")</f>
        <v>0.23704155794010126</v>
      </c>
      <c r="M14" s="110">
        <f>IFERROR('1a'!M15/'3a'!M15, "na")</f>
        <v>0.36261297919621593</v>
      </c>
    </row>
    <row r="15" spans="1:13">
      <c r="A15" s="28">
        <v>1991</v>
      </c>
      <c r="B15" s="106">
        <f>IFERROR('1a'!B16/'3a'!B16, "na")</f>
        <v>0.62048935746966383</v>
      </c>
      <c r="C15" s="104">
        <f>IFERROR('1a'!C16/'3a'!C16, "na")</f>
        <v>0.49511598133463181</v>
      </c>
      <c r="D15" s="104">
        <f>IFERROR('1a'!D16/'3a'!D16, "na")</f>
        <v>0.37051733728907843</v>
      </c>
      <c r="E15" s="110">
        <f>IFERROR('1a'!E16/'3a'!E16, "na")</f>
        <v>0.4941092415271317</v>
      </c>
      <c r="F15" s="106">
        <f>IFERROR('1a'!F16/'3a'!F16, "na")</f>
        <v>0.54348452317394957</v>
      </c>
      <c r="G15" s="104">
        <f>IFERROR('1a'!G16/'3a'!G16, "na")</f>
        <v>0.29681797291086537</v>
      </c>
      <c r="H15" s="104">
        <f>IFERROR('1a'!H16/'3a'!H16, "na")</f>
        <v>5.2047888412811619E-2</v>
      </c>
      <c r="I15" s="110">
        <f>IFERROR('1a'!I16/'3a'!I16, "na")</f>
        <v>0.3204844678372919</v>
      </c>
      <c r="J15" s="106">
        <f>IFERROR('1a'!J16/'3a'!J16, "na")</f>
        <v>0.55372660898290138</v>
      </c>
      <c r="K15" s="104">
        <f>IFERROR('1a'!K16/'3a'!K16, "na")</f>
        <v>0.46385074727573294</v>
      </c>
      <c r="L15" s="104">
        <f>IFERROR('1a'!L16/'3a'!L16, "na")</f>
        <v>0.22600910356242715</v>
      </c>
      <c r="M15" s="110">
        <f>IFERROR('1a'!M16/'3a'!M16, "na")</f>
        <v>0.35398409015578391</v>
      </c>
    </row>
    <row r="16" spans="1:13">
      <c r="A16" s="28">
        <v>1992</v>
      </c>
      <c r="B16" s="106">
        <f>IFERROR('1a'!B17/'3a'!B17, "na")</f>
        <v>0.84621751517063815</v>
      </c>
      <c r="C16" s="104">
        <f>IFERROR('1a'!C17/'3a'!C17, "na")</f>
        <v>0.46521653245953448</v>
      </c>
      <c r="D16" s="104" t="str">
        <f>IFERROR('1a'!D17/'3a'!D17, "na")</f>
        <v>na</v>
      </c>
      <c r="E16" s="110" t="str">
        <f>IFERROR('1a'!E17/'3a'!E17, "na")</f>
        <v>na</v>
      </c>
      <c r="F16" s="106">
        <f>IFERROR('1a'!F17/'3a'!F17, "na")</f>
        <v>0.51653789045861853</v>
      </c>
      <c r="G16" s="104">
        <f>IFERROR('1a'!G17/'3a'!G17, "na")</f>
        <v>0.27251830832331692</v>
      </c>
      <c r="H16" s="104" t="str">
        <f>IFERROR('1a'!H17/'3a'!H17, "na")</f>
        <v>na</v>
      </c>
      <c r="I16" s="110" t="str">
        <f>IFERROR('1a'!I17/'3a'!I17, "na")</f>
        <v>na</v>
      </c>
      <c r="J16" s="106">
        <f>IFERROR('1a'!J17/'3a'!J17, "na")</f>
        <v>0.61487182083607583</v>
      </c>
      <c r="K16" s="104">
        <f>IFERROR('1a'!K17/'3a'!K17, "na")</f>
        <v>0.45067654880015373</v>
      </c>
      <c r="L16" s="104">
        <f>IFERROR('1a'!L17/'3a'!L17, "na")</f>
        <v>0.23628529888060143</v>
      </c>
      <c r="M16" s="110">
        <f>IFERROR('1a'!M17/'3a'!M17, "na")</f>
        <v>0.36825960607039071</v>
      </c>
    </row>
    <row r="17" spans="1:13">
      <c r="A17" s="28">
        <v>1993</v>
      </c>
      <c r="B17" s="106">
        <f>IFERROR('1a'!B18/'3a'!B18, "na")</f>
        <v>0.88209262299484592</v>
      </c>
      <c r="C17" s="104">
        <f>IFERROR('1a'!C18/'3a'!C18, "na")</f>
        <v>0.33186463763835167</v>
      </c>
      <c r="D17" s="104" t="str">
        <f>IFERROR('1a'!D18/'3a'!D18, "na")</f>
        <v>na</v>
      </c>
      <c r="E17" s="110" t="str">
        <f>IFERROR('1a'!E18/'3a'!E18, "na")</f>
        <v>na</v>
      </c>
      <c r="F17" s="106">
        <f>IFERROR('1a'!F18/'3a'!F18, "na")</f>
        <v>0.27513519709078782</v>
      </c>
      <c r="G17" s="104">
        <f>IFERROR('1a'!G18/'3a'!G18, "na")</f>
        <v>0.42863541481800732</v>
      </c>
      <c r="H17" s="104" t="str">
        <f>IFERROR('1a'!H18/'3a'!H18, "na")</f>
        <v>na</v>
      </c>
      <c r="I17" s="110" t="str">
        <f>IFERROR('1a'!I18/'3a'!I18, "na")</f>
        <v>na</v>
      </c>
      <c r="J17" s="106">
        <f>IFERROR('1a'!J18/'3a'!J18, "na")</f>
        <v>0.55306532342908155</v>
      </c>
      <c r="K17" s="104">
        <f>IFERROR('1a'!K18/'3a'!K18, "na")</f>
        <v>0.48171076934500329</v>
      </c>
      <c r="L17" s="104">
        <f>IFERROR('1a'!L18/'3a'!L18, "na")</f>
        <v>0.21418412654363814</v>
      </c>
      <c r="M17" s="110">
        <f>IFERROR('1a'!M18/'3a'!M18, "na")</f>
        <v>0.36001024915342572</v>
      </c>
    </row>
    <row r="18" spans="1:13">
      <c r="A18" s="28">
        <v>1994</v>
      </c>
      <c r="B18" s="106">
        <f>IFERROR('1a'!B19/'3a'!B19, "na")</f>
        <v>3.0092857365679172E-2</v>
      </c>
      <c r="C18" s="104">
        <f>IFERROR('1a'!C19/'3a'!C19, "na")</f>
        <v>0.26192826587693324</v>
      </c>
      <c r="D18" s="104">
        <f>IFERROR('1a'!D19/'3a'!D19, "na")</f>
        <v>0.117166436124071</v>
      </c>
      <c r="E18" s="110">
        <f>IFERROR('1a'!E19/'3a'!E19, "na")</f>
        <v>0.19876034552979416</v>
      </c>
      <c r="F18" s="106">
        <f>IFERROR('1a'!F19/'3a'!F19, "na")</f>
        <v>0.58812314851930436</v>
      </c>
      <c r="G18" s="104">
        <f>IFERROR('1a'!G19/'3a'!G19, "na")</f>
        <v>0.4242702613434623</v>
      </c>
      <c r="H18" s="104" t="str">
        <f>IFERROR('1a'!H19/'3a'!H19, "na")</f>
        <v>na</v>
      </c>
      <c r="I18" s="110" t="str">
        <f>IFERROR('1a'!I19/'3a'!I19, "na")</f>
        <v>na</v>
      </c>
      <c r="J18" s="106">
        <f>IFERROR('1a'!J19/'3a'!J19, "na")</f>
        <v>0.62367231801041989</v>
      </c>
      <c r="K18" s="104">
        <f>IFERROR('1a'!K19/'3a'!K19, "na")</f>
        <v>0.48623425480092924</v>
      </c>
      <c r="L18" s="104">
        <f>IFERROR('1a'!L19/'3a'!L19, "na")</f>
        <v>0.20581679290017799</v>
      </c>
      <c r="M18" s="110">
        <f>IFERROR('1a'!M19/'3a'!M19, "na")</f>
        <v>0.38189225819247635</v>
      </c>
    </row>
    <row r="19" spans="1:13">
      <c r="A19" s="28">
        <v>1995</v>
      </c>
      <c r="B19" s="106">
        <f>IFERROR('1a'!B20/'3a'!B20, "na")</f>
        <v>0.29642449460544246</v>
      </c>
      <c r="C19" s="104">
        <f>IFERROR('1a'!C20/'3a'!C20, "na")</f>
        <v>0.29861146248201981</v>
      </c>
      <c r="D19" s="104" t="str">
        <f>IFERROR('1a'!D20/'3a'!D20, "na")</f>
        <v>na</v>
      </c>
      <c r="E19" s="110" t="str">
        <f>IFERROR('1a'!E20/'3a'!E20, "na")</f>
        <v>na</v>
      </c>
      <c r="F19" s="106">
        <f>IFERROR('1a'!F20/'3a'!F20, "na")</f>
        <v>0.86131288634309178</v>
      </c>
      <c r="G19" s="104">
        <f>IFERROR('1a'!G20/'3a'!G20, "na")</f>
        <v>0.49498345489969126</v>
      </c>
      <c r="H19" s="104" t="str">
        <f>IFERROR('1a'!H20/'3a'!H20, "na")</f>
        <v>na</v>
      </c>
      <c r="I19" s="110" t="str">
        <f>IFERROR('1a'!I20/'3a'!I20, "na")</f>
        <v>na</v>
      </c>
      <c r="J19" s="106">
        <f>IFERROR('1a'!J20/'3a'!J20, "na")</f>
        <v>0.65441556548131852</v>
      </c>
      <c r="K19" s="104">
        <f>IFERROR('1a'!K20/'3a'!K20, "na")</f>
        <v>0.4520715017920342</v>
      </c>
      <c r="L19" s="104">
        <f>IFERROR('1a'!L20/'3a'!L20, "na")</f>
        <v>0.21460731914261116</v>
      </c>
      <c r="M19" s="110">
        <f>IFERROR('1a'!M20/'3a'!M20, "na")</f>
        <v>0.38979876566197919</v>
      </c>
    </row>
    <row r="20" spans="1:13">
      <c r="A20" s="28">
        <v>1996</v>
      </c>
      <c r="B20" s="106">
        <f>IFERROR('1a'!B21/'3a'!B21, "na")</f>
        <v>0.6577492710639804</v>
      </c>
      <c r="C20" s="104">
        <f>IFERROR('1a'!C21/'3a'!C21, "na")</f>
        <v>0.3652365283443762</v>
      </c>
      <c r="D20" s="104">
        <f>IFERROR('1a'!D21/'3a'!D21, "na")</f>
        <v>0.26472867960277446</v>
      </c>
      <c r="E20" s="110">
        <f>IFERROR('1a'!E21/'3a'!E21, "na")</f>
        <v>0.40691303039101551</v>
      </c>
      <c r="F20" s="106">
        <f>IFERROR('1a'!F21/'3a'!F21, "na")</f>
        <v>0.88515152076121351</v>
      </c>
      <c r="G20" s="104">
        <f>IFERROR('1a'!G21/'3a'!G21, "na")</f>
        <v>0.56702917406734643</v>
      </c>
      <c r="H20" s="104" t="str">
        <f>IFERROR('1a'!H21/'3a'!H21, "na")</f>
        <v>na</v>
      </c>
      <c r="I20" s="110" t="str">
        <f>IFERROR('1a'!I21/'3a'!I21, "na")</f>
        <v>na</v>
      </c>
      <c r="J20" s="106">
        <f>IFERROR('1a'!J21/'3a'!J21, "na")</f>
        <v>0.67104357494572986</v>
      </c>
      <c r="K20" s="104">
        <f>IFERROR('1a'!K21/'3a'!K21, "na")</f>
        <v>0.46260464488252773</v>
      </c>
      <c r="L20" s="104">
        <f>IFERROR('1a'!L21/'3a'!L21, "na")</f>
        <v>0.22419692528563739</v>
      </c>
      <c r="M20" s="110">
        <f>IFERROR('1a'!M21/'3a'!M21, "na")</f>
        <v>0.4009231446276974</v>
      </c>
    </row>
    <row r="21" spans="1:13">
      <c r="A21" s="28">
        <v>1997</v>
      </c>
      <c r="B21" s="106">
        <f>IFERROR('1a'!B22/'3a'!B22, "na")</f>
        <v>1.0209840519417845</v>
      </c>
      <c r="C21" s="104">
        <f>IFERROR('1a'!C22/'3a'!C22, "na")</f>
        <v>0.5827386957909747</v>
      </c>
      <c r="D21" s="104">
        <f>IFERROR('1a'!D22/'3a'!D22, "na")</f>
        <v>0.72880263092038056</v>
      </c>
      <c r="E21" s="110">
        <f>IFERROR('1a'!E22/'3a'!E22, "na")</f>
        <v>0.72308430092227949</v>
      </c>
      <c r="F21" s="106">
        <f>IFERROR('1a'!F22/'3a'!F22, "na")</f>
        <v>0.85111034548278652</v>
      </c>
      <c r="G21" s="104">
        <f>IFERROR('1a'!G22/'3a'!G22, "na")</f>
        <v>0.73613792261500544</v>
      </c>
      <c r="H21" s="104">
        <f>IFERROR('1a'!H22/'3a'!H22, "na")</f>
        <v>0.15653110267757481</v>
      </c>
      <c r="I21" s="110">
        <f>IFERROR('1a'!I22/'3a'!I22, "na")</f>
        <v>0.76431613345543881</v>
      </c>
      <c r="J21" s="106">
        <f>IFERROR('1a'!J22/'3a'!J22, "na")</f>
        <v>0.68074037249846808</v>
      </c>
      <c r="K21" s="104">
        <f>IFERROR('1a'!K22/'3a'!K22, "na")</f>
        <v>0.47337460365393325</v>
      </c>
      <c r="L21" s="104">
        <f>IFERROR('1a'!L22/'3a'!L22, "na")</f>
        <v>0.28319046216923421</v>
      </c>
      <c r="M21" s="110">
        <f>IFERROR('1a'!M22/'3a'!M22, "na")</f>
        <v>0.43565756553899698</v>
      </c>
    </row>
    <row r="22" spans="1:13">
      <c r="A22" s="28">
        <v>1998</v>
      </c>
      <c r="B22" s="106">
        <f>IFERROR('1a'!B23/'3a'!B23, "na")</f>
        <v>0.86059557698378197</v>
      </c>
      <c r="C22" s="104">
        <f>IFERROR('1a'!C23/'3a'!C23, "na")</f>
        <v>0.54984333073013647</v>
      </c>
      <c r="D22" s="104">
        <f>IFERROR('1a'!D23/'3a'!D23, "na")</f>
        <v>0.19952641109374269</v>
      </c>
      <c r="E22" s="110">
        <f>IFERROR('1a'!E23/'3a'!E23, "na")</f>
        <v>0.62847265451955403</v>
      </c>
      <c r="F22" s="106">
        <f>IFERROR('1a'!F23/'3a'!F23, "na")</f>
        <v>0.98211176599558936</v>
      </c>
      <c r="G22" s="104">
        <f>IFERROR('1a'!G23/'3a'!G23, "na")</f>
        <v>0.68893332306017507</v>
      </c>
      <c r="H22" s="104">
        <f>IFERROR('1a'!H23/'3a'!H23, "na")</f>
        <v>0.58117268002066935</v>
      </c>
      <c r="I22" s="110">
        <f>IFERROR('1a'!I23/'3a'!I23, "na")</f>
        <v>0.83953521681429533</v>
      </c>
      <c r="J22" s="106">
        <f>IFERROR('1a'!J23/'3a'!J23, "na")</f>
        <v>0.74667240363299636</v>
      </c>
      <c r="K22" s="104">
        <f>IFERROR('1a'!K23/'3a'!K23, "na")</f>
        <v>0.48130005317520425</v>
      </c>
      <c r="L22" s="104">
        <f>IFERROR('1a'!L23/'3a'!L23, "na")</f>
        <v>0.26544736326521967</v>
      </c>
      <c r="M22" s="110">
        <f>IFERROR('1a'!M23/'3a'!M23, "na")</f>
        <v>0.45558444360984951</v>
      </c>
    </row>
    <row r="23" spans="1:13">
      <c r="A23" s="28">
        <v>1999</v>
      </c>
      <c r="B23" s="106">
        <f>IFERROR('1a'!B24/'3a'!B24, "na")</f>
        <v>0.66980726672611002</v>
      </c>
      <c r="C23" s="104">
        <f>IFERROR('1a'!C24/'3a'!C24, "na")</f>
        <v>0.61139976484975611</v>
      </c>
      <c r="D23" s="104">
        <f>IFERROR('1a'!D24/'3a'!D24, "na")</f>
        <v>0.26185205711155463</v>
      </c>
      <c r="E23" s="110">
        <f>IFERROR('1a'!E24/'3a'!E24, "na")</f>
        <v>0.60629451626110553</v>
      </c>
      <c r="F23" s="106">
        <f>IFERROR('1a'!F24/'3a'!F24, "na")</f>
        <v>0.2115255617625191</v>
      </c>
      <c r="G23" s="104">
        <f>IFERROR('1a'!G24/'3a'!G24, "na")</f>
        <v>0.34298588152485726</v>
      </c>
      <c r="H23" s="104">
        <f>IFERROR('1a'!H24/'3a'!H24, "na")</f>
        <v>6.5607380830343398E-2</v>
      </c>
      <c r="I23" s="110">
        <f>IFERROR('1a'!I24/'3a'!I24, "na")</f>
        <v>0.27824040214288098</v>
      </c>
      <c r="J23" s="106">
        <f>IFERROR('1a'!J24/'3a'!J24, "na")</f>
        <v>0.71828943574784188</v>
      </c>
      <c r="K23" s="104">
        <f>IFERROR('1a'!K24/'3a'!K24, "na")</f>
        <v>0.46116340389176136</v>
      </c>
      <c r="L23" s="104">
        <f>IFERROR('1a'!L24/'3a'!L24, "na")</f>
        <v>0.30865580917003088</v>
      </c>
      <c r="M23" s="110">
        <f>IFERROR('1a'!M24/'3a'!M24, "na")</f>
        <v>0.46216065667623418</v>
      </c>
    </row>
    <row r="24" spans="1:13">
      <c r="A24" s="28">
        <v>2000</v>
      </c>
      <c r="B24" s="106">
        <f>IFERROR('1a'!B25/'3a'!B25, "na")</f>
        <v>0.22978043203161422</v>
      </c>
      <c r="C24" s="104">
        <f>IFERROR('1a'!C25/'3a'!C25, "na")</f>
        <v>0.55593409146743589</v>
      </c>
      <c r="D24" s="104">
        <f>IFERROR('1a'!D25/'3a'!D25, "na")</f>
        <v>0.11465684373788292</v>
      </c>
      <c r="E24" s="110">
        <f>IFERROR('1a'!E25/'3a'!E25, "na")</f>
        <v>0.47993523700782897</v>
      </c>
      <c r="F24" s="106">
        <f>IFERROR('1a'!F25/'3a'!F25, "na")</f>
        <v>0.50099475684664208</v>
      </c>
      <c r="G24" s="104">
        <f>IFERROR('1a'!G25/'3a'!G25, "na")</f>
        <v>0.54729704139107915</v>
      </c>
      <c r="H24" s="104">
        <f>IFERROR('1a'!H25/'3a'!H25, "na")</f>
        <v>0.67689915481654239</v>
      </c>
      <c r="I24" s="110">
        <f>IFERROR('1a'!I25/'3a'!I25, "na")</f>
        <v>0.54138961994603807</v>
      </c>
      <c r="J24" s="106">
        <f>IFERROR('1a'!J25/'3a'!J25, "na")</f>
        <v>0.68338986103190569</v>
      </c>
      <c r="K24" s="104">
        <f>IFERROR('1a'!K25/'3a'!K25, "na")</f>
        <v>0.44434406056263437</v>
      </c>
      <c r="L24" s="104">
        <f>IFERROR('1a'!L25/'3a'!L25, "na")</f>
        <v>0.35738328492272348</v>
      </c>
      <c r="M24" s="110">
        <f>IFERROR('1a'!M25/'3a'!M25, "na")</f>
        <v>0.46781093306216909</v>
      </c>
    </row>
    <row r="25" spans="1:13">
      <c r="A25" s="28">
        <v>2001</v>
      </c>
      <c r="B25" s="106">
        <f>IFERROR('1a'!B26/'3a'!B26, "na")</f>
        <v>7.206628759156003E-2</v>
      </c>
      <c r="C25" s="104">
        <f>IFERROR('1a'!C26/'3a'!C26, "na")</f>
        <v>0.40395437935414386</v>
      </c>
      <c r="D25" s="104">
        <f>IFERROR('1a'!D26/'3a'!D26, "na")</f>
        <v>5.9999400005999938E-4</v>
      </c>
      <c r="E25" s="110">
        <f>IFERROR('1a'!E26/'3a'!E26, "na")</f>
        <v>0.35367569003997401</v>
      </c>
      <c r="F25" s="106">
        <f>IFERROR('1a'!F26/'3a'!F26, "na")</f>
        <v>3.6027285194776236E-3</v>
      </c>
      <c r="G25" s="104">
        <f>IFERROR('1a'!G26/'3a'!G26, "na")</f>
        <v>0.39403375235459193</v>
      </c>
      <c r="H25" s="104">
        <f>IFERROR('1a'!H26/'3a'!H26, "na")</f>
        <v>4.5068318341685086E-2</v>
      </c>
      <c r="I25" s="110">
        <f>IFERROR('1a'!I26/'3a'!I26, "na")</f>
        <v>0.2945806312199869</v>
      </c>
      <c r="J25" s="106">
        <f>IFERROR('1a'!J26/'3a'!J26, "na")</f>
        <v>0.58403555045004873</v>
      </c>
      <c r="K25" s="104">
        <f>IFERROR('1a'!K26/'3a'!K26, "na")</f>
        <v>0.44872798193894153</v>
      </c>
      <c r="L25" s="104">
        <f>IFERROR('1a'!L26/'3a'!L26, "na")</f>
        <v>0.3406268632388077</v>
      </c>
      <c r="M25" s="110">
        <f>IFERROR('1a'!M26/'3a'!M26, "na")</f>
        <v>0.43675483052752295</v>
      </c>
    </row>
    <row r="26" spans="1:13">
      <c r="A26" s="28">
        <v>2002</v>
      </c>
      <c r="B26" s="106">
        <f>IFERROR('1a'!B27/'3a'!B27, "na")</f>
        <v>0.62989519523771864</v>
      </c>
      <c r="C26" s="104">
        <f>IFERROR('1a'!C27/'3a'!C27, "na")</f>
        <v>0.31552644946194808</v>
      </c>
      <c r="D26" s="104">
        <f>IFERROR('1a'!D27/'3a'!D27, "na")</f>
        <v>0.20071884590766609</v>
      </c>
      <c r="E26" s="110">
        <f>IFERROR('1a'!E27/'3a'!E27, "na")</f>
        <v>0.34937998445474328</v>
      </c>
      <c r="F26" s="106">
        <f>IFERROR('1a'!F27/'3a'!F27, "na")</f>
        <v>8.8916174604050546E-2</v>
      </c>
      <c r="G26" s="104">
        <f>IFERROR('1a'!G27/'3a'!G27, "na")</f>
        <v>0.34883037947322726</v>
      </c>
      <c r="H26" s="104">
        <f>IFERROR('1a'!H27/'3a'!H27, "na")</f>
        <v>0.19196268388948695</v>
      </c>
      <c r="I26" s="110">
        <f>IFERROR('1a'!I27/'3a'!I27, "na")</f>
        <v>0.30293658866143475</v>
      </c>
      <c r="J26" s="106">
        <f>IFERROR('1a'!J27/'3a'!J27, "na")</f>
        <v>0.5937134371343713</v>
      </c>
      <c r="K26" s="104">
        <f>IFERROR('1a'!K27/'3a'!K27, "na")</f>
        <v>0.42814653108591744</v>
      </c>
      <c r="L26" s="104">
        <f>IFERROR('1a'!L27/'3a'!L27, "na")</f>
        <v>0.30527007546849827</v>
      </c>
      <c r="M26" s="110">
        <f>IFERROR('1a'!M27/'3a'!M27, "na")</f>
        <v>0.4169284547087736</v>
      </c>
    </row>
    <row r="27" spans="1:13">
      <c r="A27" s="28">
        <v>2003</v>
      </c>
      <c r="B27" s="106">
        <f>IFERROR('1a'!B28/'3a'!B28, "na")</f>
        <v>0.829820971498893</v>
      </c>
      <c r="C27" s="104">
        <f>IFERROR('1a'!C28/'3a'!C28, "na")</f>
        <v>0.33935986123716955</v>
      </c>
      <c r="D27" s="104">
        <f>IFERROR('1a'!D28/'3a'!D28, "na")</f>
        <v>0.54523763042016438</v>
      </c>
      <c r="E27" s="110">
        <f>IFERROR('1a'!E28/'3a'!E28, "na")</f>
        <v>0.44708797245115856</v>
      </c>
      <c r="F27" s="106">
        <f>IFERROR('1a'!F28/'3a'!F28, "na")</f>
        <v>0.59563646098246548</v>
      </c>
      <c r="G27" s="104">
        <f>IFERROR('1a'!G28/'3a'!G28, "na")</f>
        <v>0.4237176693852186</v>
      </c>
      <c r="H27" s="104">
        <f>IFERROR('1a'!H28/'3a'!H28, "na")</f>
        <v>0.27802606200310492</v>
      </c>
      <c r="I27" s="110">
        <f>IFERROR('1a'!I28/'3a'!I28, "na")</f>
        <v>0.43911724126687157</v>
      </c>
      <c r="J27" s="106">
        <f>IFERROR('1a'!J28/'3a'!J28, "na")</f>
        <v>0.61070918151996034</v>
      </c>
      <c r="K27" s="104">
        <f>IFERROR('1a'!K28/'3a'!K28, "na")</f>
        <v>0.43316719157632622</v>
      </c>
      <c r="L27" s="104">
        <f>IFERROR('1a'!L28/'3a'!L28, "na")</f>
        <v>0.30159527340437126</v>
      </c>
      <c r="M27" s="110">
        <f>IFERROR('1a'!M28/'3a'!M28, "na")</f>
        <v>0.42673983055298148</v>
      </c>
    </row>
    <row r="28" spans="1:13">
      <c r="A28" s="28">
        <v>2004</v>
      </c>
      <c r="B28" s="106">
        <f>IFERROR('1a'!B29/'3a'!B29, "na")</f>
        <v>0.72564853739308754</v>
      </c>
      <c r="C28" s="104">
        <f>IFERROR('1a'!C29/'3a'!C29, "na")</f>
        <v>0.431370213971213</v>
      </c>
      <c r="D28" s="104">
        <f>IFERROR('1a'!D29/'3a'!D29, "na")</f>
        <v>0.47970170832857739</v>
      </c>
      <c r="E28" s="110">
        <f>IFERROR('1a'!E29/'3a'!E29, "na")</f>
        <v>0.50080284545609677</v>
      </c>
      <c r="F28" s="106">
        <f>IFERROR('1a'!F29/'3a'!F29, "na")</f>
        <v>0.61459630130807397</v>
      </c>
      <c r="G28" s="104">
        <f>IFERROR('1a'!G29/'3a'!G29, "na")</f>
        <v>0.60491949360865283</v>
      </c>
      <c r="H28" s="104">
        <f>IFERROR('1a'!H29/'3a'!H29, "na")</f>
        <v>0.34479091682481505</v>
      </c>
      <c r="I28" s="110">
        <f>IFERROR('1a'!I29/'3a'!I29, "na")</f>
        <v>0.59253924191745533</v>
      </c>
      <c r="J28" s="106">
        <f>IFERROR('1a'!J29/'3a'!J29, "na")</f>
        <v>0.65709771804663086</v>
      </c>
      <c r="K28" s="104">
        <f>IFERROR('1a'!K29/'3a'!K29, "na")</f>
        <v>0.45367025793751736</v>
      </c>
      <c r="L28" s="104">
        <f>IFERROR('1a'!L29/'3a'!L29, "na")</f>
        <v>0.31662772424630914</v>
      </c>
      <c r="M28" s="110">
        <f>IFERROR('1a'!M29/'3a'!M29, "na")</f>
        <v>0.45740401202455061</v>
      </c>
    </row>
    <row r="29" spans="1:13">
      <c r="A29" s="28">
        <v>2005</v>
      </c>
      <c r="B29" s="106">
        <f>IFERROR('1a'!B30/'3a'!B30, "na")</f>
        <v>0.74523154294844618</v>
      </c>
      <c r="C29" s="104">
        <f>IFERROR('1a'!C30/'3a'!C30, "na")</f>
        <v>0.54803303644617107</v>
      </c>
      <c r="D29" s="104">
        <f>IFERROR('1a'!D30/'3a'!D30, "na")</f>
        <v>0.42934567635649501</v>
      </c>
      <c r="E29" s="110">
        <f>IFERROR('1a'!E30/'3a'!E30, "na")</f>
        <v>0.58825440899905734</v>
      </c>
      <c r="F29" s="106">
        <f>IFERROR('1a'!F30/'3a'!F30, "na")</f>
        <v>0.74552025472377814</v>
      </c>
      <c r="G29" s="104">
        <f>IFERROR('1a'!G30/'3a'!G30, "na")</f>
        <v>0.60635589300068371</v>
      </c>
      <c r="H29" s="104">
        <f>IFERROR('1a'!H30/'3a'!H30, "na")</f>
        <v>0.53212373020259573</v>
      </c>
      <c r="I29" s="110">
        <f>IFERROR('1a'!I30/'3a'!I30, "na")</f>
        <v>0.61843488445930273</v>
      </c>
      <c r="J29" s="106">
        <f>IFERROR('1a'!J30/'3a'!J30, "na")</f>
        <v>0.65820992231284614</v>
      </c>
      <c r="K29" s="104">
        <f>IFERROR('1a'!K30/'3a'!K30, "na")</f>
        <v>0.47342940779103804</v>
      </c>
      <c r="L29" s="104">
        <f>IFERROR('1a'!L30/'3a'!L30, "na")</f>
        <v>0.32024829231269653</v>
      </c>
      <c r="M29" s="110">
        <f>IFERROR('1a'!M30/'3a'!M30, "na")</f>
        <v>0.47245551718197548</v>
      </c>
    </row>
    <row r="30" spans="1:13">
      <c r="A30" s="28">
        <v>2006</v>
      </c>
      <c r="B30" s="106">
        <f>IFERROR('1a'!B31/'3a'!B31, "na")</f>
        <v>0.58158489639686217</v>
      </c>
      <c r="C30" s="104">
        <f>IFERROR('1a'!C31/'3a'!C31, "na")</f>
        <v>0.43929634784156674</v>
      </c>
      <c r="D30" s="104">
        <f>IFERROR('1a'!D31/'3a'!D31, "na")</f>
        <v>0.46454309213170086</v>
      </c>
      <c r="E30" s="110">
        <f>IFERROR('1a'!E31/'3a'!E31, "na")</f>
        <v>0.47370375303357182</v>
      </c>
      <c r="F30" s="106">
        <f>IFERROR('1a'!F31/'3a'!F31, "na")</f>
        <v>0.65328000000000019</v>
      </c>
      <c r="G30" s="104">
        <f>IFERROR('1a'!G31/'3a'!G31, "na")</f>
        <v>0.47946054052140674</v>
      </c>
      <c r="H30" s="104">
        <f>IFERROR('1a'!H31/'3a'!H31, "na")</f>
        <v>0.4192876965772433</v>
      </c>
      <c r="I30" s="110">
        <f>IFERROR('1a'!I31/'3a'!I31, "na")</f>
        <v>0.49655892745044738</v>
      </c>
      <c r="J30" s="106">
        <f>IFERROR('1a'!J31/'3a'!J31, "na")</f>
        <v>0.66611850989382948</v>
      </c>
      <c r="K30" s="104">
        <f>IFERROR('1a'!K31/'3a'!K31, "na")</f>
        <v>0.4531749719815214</v>
      </c>
      <c r="L30" s="104">
        <f>IFERROR('1a'!L31/'3a'!L31, "na")</f>
        <v>0.3325224871600666</v>
      </c>
      <c r="M30" s="110">
        <f>IFERROR('1a'!M31/'3a'!M31, "na")</f>
        <v>0.47450809480070727</v>
      </c>
    </row>
    <row r="31" spans="1:13">
      <c r="A31" s="28">
        <v>2007</v>
      </c>
      <c r="B31" s="106">
        <f>IFERROR('1a'!B32/'3a'!B32, "na")</f>
        <v>0.80867661709223815</v>
      </c>
      <c r="C31" s="104">
        <f>IFERROR('1a'!C32/'3a'!C32, "na")</f>
        <v>0.45249428525932484</v>
      </c>
      <c r="D31" s="104">
        <f>IFERROR('1a'!D32/'3a'!D32, "na")</f>
        <v>0.70243275901405233</v>
      </c>
      <c r="E31" s="110">
        <f>IFERROR('1a'!E32/'3a'!E32, "na")</f>
        <v>0.57996793872763319</v>
      </c>
      <c r="F31" s="106">
        <f>IFERROR('1a'!F32/'3a'!F32, "na")</f>
        <v>0.36403795236991626</v>
      </c>
      <c r="G31" s="104">
        <f>IFERROR('1a'!G32/'3a'!G32, "na")</f>
        <v>0.49751800973759991</v>
      </c>
      <c r="H31" s="104">
        <f>IFERROR('1a'!H32/'3a'!H32, "na")</f>
        <v>0.24873182721472645</v>
      </c>
      <c r="I31" s="110">
        <f>IFERROR('1a'!I32/'3a'!I32, "na")</f>
        <v>0.47632644874444918</v>
      </c>
      <c r="J31" s="106">
        <f>IFERROR('1a'!J32/'3a'!J32, "na")</f>
        <v>0.61392869536525574</v>
      </c>
      <c r="K31" s="104">
        <f>IFERROR('1a'!K32/'3a'!K32, "na")</f>
        <v>0.4734464315816897</v>
      </c>
      <c r="L31" s="104">
        <f>IFERROR('1a'!L32/'3a'!L32, "na")</f>
        <v>0.31341106177202244</v>
      </c>
      <c r="M31" s="110">
        <f>IFERROR('1a'!M32/'3a'!M32, "na")</f>
        <v>0.46923296019273159</v>
      </c>
    </row>
    <row r="32" spans="1:13">
      <c r="A32" s="28">
        <v>2008</v>
      </c>
      <c r="B32" s="106">
        <f>IFERROR('1a'!B33/'3a'!B33, "na")</f>
        <v>0.36772198274628332</v>
      </c>
      <c r="C32" s="104">
        <f>IFERROR('1a'!C33/'3a'!C33, "na")</f>
        <v>0.4376000289566665</v>
      </c>
      <c r="D32" s="104">
        <f>IFERROR('1a'!D33/'3a'!D33, "na")</f>
        <v>0.21419663429731642</v>
      </c>
      <c r="E32" s="110">
        <f>IFERROR('1a'!E33/'3a'!E33, "na")</f>
        <v>0.40097108748894972</v>
      </c>
      <c r="F32" s="106">
        <f>IFERROR('1a'!F33/'3a'!F33, "na")</f>
        <v>0.4516562642154312</v>
      </c>
      <c r="G32" s="104">
        <f>IFERROR('1a'!G33/'3a'!G33, "na")</f>
        <v>0.42883425921826657</v>
      </c>
      <c r="H32" s="104">
        <f>IFERROR('1a'!H33/'3a'!H33, "na")</f>
        <v>0.34481889763779539</v>
      </c>
      <c r="I32" s="110">
        <f>IFERROR('1a'!I33/'3a'!I33, "na")</f>
        <v>0.42687822870424291</v>
      </c>
      <c r="J32" s="106">
        <f>IFERROR('1a'!J33/'3a'!J33, "na")</f>
        <v>0.59859930453462951</v>
      </c>
      <c r="K32" s="104">
        <f>IFERROR('1a'!K33/'3a'!K33, "na")</f>
        <v>0.44223829233779249</v>
      </c>
      <c r="L32" s="104">
        <f>IFERROR('1a'!L33/'3a'!L33, "na")</f>
        <v>0.34238842928696039</v>
      </c>
      <c r="M32" s="110">
        <f>IFERROR('1a'!M33/'3a'!M33, "na")</f>
        <v>0.4576214949508412</v>
      </c>
    </row>
    <row r="33" spans="1:13">
      <c r="A33" s="28">
        <v>2009</v>
      </c>
      <c r="B33" s="106">
        <f>IFERROR('1a'!B34/'3a'!B34, "na")</f>
        <v>0.50437524657571819</v>
      </c>
      <c r="C33" s="104">
        <f>IFERROR('1a'!C34/'3a'!C34, "na")</f>
        <v>0.43357256582976117</v>
      </c>
      <c r="D33" s="104">
        <f>IFERROR('1a'!D34/'3a'!D34, "na")</f>
        <v>0.3293779165146033</v>
      </c>
      <c r="E33" s="110">
        <f>IFERROR('1a'!E34/'3a'!E34, "na")</f>
        <v>0.44047102168667163</v>
      </c>
      <c r="F33" s="106">
        <f>IFERROR('1a'!F34/'3a'!F34, "na")</f>
        <v>0.59252597566480991</v>
      </c>
      <c r="G33" s="104">
        <f>IFERROR('1a'!G34/'3a'!G34, "na")</f>
        <v>0.38860530385504072</v>
      </c>
      <c r="H33" s="104">
        <f>IFERROR('1a'!H34/'3a'!H34, "na")</f>
        <v>0.19202333172064628</v>
      </c>
      <c r="I33" s="110">
        <f>IFERROR('1a'!I34/'3a'!I34, "na")</f>
        <v>0.39522638609929434</v>
      </c>
      <c r="J33" s="106">
        <f>IFERROR('1a'!J34/'3a'!J34, "na")</f>
        <v>0.50661066957284495</v>
      </c>
      <c r="K33" s="104">
        <f>IFERROR('1a'!K34/'3a'!K34, "na")</f>
        <v>0.41076396206533194</v>
      </c>
      <c r="L33" s="104">
        <f>IFERROR('1a'!L34/'3a'!L34, "na")</f>
        <v>0.31358294470353099</v>
      </c>
      <c r="M33" s="110">
        <f>IFERROR('1a'!M34/'3a'!M34, "na")</f>
        <v>0.41049342671415145</v>
      </c>
    </row>
    <row r="34" spans="1:13">
      <c r="A34" s="28">
        <v>2010</v>
      </c>
      <c r="B34" s="106">
        <f>IFERROR('1a'!B35/'3a'!B35, "na")</f>
        <v>0.52560456993758764</v>
      </c>
      <c r="C34" s="104">
        <f>IFERROR('1a'!C35/'3a'!C35, "na")</f>
        <v>0.37280794984956267</v>
      </c>
      <c r="D34" s="104">
        <f>IFERROR('1a'!D35/'3a'!D35, "na")</f>
        <v>0.37869412756891113</v>
      </c>
      <c r="E34" s="110">
        <f>IFERROR('1a'!E35/'3a'!E35, "na")</f>
        <v>0.40822777102744306</v>
      </c>
      <c r="F34" s="106">
        <f>IFERROR('1a'!F35/'3a'!F35, "na")</f>
        <v>0.72457901082834819</v>
      </c>
      <c r="G34" s="104">
        <f>IFERROR('1a'!G35/'3a'!G35, "na")</f>
        <v>0.38605759448520666</v>
      </c>
      <c r="H34" s="104">
        <f>IFERROR('1a'!H35/'3a'!H35, "na")</f>
        <v>0.36291245569374408</v>
      </c>
      <c r="I34" s="110">
        <f>IFERROR('1a'!I35/'3a'!I35, "na")</f>
        <v>0.41077925476297611</v>
      </c>
      <c r="J34" s="106">
        <f>IFERROR('1a'!J35/'3a'!J35, "na")</f>
        <v>0.57185548167169398</v>
      </c>
      <c r="K34" s="104">
        <f>IFERROR('1a'!K35/'3a'!K35, "na")</f>
        <v>0.41221027897725521</v>
      </c>
      <c r="L34" s="104">
        <f>IFERROR('1a'!L35/'3a'!L35, "na")</f>
        <v>0.35152397656948076</v>
      </c>
      <c r="M34" s="110">
        <f>IFERROR('1a'!M35/'3a'!M35, "na")</f>
        <v>0.43557433082996344</v>
      </c>
    </row>
    <row r="35" spans="1:13">
      <c r="A35" s="29">
        <v>2011</v>
      </c>
      <c r="B35" s="107">
        <f>IFERROR('1a'!B36/'3a'!B36, "na")</f>
        <v>0.58309885903910164</v>
      </c>
      <c r="C35" s="108">
        <f>IFERROR('1a'!C36/'3a'!C36, "na")</f>
        <v>0.3996344417355629</v>
      </c>
      <c r="D35" s="108">
        <f>IFERROR('1a'!D36/'3a'!D36, "na")</f>
        <v>0.38657783803897372</v>
      </c>
      <c r="E35" s="111">
        <f>IFERROR('1a'!E36/'3a'!E36, "na")</f>
        <v>0.43857164754882771</v>
      </c>
      <c r="F35" s="107">
        <f>IFERROR('1a'!F36/'3a'!F36, "na")</f>
        <v>0.72512999299751191</v>
      </c>
      <c r="G35" s="108">
        <f>IFERROR('1a'!G36/'3a'!G36, "na")</f>
        <v>0.37745567915298689</v>
      </c>
      <c r="H35" s="108">
        <f>IFERROR('1a'!H36/'3a'!H36, "na")</f>
        <v>0.39567780988115936</v>
      </c>
      <c r="I35" s="111">
        <f>IFERROR('1a'!I36/'3a'!I36, "na")</f>
        <v>0.40695816231263299</v>
      </c>
      <c r="J35" s="107">
        <f>IFERROR('1a'!J36/'3a'!J36, "na")</f>
        <v>0.61984474807367307</v>
      </c>
      <c r="K35" s="108">
        <f>IFERROR('1a'!K36/'3a'!K36, "na")</f>
        <v>0.41218216281025033</v>
      </c>
      <c r="L35" s="108">
        <f>IFERROR('1a'!L36/'3a'!L36, "na")</f>
        <v>0.36668306049321997</v>
      </c>
      <c r="M35" s="111">
        <f>IFERROR('1a'!M36/'3a'!M36, "na")</f>
        <v>0.44872360484139923</v>
      </c>
    </row>
    <row r="37" spans="1:13">
      <c r="A37" s="389" t="s">
        <v>77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28" t="s">
        <v>53</v>
      </c>
      <c r="B38" s="35">
        <f>B14-B5</f>
        <v>-0.72161710684412828</v>
      </c>
      <c r="C38" s="30">
        <f t="shared" ref="C38:L38" si="0">C14-C5</f>
        <v>-0.1468972563142058</v>
      </c>
      <c r="D38" s="30">
        <f t="shared" si="0"/>
        <v>-0.24377595895531634</v>
      </c>
      <c r="E38" s="36">
        <f t="shared" ref="E38" si="1">E14-E5</f>
        <v>-0.28042559336413747</v>
      </c>
      <c r="F38" s="35">
        <f t="shared" si="0"/>
        <v>-0.30668007726786206</v>
      </c>
      <c r="G38" s="30">
        <f t="shared" si="0"/>
        <v>-0.17623313540113827</v>
      </c>
      <c r="H38" s="30">
        <f t="shared" si="0"/>
        <v>-0.24689485981358905</v>
      </c>
      <c r="I38" s="36">
        <f t="shared" ref="I38" si="2">I14-I5</f>
        <v>-0.31930890171981841</v>
      </c>
      <c r="J38" s="35">
        <f t="shared" si="0"/>
        <v>-0.18890999048067403</v>
      </c>
      <c r="K38" s="30">
        <f t="shared" si="0"/>
        <v>-1.6674714315518924E-2</v>
      </c>
      <c r="L38" s="30">
        <f t="shared" si="0"/>
        <v>3.5188672111782698E-2</v>
      </c>
      <c r="M38" s="36">
        <f t="shared" ref="M38" si="3">M14-M5</f>
        <v>1.7698631178687141E-2</v>
      </c>
    </row>
    <row r="39" spans="1:13">
      <c r="A39" s="28" t="s">
        <v>71</v>
      </c>
      <c r="B39" s="37">
        <f>B24-B14</f>
        <v>0.19985785572123194</v>
      </c>
      <c r="C39" s="34">
        <f t="shared" ref="C39:L39" si="4">C24-C14</f>
        <v>9.338922143115358E-2</v>
      </c>
      <c r="D39" s="34">
        <f t="shared" si="4"/>
        <v>2.6207542558263464E-2</v>
      </c>
      <c r="E39" s="38">
        <f t="shared" ref="E39" si="5">E24-E14</f>
        <v>0.12730313935482385</v>
      </c>
      <c r="F39" s="37">
        <f t="shared" si="4"/>
        <v>7.6056397798953013E-2</v>
      </c>
      <c r="G39" s="34">
        <f t="shared" si="4"/>
        <v>0.19309413558572563</v>
      </c>
      <c r="H39" s="34">
        <f t="shared" si="4"/>
        <v>0.63252838411850887</v>
      </c>
      <c r="I39" s="38">
        <f t="shared" ref="I39" si="6">I24-I14</f>
        <v>0.23838074881947136</v>
      </c>
      <c r="J39" s="37">
        <f t="shared" si="4"/>
        <v>0.16230602254768967</v>
      </c>
      <c r="K39" s="34">
        <f t="shared" si="4"/>
        <v>-5.0537465491646449E-2</v>
      </c>
      <c r="L39" s="34">
        <f t="shared" si="4"/>
        <v>0.12034172698262222</v>
      </c>
      <c r="M39" s="38">
        <f t="shared" ref="M39" si="7">M24-M14</f>
        <v>0.10519795386595315</v>
      </c>
    </row>
    <row r="40" spans="1:13">
      <c r="A40" s="28" t="s">
        <v>69</v>
      </c>
      <c r="B40" s="37">
        <f>B34-B24</f>
        <v>0.29582413790597339</v>
      </c>
      <c r="C40" s="34">
        <f t="shared" ref="C40:L40" si="8">C34-C24</f>
        <v>-0.18312614161787322</v>
      </c>
      <c r="D40" s="34">
        <f t="shared" si="8"/>
        <v>0.2640372838310282</v>
      </c>
      <c r="E40" s="38">
        <f>E34-E24</f>
        <v>-7.1707465980385909E-2</v>
      </c>
      <c r="F40" s="37">
        <f t="shared" si="8"/>
        <v>0.22358425398170612</v>
      </c>
      <c r="G40" s="34">
        <f t="shared" si="8"/>
        <v>-0.1612394469058725</v>
      </c>
      <c r="H40" s="34">
        <f t="shared" si="8"/>
        <v>-0.31398669912279831</v>
      </c>
      <c r="I40" s="38">
        <f t="shared" ref="I40" si="9">I34-I24</f>
        <v>-0.13061036518306196</v>
      </c>
      <c r="J40" s="37">
        <f t="shared" si="8"/>
        <v>-0.11153437936021171</v>
      </c>
      <c r="K40" s="34">
        <f t="shared" si="8"/>
        <v>-3.2133781585379162E-2</v>
      </c>
      <c r="L40" s="34">
        <f t="shared" si="8"/>
        <v>-5.8593083532427204E-3</v>
      </c>
      <c r="M40" s="38">
        <f t="shared" ref="M40" si="10">M34-M24</f>
        <v>-3.2236602232205647E-2</v>
      </c>
    </row>
    <row r="41" spans="1:13">
      <c r="A41" s="29" t="s">
        <v>70</v>
      </c>
      <c r="B41" s="39">
        <f>B34-B5</f>
        <v>-0.22593511321692294</v>
      </c>
      <c r="C41" s="40">
        <f t="shared" ref="C41:L41" si="11">C34-C5</f>
        <v>-0.23663417650092544</v>
      </c>
      <c r="D41" s="40">
        <f t="shared" si="11"/>
        <v>4.6468867433975325E-2</v>
      </c>
      <c r="E41" s="41">
        <f t="shared" ref="E41" si="12">E34-E5</f>
        <v>-0.22482991998969953</v>
      </c>
      <c r="F41" s="39">
        <f t="shared" si="11"/>
        <v>-7.0394254872029327E-3</v>
      </c>
      <c r="G41" s="40">
        <f t="shared" si="11"/>
        <v>-0.14437844672128514</v>
      </c>
      <c r="H41" s="40">
        <f t="shared" si="11"/>
        <v>7.164682518212151E-2</v>
      </c>
      <c r="I41" s="41">
        <f t="shared" ref="I41" si="13">I34-I5</f>
        <v>-0.21153851808340901</v>
      </c>
      <c r="J41" s="39">
        <f t="shared" si="11"/>
        <v>-0.13813834729319607</v>
      </c>
      <c r="K41" s="40">
        <f t="shared" si="11"/>
        <v>-9.9345961392544535E-2</v>
      </c>
      <c r="L41" s="40">
        <f t="shared" si="11"/>
        <v>0.14967109074116219</v>
      </c>
      <c r="M41" s="41">
        <f t="shared" ref="M41" si="14">M34-M5</f>
        <v>9.0659982812434647E-2</v>
      </c>
    </row>
    <row r="43" spans="1:13">
      <c r="A43" s="1" t="s">
        <v>214</v>
      </c>
    </row>
    <row r="44" spans="1:13">
      <c r="A44" s="1" t="s">
        <v>98</v>
      </c>
    </row>
  </sheetData>
  <mergeCells count="4">
    <mergeCell ref="B3:E3"/>
    <mergeCell ref="F3:I3"/>
    <mergeCell ref="J3:M3"/>
    <mergeCell ref="A37:M37"/>
  </mergeCells>
  <pageMargins left="0.7" right="0.7" top="0.75" bottom="0.75" header="0.3" footer="0.3"/>
  <pageSetup scale="65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M44"/>
  <sheetViews>
    <sheetView zoomScaleNormal="100" workbookViewId="0">
      <selection sqref="A1:F2"/>
    </sheetView>
  </sheetViews>
  <sheetFormatPr defaultRowHeight="15"/>
  <cols>
    <col min="1" max="1" width="11.85546875" style="1" customWidth="1"/>
    <col min="2" max="2" width="13.28515625" style="1" customWidth="1"/>
    <col min="3" max="3" width="15" style="1" customWidth="1"/>
    <col min="4" max="4" width="17.140625" style="1" customWidth="1"/>
    <col min="5" max="5" width="9.140625" style="1"/>
    <col min="6" max="6" width="17.7109375" style="1" customWidth="1"/>
    <col min="7" max="7" width="9.140625" style="1"/>
    <col min="8" max="8" width="18.140625" style="1" customWidth="1"/>
    <col min="9" max="9" width="9.140625" style="1"/>
    <col min="10" max="10" width="10.5703125" style="1" customWidth="1"/>
    <col min="11" max="11" width="9.140625" style="1"/>
    <col min="12" max="12" width="18.28515625" style="1" customWidth="1"/>
    <col min="13" max="13" width="9.140625" style="1" customWidth="1"/>
    <col min="14" max="16384" width="9.140625" style="1"/>
  </cols>
  <sheetData>
    <row r="1" spans="1:13" ht="41.25" customHeight="1">
      <c r="A1" s="387" t="s">
        <v>138</v>
      </c>
      <c r="B1" s="387"/>
      <c r="C1" s="387"/>
      <c r="D1" s="387"/>
      <c r="E1" s="387"/>
      <c r="F1" s="387"/>
    </row>
    <row r="2" spans="1:13" ht="15" hidden="1" customHeight="1">
      <c r="A2" s="387"/>
      <c r="B2" s="387"/>
      <c r="C2" s="387"/>
      <c r="D2" s="387"/>
      <c r="E2" s="387"/>
      <c r="F2" s="387"/>
    </row>
    <row r="4" spans="1:13" s="18" customFormat="1"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s="18" customFormat="1" ht="30"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 s="18" customFormat="1">
      <c r="A6" s="184">
        <v>1981</v>
      </c>
      <c r="B6" s="190" t="str">
        <f>IFERROR('3a'!B6/'1h'!$B6*1000, "na")</f>
        <v>na</v>
      </c>
      <c r="C6" s="191" t="str">
        <f>IFERROR('3a'!C6/'1h'!$B6*1000, "na")</f>
        <v>na</v>
      </c>
      <c r="D6" s="191" t="str">
        <f>IFERROR('3a'!D6/'1h'!$B6*1000, "na")</f>
        <v>na</v>
      </c>
      <c r="E6" s="153" t="str">
        <f>IFERROR('3a'!E6/'1h'!$B6*1000, "na")</f>
        <v>na</v>
      </c>
      <c r="F6" s="190" t="str">
        <f>IFERROR('3a'!F6/'1h'!$C6*1000, "na")</f>
        <v>na</v>
      </c>
      <c r="G6" s="191" t="str">
        <f>IFERROR('3a'!G6/'1h'!$C6*1000, "na")</f>
        <v>na</v>
      </c>
      <c r="H6" s="191" t="str">
        <f>IFERROR('3a'!H6/'1h'!$C6*1000, "na")</f>
        <v>na</v>
      </c>
      <c r="I6" s="153" t="str">
        <f>IFERROR('3a'!I6/'1h'!$C6*1000, "na")</f>
        <v>na</v>
      </c>
      <c r="J6" s="190" t="str">
        <f>IFERROR('3a'!J6/'1h'!$D6*1000, "na")</f>
        <v>na</v>
      </c>
      <c r="K6" s="191" t="str">
        <f>IFERROR('3a'!K6/'1h'!$D6*1000, "na")</f>
        <v>na</v>
      </c>
      <c r="L6" s="191" t="str">
        <f>IFERROR('3a'!L6/'1h'!$D6*1000, "na")</f>
        <v>na</v>
      </c>
      <c r="M6" s="153" t="str">
        <f>IFERROR('3a'!M6/'1h'!$D6*1000, "na")</f>
        <v>na</v>
      </c>
    </row>
    <row r="7" spans="1:13" s="18" customFormat="1">
      <c r="A7" s="185">
        <v>1982</v>
      </c>
      <c r="B7" s="112" t="str">
        <f>IFERROR('3a'!B7/'1h'!$B7*1000, "na")</f>
        <v>na</v>
      </c>
      <c r="C7" s="113" t="str">
        <f>IFERROR('3a'!C7/'1h'!$B7*1000, "na")</f>
        <v>na</v>
      </c>
      <c r="D7" s="113" t="str">
        <f>IFERROR('3a'!D7/'1h'!$B7*1000, "na")</f>
        <v>na</v>
      </c>
      <c r="E7" s="97" t="str">
        <f>IFERROR('3a'!E7/'1h'!$B7*1000, "na")</f>
        <v>na</v>
      </c>
      <c r="F7" s="112" t="str">
        <f>IFERROR('3a'!F7/'1h'!$C7*1000, "na")</f>
        <v>na</v>
      </c>
      <c r="G7" s="113" t="str">
        <f>IFERROR('3a'!G7/'1h'!$C7*1000, "na")</f>
        <v>na</v>
      </c>
      <c r="H7" s="113" t="str">
        <f>IFERROR('3a'!H7/'1h'!$C7*1000, "na")</f>
        <v>na</v>
      </c>
      <c r="I7" s="97" t="str">
        <f>IFERROR('3a'!I7/'1h'!$C7*1000, "na")</f>
        <v>na</v>
      </c>
      <c r="J7" s="112" t="str">
        <f>IFERROR('3a'!J7/'1h'!$D7*1000, "na")</f>
        <v>na</v>
      </c>
      <c r="K7" s="113" t="str">
        <f>IFERROR('3a'!K7/'1h'!$D7*1000, "na")</f>
        <v>na</v>
      </c>
      <c r="L7" s="113" t="str">
        <f>IFERROR('3a'!L7/'1h'!$D7*1000, "na")</f>
        <v>na</v>
      </c>
      <c r="M7" s="97" t="str">
        <f>IFERROR('3a'!M7/'1h'!$D7*1000, "na")</f>
        <v>na</v>
      </c>
    </row>
    <row r="8" spans="1:13" s="18" customFormat="1">
      <c r="A8" s="185">
        <v>1983</v>
      </c>
      <c r="B8" s="112" t="str">
        <f>IFERROR('3a'!B8/'1h'!$B8*1000, "na")</f>
        <v>na</v>
      </c>
      <c r="C8" s="113" t="str">
        <f>IFERROR('3a'!C8/'1h'!$B8*1000, "na")</f>
        <v>na</v>
      </c>
      <c r="D8" s="113" t="str">
        <f>IFERROR('3a'!D8/'1h'!$B8*1000, "na")</f>
        <v>na</v>
      </c>
      <c r="E8" s="97" t="str">
        <f>IFERROR('3a'!E8/'1h'!$B8*1000, "na")</f>
        <v>na</v>
      </c>
      <c r="F8" s="112" t="str">
        <f>IFERROR('3a'!F8/'1h'!$C8*1000, "na")</f>
        <v>na</v>
      </c>
      <c r="G8" s="113" t="str">
        <f>IFERROR('3a'!G8/'1h'!$C8*1000, "na")</f>
        <v>na</v>
      </c>
      <c r="H8" s="113" t="str">
        <f>IFERROR('3a'!H8/'1h'!$C8*1000, "na")</f>
        <v>na</v>
      </c>
      <c r="I8" s="97" t="str">
        <f>IFERROR('3a'!I8/'1h'!$C8*1000, "na")</f>
        <v>na</v>
      </c>
      <c r="J8" s="112" t="str">
        <f>IFERROR('3a'!J8/'1h'!$D8*1000, "na")</f>
        <v>na</v>
      </c>
      <c r="K8" s="113" t="str">
        <f>IFERROR('3a'!K8/'1h'!$D8*1000, "na")</f>
        <v>na</v>
      </c>
      <c r="L8" s="113" t="str">
        <f>IFERROR('3a'!L8/'1h'!$D8*1000, "na")</f>
        <v>na</v>
      </c>
      <c r="M8" s="97" t="str">
        <f>IFERROR('3a'!M8/'1h'!$D8*1000, "na")</f>
        <v>na</v>
      </c>
    </row>
    <row r="9" spans="1:13" s="18" customFormat="1">
      <c r="A9" s="185">
        <v>1984</v>
      </c>
      <c r="B9" s="112" t="str">
        <f>IFERROR('3a'!B9/'1h'!$B9*1000, "na")</f>
        <v>na</v>
      </c>
      <c r="C9" s="113" t="str">
        <f>IFERROR('3a'!C9/'1h'!$B9*1000, "na")</f>
        <v>na</v>
      </c>
      <c r="D9" s="113" t="str">
        <f>IFERROR('3a'!D9/'1h'!$B9*1000, "na")</f>
        <v>na</v>
      </c>
      <c r="E9" s="97" t="str">
        <f>IFERROR('3a'!E9/'1h'!$B9*1000, "na")</f>
        <v>na</v>
      </c>
      <c r="F9" s="112" t="str">
        <f>IFERROR('3a'!F9/'1h'!$C9*1000, "na")</f>
        <v>na</v>
      </c>
      <c r="G9" s="113" t="str">
        <f>IFERROR('3a'!G9/'1h'!$C9*1000, "na")</f>
        <v>na</v>
      </c>
      <c r="H9" s="113" t="str">
        <f>IFERROR('3a'!H9/'1h'!$C9*1000, "na")</f>
        <v>na</v>
      </c>
      <c r="I9" s="97" t="str">
        <f>IFERROR('3a'!I9/'1h'!$C9*1000, "na")</f>
        <v>na</v>
      </c>
      <c r="J9" s="112" t="str">
        <f>IFERROR('3a'!J9/'1h'!$D9*1000, "na")</f>
        <v>na</v>
      </c>
      <c r="K9" s="113" t="str">
        <f>IFERROR('3a'!K9/'1h'!$D9*1000, "na")</f>
        <v>na</v>
      </c>
      <c r="L9" s="113" t="str">
        <f>IFERROR('3a'!L9/'1h'!$D9*1000, "na")</f>
        <v>na</v>
      </c>
      <c r="M9" s="97" t="str">
        <f>IFERROR('3a'!M9/'1h'!$D9*1000, "na")</f>
        <v>na</v>
      </c>
    </row>
    <row r="10" spans="1:13" s="18" customFormat="1">
      <c r="A10" s="185">
        <v>1985</v>
      </c>
      <c r="B10" s="112" t="str">
        <f>IFERROR('3a'!B10/'1h'!$B10*1000, "na")</f>
        <v>na</v>
      </c>
      <c r="C10" s="113" t="str">
        <f>IFERROR('3a'!C10/'1h'!$B10*1000, "na")</f>
        <v>na</v>
      </c>
      <c r="D10" s="113" t="str">
        <f>IFERROR('3a'!D10/'1h'!$B10*1000, "na")</f>
        <v>na</v>
      </c>
      <c r="E10" s="97" t="str">
        <f>IFERROR('3a'!E10/'1h'!$B10*1000, "na")</f>
        <v>na</v>
      </c>
      <c r="F10" s="112" t="str">
        <f>IFERROR('3a'!F10/'1h'!$C10*1000, "na")</f>
        <v>na</v>
      </c>
      <c r="G10" s="113" t="str">
        <f>IFERROR('3a'!G10/'1h'!$C10*1000, "na")</f>
        <v>na</v>
      </c>
      <c r="H10" s="113" t="str">
        <f>IFERROR('3a'!H10/'1h'!$C10*1000, "na")</f>
        <v>na</v>
      </c>
      <c r="I10" s="97" t="str">
        <f>IFERROR('3a'!I10/'1h'!$C10*1000, "na")</f>
        <v>na</v>
      </c>
      <c r="J10" s="112" t="str">
        <f>IFERROR('3a'!J10/'1h'!$D10*1000, "na")</f>
        <v>na</v>
      </c>
      <c r="K10" s="113" t="str">
        <f>IFERROR('3a'!K10/'1h'!$D10*1000, "na")</f>
        <v>na</v>
      </c>
      <c r="L10" s="113" t="str">
        <f>IFERROR('3a'!L10/'1h'!$D10*1000, "na")</f>
        <v>na</v>
      </c>
      <c r="M10" s="97" t="str">
        <f>IFERROR('3a'!M10/'1h'!$D10*1000, "na")</f>
        <v>na</v>
      </c>
    </row>
    <row r="11" spans="1:13" s="18" customFormat="1">
      <c r="A11" s="185">
        <v>1986</v>
      </c>
      <c r="B11" s="112" t="str">
        <f>IFERROR('3a'!B11/'1h'!$B11*1000, "na")</f>
        <v>na</v>
      </c>
      <c r="C11" s="113" t="str">
        <f>IFERROR('3a'!C11/'1h'!$B11*1000, "na")</f>
        <v>na</v>
      </c>
      <c r="D11" s="113" t="str">
        <f>IFERROR('3a'!D11/'1h'!$B11*1000, "na")</f>
        <v>na</v>
      </c>
      <c r="E11" s="97" t="str">
        <f>IFERROR('3a'!E11/'1h'!$B11*1000, "na")</f>
        <v>na</v>
      </c>
      <c r="F11" s="112" t="str">
        <f>IFERROR('3a'!F11/'1h'!$C11*1000, "na")</f>
        <v>na</v>
      </c>
      <c r="G11" s="113" t="str">
        <f>IFERROR('3a'!G11/'1h'!$C11*1000, "na")</f>
        <v>na</v>
      </c>
      <c r="H11" s="113" t="str">
        <f>IFERROR('3a'!H11/'1h'!$C11*1000, "na")</f>
        <v>na</v>
      </c>
      <c r="I11" s="97" t="str">
        <f>IFERROR('3a'!I11/'1h'!$C11*1000, "na")</f>
        <v>na</v>
      </c>
      <c r="J11" s="112" t="str">
        <f>IFERROR('3a'!J11/'1h'!$D11*1000, "na")</f>
        <v>na</v>
      </c>
      <c r="K11" s="113" t="str">
        <f>IFERROR('3a'!K11/'1h'!$D11*1000, "na")</f>
        <v>na</v>
      </c>
      <c r="L11" s="113" t="str">
        <f>IFERROR('3a'!L11/'1h'!$D11*1000, "na")</f>
        <v>na</v>
      </c>
      <c r="M11" s="97" t="str">
        <f>IFERROR('3a'!M11/'1h'!$D11*1000, "na")</f>
        <v>na</v>
      </c>
    </row>
    <row r="12" spans="1:13" s="18" customFormat="1">
      <c r="A12" s="185">
        <v>1987</v>
      </c>
      <c r="B12" s="112" t="str">
        <f>IFERROR('3a'!B12/'1h'!$B12*1000, "na")</f>
        <v>na</v>
      </c>
      <c r="C12" s="113" t="str">
        <f>IFERROR('3a'!C12/'1h'!$B12*1000, "na")</f>
        <v>na</v>
      </c>
      <c r="D12" s="113" t="str">
        <f>IFERROR('3a'!D12/'1h'!$B12*1000, "na")</f>
        <v>na</v>
      </c>
      <c r="E12" s="97" t="str">
        <f>IFERROR('3a'!E12/'1h'!$B12*1000, "na")</f>
        <v>na</v>
      </c>
      <c r="F12" s="112" t="str">
        <f>IFERROR('3a'!F12/'1h'!$C12*1000, "na")</f>
        <v>na</v>
      </c>
      <c r="G12" s="113" t="str">
        <f>IFERROR('3a'!G12/'1h'!$C12*1000, "na")</f>
        <v>na</v>
      </c>
      <c r="H12" s="113" t="str">
        <f>IFERROR('3a'!H12/'1h'!$C12*1000, "na")</f>
        <v>na</v>
      </c>
      <c r="I12" s="97" t="str">
        <f>IFERROR('3a'!I12/'1h'!$C12*1000, "na")</f>
        <v>na</v>
      </c>
      <c r="J12" s="112" t="str">
        <f>IFERROR('3a'!J12/'1h'!$D12*1000, "na")</f>
        <v>na</v>
      </c>
      <c r="K12" s="113" t="str">
        <f>IFERROR('3a'!K12/'1h'!$D12*1000, "na")</f>
        <v>na</v>
      </c>
      <c r="L12" s="113" t="str">
        <f>IFERROR('3a'!L12/'1h'!$D12*1000, "na")</f>
        <v>na</v>
      </c>
      <c r="M12" s="97" t="str">
        <f>IFERROR('3a'!M12/'1h'!$D12*1000, "na")</f>
        <v>na</v>
      </c>
    </row>
    <row r="13" spans="1:13" s="18" customFormat="1">
      <c r="A13" s="185">
        <v>1988</v>
      </c>
      <c r="B13" s="112" t="str">
        <f>IFERROR('3a'!B13/'1h'!$B13*1000, "na")</f>
        <v>na</v>
      </c>
      <c r="C13" s="113" t="str">
        <f>IFERROR('3a'!C13/'1h'!$B13*1000, "na")</f>
        <v>na</v>
      </c>
      <c r="D13" s="113" t="str">
        <f>IFERROR('3a'!D13/'1h'!$B13*1000, "na")</f>
        <v>na</v>
      </c>
      <c r="E13" s="97" t="str">
        <f>IFERROR('3a'!E13/'1h'!$B13*1000, "na")</f>
        <v>na</v>
      </c>
      <c r="F13" s="112" t="str">
        <f>IFERROR('3a'!F13/'1h'!$C13*1000, "na")</f>
        <v>na</v>
      </c>
      <c r="G13" s="113" t="str">
        <f>IFERROR('3a'!G13/'1h'!$C13*1000, "na")</f>
        <v>na</v>
      </c>
      <c r="H13" s="113" t="str">
        <f>IFERROR('3a'!H13/'1h'!$C13*1000, "na")</f>
        <v>na</v>
      </c>
      <c r="I13" s="97" t="str">
        <f>IFERROR('3a'!I13/'1h'!$C13*1000, "na")</f>
        <v>na</v>
      </c>
      <c r="J13" s="112" t="str">
        <f>IFERROR('3a'!J13/'1h'!$D13*1000, "na")</f>
        <v>na</v>
      </c>
      <c r="K13" s="113" t="str">
        <f>IFERROR('3a'!K13/'1h'!$D13*1000, "na")</f>
        <v>na</v>
      </c>
      <c r="L13" s="113" t="str">
        <f>IFERROR('3a'!L13/'1h'!$D13*1000, "na")</f>
        <v>na</v>
      </c>
      <c r="M13" s="97" t="str">
        <f>IFERROR('3a'!M13/'1h'!$D13*1000, "na")</f>
        <v>na</v>
      </c>
    </row>
    <row r="14" spans="1:13" s="18" customFormat="1">
      <c r="A14" s="185">
        <v>1989</v>
      </c>
      <c r="B14" s="112" t="str">
        <f>IFERROR('3a'!B14/'1h'!$B14*1000, "na")</f>
        <v>na</v>
      </c>
      <c r="C14" s="113" t="str">
        <f>IFERROR('3a'!C14/'1h'!$B14*1000, "na")</f>
        <v>na</v>
      </c>
      <c r="D14" s="113" t="str">
        <f>IFERROR('3a'!D14/'1h'!$B14*1000, "na")</f>
        <v>na</v>
      </c>
      <c r="E14" s="97" t="str">
        <f>IFERROR('3a'!E14/'1h'!$B14*1000, "na")</f>
        <v>na</v>
      </c>
      <c r="F14" s="112" t="str">
        <f>IFERROR('3a'!F14/'1h'!$C14*1000, "na")</f>
        <v>na</v>
      </c>
      <c r="G14" s="113" t="str">
        <f>IFERROR('3a'!G14/'1h'!$C14*1000, "na")</f>
        <v>na</v>
      </c>
      <c r="H14" s="113" t="str">
        <f>IFERROR('3a'!H14/'1h'!$C14*1000, "na")</f>
        <v>na</v>
      </c>
      <c r="I14" s="97" t="str">
        <f>IFERROR('3a'!I14/'1h'!$C14*1000, "na")</f>
        <v>na</v>
      </c>
      <c r="J14" s="112" t="str">
        <f>IFERROR('3a'!J14/'1h'!$D14*1000, "na")</f>
        <v>na</v>
      </c>
      <c r="K14" s="113" t="str">
        <f>IFERROR('3a'!K14/'1h'!$D14*1000, "na")</f>
        <v>na</v>
      </c>
      <c r="L14" s="113" t="str">
        <f>IFERROR('3a'!L14/'1h'!$D14*1000, "na")</f>
        <v>na</v>
      </c>
      <c r="M14" s="97" t="str">
        <f>IFERROR('3a'!M14/'1h'!$D14*1000, "na")</f>
        <v>na</v>
      </c>
    </row>
    <row r="15" spans="1:13" s="18" customFormat="1">
      <c r="A15" s="185">
        <v>1990</v>
      </c>
      <c r="B15" s="112" t="str">
        <f>IFERROR('3a'!B15/'1h'!$B15*1000, "na")</f>
        <v>na</v>
      </c>
      <c r="C15" s="113" t="str">
        <f>IFERROR('3a'!C15/'1h'!$B15*1000, "na")</f>
        <v>na</v>
      </c>
      <c r="D15" s="113" t="str">
        <f>IFERROR('3a'!D15/'1h'!$B15*1000, "na")</f>
        <v>na</v>
      </c>
      <c r="E15" s="97" t="str">
        <f>IFERROR('3a'!E15/'1h'!$B15*1000, "na")</f>
        <v>na</v>
      </c>
      <c r="F15" s="112" t="str">
        <f>IFERROR('3a'!F15/'1h'!$C15*1000, "na")</f>
        <v>na</v>
      </c>
      <c r="G15" s="113" t="str">
        <f>IFERROR('3a'!G15/'1h'!$C15*1000, "na")</f>
        <v>na</v>
      </c>
      <c r="H15" s="113" t="str">
        <f>IFERROR('3a'!H15/'1h'!$C15*1000, "na")</f>
        <v>na</v>
      </c>
      <c r="I15" s="97" t="str">
        <f>IFERROR('3a'!I15/'1h'!$C15*1000, "na")</f>
        <v>na</v>
      </c>
      <c r="J15" s="112" t="str">
        <f>IFERROR('3a'!J15/'1h'!$D15*1000, "na")</f>
        <v>na</v>
      </c>
      <c r="K15" s="113" t="str">
        <f>IFERROR('3a'!K15/'1h'!$D15*1000, "na")</f>
        <v>na</v>
      </c>
      <c r="L15" s="113" t="str">
        <f>IFERROR('3a'!L15/'1h'!$D15*1000, "na")</f>
        <v>na</v>
      </c>
      <c r="M15" s="97" t="str">
        <f>IFERROR('3a'!M15/'1h'!$D15*1000, "na")</f>
        <v>na</v>
      </c>
    </row>
    <row r="16" spans="1:13" s="18" customFormat="1">
      <c r="A16" s="185">
        <v>1991</v>
      </c>
      <c r="B16" s="112">
        <f>IFERROR('3a'!B16/'1h'!$B16*1000, "na")</f>
        <v>507.500959072829</v>
      </c>
      <c r="C16" s="113">
        <f>IFERROR('3a'!C16/'1h'!$B16*1000, "na")</f>
        <v>3130.5449552769201</v>
      </c>
      <c r="D16" s="113">
        <f>IFERROR('3a'!D16/'1h'!$B16*1000, "na")</f>
        <v>544.45050174652215</v>
      </c>
      <c r="E16" s="97">
        <f>IFERROR('3a'!E16/'1h'!$B16*1000, "na")</f>
        <v>4182.4964160962718</v>
      </c>
      <c r="F16" s="112">
        <f>IFERROR('3a'!F16/'1h'!$C16*1000, "na")</f>
        <v>425.4825055972284</v>
      </c>
      <c r="G16" s="113">
        <f>IFERROR('3a'!G16/'1h'!$C16*1000, "na")</f>
        <v>604.48431958948197</v>
      </c>
      <c r="H16" s="113">
        <f>IFERROR('3a'!H16/'1h'!$C16*1000, "na")</f>
        <v>300.16995963458675</v>
      </c>
      <c r="I16" s="97">
        <f>IFERROR('3a'!I16/'1h'!$C16*1000, "na")</f>
        <v>1330.1367848212969</v>
      </c>
      <c r="J16" s="112" t="str">
        <f>IFERROR('3a'!J16/'1h'!$D16*1000, "na")</f>
        <v>na</v>
      </c>
      <c r="K16" s="113" t="str">
        <f>IFERROR('3a'!K16/'1h'!$D16*1000, "na")</f>
        <v>na</v>
      </c>
      <c r="L16" s="113" t="str">
        <f>IFERROR('3a'!L16/'1h'!$D16*1000, "na")</f>
        <v>na</v>
      </c>
      <c r="M16" s="97" t="str">
        <f>IFERROR('3a'!M16/'1h'!$D16*1000, "na")</f>
        <v>na</v>
      </c>
    </row>
    <row r="17" spans="1:13" s="18" customFormat="1">
      <c r="A17" s="185">
        <v>1992</v>
      </c>
      <c r="B17" s="112">
        <f>IFERROR('3a'!B17/'1h'!$B17*1000, "na")</f>
        <v>924.56874682902094</v>
      </c>
      <c r="C17" s="113">
        <f>IFERROR('3a'!C17/'1h'!$B17*1000, "na")</f>
        <v>3638.6352105530191</v>
      </c>
      <c r="D17" s="113">
        <f>IFERROR('3a'!D17/'1h'!$B17*1000, "na")</f>
        <v>476.34872315237601</v>
      </c>
      <c r="E17" s="97">
        <f>IFERROR('3a'!E17/'1h'!$B17*1000, "na")</f>
        <v>5039.5526805344161</v>
      </c>
      <c r="F17" s="112">
        <f>IFERROR('3a'!F17/'1h'!$C17*1000, "na")</f>
        <v>419.33496920226349</v>
      </c>
      <c r="G17" s="113">
        <f>IFERROR('3a'!G17/'1h'!$C17*1000, "na")</f>
        <v>538.84187156759651</v>
      </c>
      <c r="H17" s="113">
        <f>IFERROR('3a'!H17/'1h'!$C17*1000, "na")</f>
        <v>259.45882784983394</v>
      </c>
      <c r="I17" s="97">
        <f>IFERROR('3a'!I17/'1h'!$C17*1000, "na")</f>
        <v>1217.6356686196941</v>
      </c>
      <c r="J17" s="112" t="str">
        <f>IFERROR('3a'!J17/'1h'!$D17*1000, "na")</f>
        <v>na</v>
      </c>
      <c r="K17" s="113" t="str">
        <f>IFERROR('3a'!K17/'1h'!$D17*1000, "na")</f>
        <v>na</v>
      </c>
      <c r="L17" s="113" t="str">
        <f>IFERROR('3a'!L17/'1h'!$D17*1000, "na")</f>
        <v>na</v>
      </c>
      <c r="M17" s="97" t="str">
        <f>IFERROR('3a'!M17/'1h'!$D17*1000, "na")</f>
        <v>na</v>
      </c>
    </row>
    <row r="18" spans="1:13" s="18" customFormat="1">
      <c r="A18" s="185">
        <v>1993</v>
      </c>
      <c r="B18" s="112">
        <f>IFERROR('3a'!B18/'1h'!$B18*1000, "na")</f>
        <v>1895.4010269121816</v>
      </c>
      <c r="C18" s="113">
        <f>IFERROR('3a'!C18/'1h'!$B18*1000, "na")</f>
        <v>3701.440775495751</v>
      </c>
      <c r="D18" s="113">
        <f>IFERROR('3a'!D18/'1h'!$B18*1000, "na")</f>
        <v>416.05435552407931</v>
      </c>
      <c r="E18" s="97">
        <f>IFERROR('3a'!E18/'1h'!$B18*1000, "na")</f>
        <v>6012.8961579320112</v>
      </c>
      <c r="F18" s="112">
        <f>IFERROR('3a'!F18/'1h'!$C18*1000, "na")</f>
        <v>335.62748080924661</v>
      </c>
      <c r="G18" s="113">
        <f>IFERROR('3a'!G18/'1h'!$C18*1000, "na")</f>
        <v>620.72601374390194</v>
      </c>
      <c r="H18" s="113">
        <f>IFERROR('3a'!H18/'1h'!$C18*1000, "na")</f>
        <v>229.53889734039765</v>
      </c>
      <c r="I18" s="97">
        <f>IFERROR('3a'!I18/'1h'!$C18*1000, "na")</f>
        <v>1185.8923918935461</v>
      </c>
      <c r="J18" s="112" t="str">
        <f>IFERROR('3a'!J18/'1h'!$D18*1000, "na")</f>
        <v>na</v>
      </c>
      <c r="K18" s="113" t="str">
        <f>IFERROR('3a'!K18/'1h'!$D18*1000, "na")</f>
        <v>na</v>
      </c>
      <c r="L18" s="113" t="str">
        <f>IFERROR('3a'!L18/'1h'!$D18*1000, "na")</f>
        <v>na</v>
      </c>
      <c r="M18" s="97" t="str">
        <f>IFERROR('3a'!M18/'1h'!$D18*1000, "na")</f>
        <v>na</v>
      </c>
    </row>
    <row r="19" spans="1:13" s="18" customFormat="1">
      <c r="A19" s="185">
        <v>1994</v>
      </c>
      <c r="B19" s="112">
        <f>IFERROR('3a'!B19/'1h'!$B19*1000, "na")</f>
        <v>1057.7088053496404</v>
      </c>
      <c r="C19" s="113">
        <f>IFERROR('3a'!C19/'1h'!$B19*1000, "na")</f>
        <v>3309.0011218406989</v>
      </c>
      <c r="D19" s="113">
        <f>IFERROR('3a'!D19/'1h'!$B19*1000, "na")</f>
        <v>375.29310837861021</v>
      </c>
      <c r="E19" s="97">
        <f>IFERROR('3a'!E19/'1h'!$B19*1000, "na")</f>
        <v>4742.0030355689487</v>
      </c>
      <c r="F19" s="112">
        <f>IFERROR('3a'!F19/'1h'!$C19*1000, "na")</f>
        <v>372.56816070810646</v>
      </c>
      <c r="G19" s="113">
        <f>IFERROR('3a'!G19/'1h'!$C19*1000, "na")</f>
        <v>705.80436009980519</v>
      </c>
      <c r="H19" s="113">
        <f>IFERROR('3a'!H19/'1h'!$C19*1000, "na")</f>
        <v>196.80550749449068</v>
      </c>
      <c r="I19" s="97">
        <f>IFERROR('3a'!I19/'1h'!$C19*1000, "na")</f>
        <v>1275.1780283024023</v>
      </c>
      <c r="J19" s="112" t="str">
        <f>IFERROR('3a'!J19/'1h'!$D19*1000, "na")</f>
        <v>na</v>
      </c>
      <c r="K19" s="113" t="str">
        <f>IFERROR('3a'!K19/'1h'!$D19*1000, "na")</f>
        <v>na</v>
      </c>
      <c r="L19" s="113" t="str">
        <f>IFERROR('3a'!L19/'1h'!$D19*1000, "na")</f>
        <v>na</v>
      </c>
      <c r="M19" s="97" t="str">
        <f>IFERROR('3a'!M19/'1h'!$D19*1000, "na")</f>
        <v>na</v>
      </c>
    </row>
    <row r="20" spans="1:13" s="18" customFormat="1">
      <c r="A20" s="185">
        <v>1995</v>
      </c>
      <c r="B20" s="112">
        <f>IFERROR('3a'!B20/'1h'!$B20*1000, "na")</f>
        <v>673.32796132151486</v>
      </c>
      <c r="C20" s="113">
        <f>IFERROR('3a'!C20/'1h'!$B20*1000, "na")</f>
        <v>2858.4681501683922</v>
      </c>
      <c r="D20" s="113">
        <f>IFERROR('3a'!D20/'1h'!$B20*1000, "na")</f>
        <v>278.6607161304986</v>
      </c>
      <c r="E20" s="97">
        <f>IFERROR('3a'!E20/'1h'!$B20*1000, "na")</f>
        <v>3810.4568276204054</v>
      </c>
      <c r="F20" s="112">
        <f>IFERROR('3a'!F20/'1h'!$C20*1000, "na")</f>
        <v>654.51499253245504</v>
      </c>
      <c r="G20" s="113">
        <f>IFERROR('3a'!G20/'1h'!$C20*1000, "na")</f>
        <v>866.81346455788298</v>
      </c>
      <c r="H20" s="113">
        <f>IFERROR('3a'!H20/'1h'!$C20*1000, "na")</f>
        <v>166.67751694558265</v>
      </c>
      <c r="I20" s="97">
        <f>IFERROR('3a'!I20/'1h'!$C20*1000, "na")</f>
        <v>1688.0059740359209</v>
      </c>
      <c r="J20" s="112" t="str">
        <f>IFERROR('3a'!J20/'1h'!$D20*1000, "na")</f>
        <v>na</v>
      </c>
      <c r="K20" s="113" t="str">
        <f>IFERROR('3a'!K20/'1h'!$D20*1000, "na")</f>
        <v>na</v>
      </c>
      <c r="L20" s="113" t="str">
        <f>IFERROR('3a'!L20/'1h'!$D20*1000, "na")</f>
        <v>na</v>
      </c>
      <c r="M20" s="97" t="str">
        <f>IFERROR('3a'!M20/'1h'!$D20*1000, "na")</f>
        <v>na</v>
      </c>
    </row>
    <row r="21" spans="1:13" s="18" customFormat="1">
      <c r="A21" s="185">
        <v>1996</v>
      </c>
      <c r="B21" s="112">
        <f>IFERROR('3a'!B21/'1h'!$B21*1000, "na")</f>
        <v>640.87068221504114</v>
      </c>
      <c r="C21" s="113">
        <f>IFERROR('3a'!C21/'1h'!$B21*1000, "na")</f>
        <v>2823.5694358027417</v>
      </c>
      <c r="D21" s="113">
        <f>IFERROR('3a'!D21/'1h'!$B21*1000, "na")</f>
        <v>302.96650141500913</v>
      </c>
      <c r="E21" s="97">
        <f>IFERROR('3a'!E21/'1h'!$B21*1000, "na")</f>
        <v>3767.4066194327925</v>
      </c>
      <c r="F21" s="112">
        <f>IFERROR('3a'!F21/'1h'!$C21*1000, "na")</f>
        <v>1110.1543393822315</v>
      </c>
      <c r="G21" s="113">
        <f>IFERROR('3a'!G21/'1h'!$C21*1000, "na")</f>
        <v>1224.1640806428411</v>
      </c>
      <c r="H21" s="113">
        <f>IFERROR('3a'!H21/'1h'!$C21*1000, "na")</f>
        <v>156.59795721243756</v>
      </c>
      <c r="I21" s="97">
        <f>IFERROR('3a'!I21/'1h'!$C21*1000, "na")</f>
        <v>2490.9163772375105</v>
      </c>
      <c r="J21" s="112" t="str">
        <f>IFERROR('3a'!J21/'1h'!$D21*1000, "na")</f>
        <v>na</v>
      </c>
      <c r="K21" s="113" t="str">
        <f>IFERROR('3a'!K21/'1h'!$D21*1000, "na")</f>
        <v>na</v>
      </c>
      <c r="L21" s="113" t="str">
        <f>IFERROR('3a'!L21/'1h'!$D21*1000, "na")</f>
        <v>na</v>
      </c>
      <c r="M21" s="97" t="str">
        <f>IFERROR('3a'!M21/'1h'!$D21*1000, "na")</f>
        <v>na</v>
      </c>
    </row>
    <row r="22" spans="1:13" s="18" customFormat="1">
      <c r="A22" s="185">
        <v>1997</v>
      </c>
      <c r="B22" s="112">
        <f>IFERROR('3a'!B22/'1h'!$B22*1000, "na")</f>
        <v>1615.3968311257083</v>
      </c>
      <c r="C22" s="113">
        <f>IFERROR('3a'!C22/'1h'!$B22*1000, "na")</f>
        <v>3453.8401847908463</v>
      </c>
      <c r="D22" s="113">
        <f>IFERROR('3a'!D22/'1h'!$B22*1000, "na")</f>
        <v>612.93716389360088</v>
      </c>
      <c r="E22" s="97">
        <f>IFERROR('3a'!E22/'1h'!$B22*1000, "na")</f>
        <v>5682.1741798101566</v>
      </c>
      <c r="F22" s="112">
        <f>IFERROR('3a'!F22/'1h'!$C22*1000, "na")</f>
        <v>1895.1539078938806</v>
      </c>
      <c r="G22" s="113">
        <f>IFERROR('3a'!G22/'1h'!$C22*1000, "na")</f>
        <v>2274.392069242283</v>
      </c>
      <c r="H22" s="113">
        <f>IFERROR('3a'!H22/'1h'!$C22*1000, "na")</f>
        <v>165.19013427623162</v>
      </c>
      <c r="I22" s="97">
        <f>IFERROR('3a'!I22/'1h'!$C22*1000, "na")</f>
        <v>4334.736111412396</v>
      </c>
      <c r="J22" s="112">
        <f>IFERROR('3a'!J22/'1h'!$D22*1000, "na")</f>
        <v>772.08094188215773</v>
      </c>
      <c r="K22" s="113">
        <f>IFERROR('3a'!K22/'1h'!$D22*1000, "na")</f>
        <v>1477.9391418446678</v>
      </c>
      <c r="L22" s="113">
        <f>IFERROR('3a'!L22/'1h'!$D22*1000, "na")</f>
        <v>1606.6892199480503</v>
      </c>
      <c r="M22" s="97">
        <f>IFERROR('3a'!M22/'1h'!$D22*1000, "na")</f>
        <v>3856.7093036748761</v>
      </c>
    </row>
    <row r="23" spans="1:13" s="18" customFormat="1">
      <c r="A23" s="185">
        <v>1998</v>
      </c>
      <c r="B23" s="112">
        <f>IFERROR('3a'!B23/'1h'!$B23*1000, "na")</f>
        <v>2340.4873523613896</v>
      </c>
      <c r="C23" s="113">
        <f>IFERROR('3a'!C23/'1h'!$B23*1000, "na")</f>
        <v>3989.890171782597</v>
      </c>
      <c r="D23" s="113">
        <f>IFERROR('3a'!D23/'1h'!$B23*1000, "na")</f>
        <v>535.16822104792368</v>
      </c>
      <c r="E23" s="97">
        <f>IFERROR('3a'!E23/'1h'!$B23*1000, "na")</f>
        <v>6865.545745191911</v>
      </c>
      <c r="F23" s="112">
        <f>IFERROR('3a'!F23/'1h'!$C23*1000, "na")</f>
        <v>4184.5843317574418</v>
      </c>
      <c r="G23" s="113">
        <f>IFERROR('3a'!G23/'1h'!$C23*1000, "na")</f>
        <v>3474.2395786110569</v>
      </c>
      <c r="H23" s="113">
        <f>IFERROR('3a'!H23/'1h'!$C23*1000, "na")</f>
        <v>284.08350063683264</v>
      </c>
      <c r="I23" s="97">
        <f>IFERROR('3a'!I23/'1h'!$C23*1000, "na")</f>
        <v>7942.9074110053307</v>
      </c>
      <c r="J23" s="112">
        <f>IFERROR('3a'!J23/'1h'!$D23*1000, "na")</f>
        <v>927.9324515100634</v>
      </c>
      <c r="K23" s="113">
        <f>IFERROR('3a'!K23/'1h'!$D23*1000, "na")</f>
        <v>1615.9507620947636</v>
      </c>
      <c r="L23" s="113">
        <f>IFERROR('3a'!L23/'1h'!$D23*1000, "na")</f>
        <v>1639.1601399332794</v>
      </c>
      <c r="M23" s="97">
        <f>IFERROR('3a'!M23/'1h'!$D23*1000, "na")</f>
        <v>4183.0433535381062</v>
      </c>
    </row>
    <row r="24" spans="1:13" s="18" customFormat="1">
      <c r="A24" s="185">
        <v>1999</v>
      </c>
      <c r="B24" s="112">
        <f>IFERROR('3a'!B24/'1h'!$B24*1000, "na")</f>
        <v>2289.7660256410254</v>
      </c>
      <c r="C24" s="113">
        <f>IFERROR('3a'!C24/'1h'!$B24*1000, "na")</f>
        <v>5265.3189102564102</v>
      </c>
      <c r="D24" s="113">
        <f>IFERROR('3a'!D24/'1h'!$B24*1000, "na")</f>
        <v>500.25801282051276</v>
      </c>
      <c r="E24" s="97">
        <f>IFERROR('3a'!E24/'1h'!$B24*1000, "na")</f>
        <v>8055.3429487179483</v>
      </c>
      <c r="F24" s="112">
        <f>IFERROR('3a'!F24/'1h'!$C24*1000, "na")</f>
        <v>2392.3068559873009</v>
      </c>
      <c r="G24" s="113">
        <f>IFERROR('3a'!G24/'1h'!$C24*1000, "na")</f>
        <v>3231.3531496662245</v>
      </c>
      <c r="H24" s="113">
        <f>IFERROR('3a'!H24/'1h'!$C24*1000, "na")</f>
        <v>233.32753484528911</v>
      </c>
      <c r="I24" s="97">
        <f>IFERROR('3a'!I24/'1h'!$C24*1000, "na")</f>
        <v>5856.9875404988152</v>
      </c>
      <c r="J24" s="112">
        <f>IFERROR('3a'!J24/'1h'!$D24*1000, "na")</f>
        <v>992.48353168808728</v>
      </c>
      <c r="K24" s="113">
        <f>IFERROR('3a'!K24/'1h'!$D24*1000, "na")</f>
        <v>1714.042607627898</v>
      </c>
      <c r="L24" s="113">
        <f>IFERROR('3a'!L24/'1h'!$D24*1000, "na")</f>
        <v>1644.8618109378037</v>
      </c>
      <c r="M24" s="97">
        <f>IFERROR('3a'!M24/'1h'!$D24*1000, "na")</f>
        <v>4351.3879502537884</v>
      </c>
    </row>
    <row r="25" spans="1:13" s="18" customFormat="1">
      <c r="A25" s="185">
        <v>2000</v>
      </c>
      <c r="B25" s="112">
        <f>IFERROR('3a'!B25/'1h'!$B25*1000, "na")</f>
        <v>1435.6105878790777</v>
      </c>
      <c r="C25" s="113">
        <f>IFERROR('3a'!C25/'1h'!$B25*1000, "na")</f>
        <v>6700.764928048955</v>
      </c>
      <c r="D25" s="113">
        <f>IFERROR('3a'!D25/'1h'!$B25*1000, "na")</f>
        <v>410.9894663033258</v>
      </c>
      <c r="E25" s="97">
        <f>IFERROR('3a'!E25/'1h'!$B25*1000, "na")</f>
        <v>8547.36498223136</v>
      </c>
      <c r="F25" s="112">
        <f>IFERROR('3a'!F25/'1h'!$C25*1000, "na")</f>
        <v>1994.5933368588048</v>
      </c>
      <c r="G25" s="113">
        <f>IFERROR('3a'!G25/'1h'!$C25*1000, "na")</f>
        <v>3965.3749338974089</v>
      </c>
      <c r="H25" s="113">
        <f>IFERROR('3a'!H25/'1h'!$C25*1000, "na")</f>
        <v>421.71337916446333</v>
      </c>
      <c r="I25" s="97">
        <f>IFERROR('3a'!I25/'1h'!$C25*1000, "na")</f>
        <v>6381.681649920678</v>
      </c>
      <c r="J25" s="112">
        <f>IFERROR('3a'!J25/'1h'!$D25*1000, "na")</f>
        <v>1093.710312192628</v>
      </c>
      <c r="K25" s="113">
        <f>IFERROR('3a'!K25/'1h'!$D25*1000, "na")</f>
        <v>1844.0214543438644</v>
      </c>
      <c r="L25" s="113">
        <f>IFERROR('3a'!L25/'1h'!$D25*1000, "na")</f>
        <v>1743.2905934331259</v>
      </c>
      <c r="M25" s="97">
        <f>IFERROR('3a'!M25/'1h'!$D25*1000, "na")</f>
        <v>4681.0223599696183</v>
      </c>
    </row>
    <row r="26" spans="1:13" s="18" customFormat="1">
      <c r="A26" s="185">
        <v>2001</v>
      </c>
      <c r="B26" s="112">
        <f>IFERROR('3a'!B26/'1h'!$B26*1000, "na")</f>
        <v>819.17876734430456</v>
      </c>
      <c r="C26" s="113">
        <f>IFERROR('3a'!C26/'1h'!$B26*1000, "na")</f>
        <v>6854.2303969022259</v>
      </c>
      <c r="D26" s="113">
        <f>IFERROR('3a'!D26/'1h'!$B26*1000, "na")</f>
        <v>322.68796385930949</v>
      </c>
      <c r="E26" s="97">
        <f>IFERROR('3a'!E26/'1h'!$B26*1000, "na")</f>
        <v>7996.0971281058391</v>
      </c>
      <c r="F26" s="112">
        <f>IFERROR('3a'!F26/'1h'!$C26*1000, "na")</f>
        <v>1069.7036153813397</v>
      </c>
      <c r="G26" s="113">
        <f>IFERROR('3a'!G26/'1h'!$C26*1000, "na")</f>
        <v>3987.8550440744366</v>
      </c>
      <c r="H26" s="113">
        <f>IFERROR('3a'!H26/'1h'!$C26*1000, "na")</f>
        <v>342.04530937273768</v>
      </c>
      <c r="I26" s="97">
        <f>IFERROR('3a'!I26/'1h'!$C26*1000, "na")</f>
        <v>5399.6039688285146</v>
      </c>
      <c r="J26" s="112">
        <f>IFERROR('3a'!J26/'1h'!$D26*1000, "na")</f>
        <v>1076.5024632746115</v>
      </c>
      <c r="K26" s="113">
        <f>IFERROR('3a'!K26/'1h'!$D26*1000, "na")</f>
        <v>1985.5974401957762</v>
      </c>
      <c r="L26" s="113">
        <f>IFERROR('3a'!L26/'1h'!$D26*1000, "na")</f>
        <v>1896.6583994796431</v>
      </c>
      <c r="M26" s="97">
        <f>IFERROR('3a'!M26/'1h'!$D26*1000, "na")</f>
        <v>4958.7583029500311</v>
      </c>
    </row>
    <row r="27" spans="1:13" s="18" customFormat="1">
      <c r="A27" s="185">
        <v>2002</v>
      </c>
      <c r="B27" s="112">
        <f>IFERROR('3a'!B27/'1h'!$B27*1000, "na")</f>
        <v>944.67356936868089</v>
      </c>
      <c r="C27" s="113">
        <f>IFERROR('3a'!C27/'1h'!$B27*1000, "na")</f>
        <v>6433.2041972134393</v>
      </c>
      <c r="D27" s="113">
        <f>IFERROR('3a'!D27/'1h'!$B27*1000, "na")</f>
        <v>317.55845870539582</v>
      </c>
      <c r="E27" s="97">
        <f>IFERROR('3a'!E27/'1h'!$B27*1000, "na")</f>
        <v>7695.4362252875153</v>
      </c>
      <c r="F27" s="112">
        <f>IFERROR('3a'!F27/'1h'!$C27*1000, "na")</f>
        <v>618.95267169054068</v>
      </c>
      <c r="G27" s="113">
        <f>IFERROR('3a'!G27/'1h'!$C27*1000, "na")</f>
        <v>3634.519565356617</v>
      </c>
      <c r="H27" s="113">
        <f>IFERROR('3a'!H27/'1h'!$C27*1000, "na")</f>
        <v>309.38240505518422</v>
      </c>
      <c r="I27" s="97">
        <f>IFERROR('3a'!I27/'1h'!$C27*1000, "na")</f>
        <v>4562.854642102342</v>
      </c>
      <c r="J27" s="112">
        <f>IFERROR('3a'!J27/'1h'!$D27*1000, "na")</f>
        <v>1059.8563853739947</v>
      </c>
      <c r="K27" s="113">
        <f>IFERROR('3a'!K27/'1h'!$D27*1000, "na")</f>
        <v>1958.9998406225022</v>
      </c>
      <c r="L27" s="113">
        <f>IFERROR('3a'!L27/'1h'!$D27*1000, "na")</f>
        <v>1874.8517014243421</v>
      </c>
      <c r="M27" s="97">
        <f>IFERROR('3a'!M27/'1h'!$D27*1000, "na")</f>
        <v>4893.707927420839</v>
      </c>
    </row>
    <row r="28" spans="1:13" s="18" customFormat="1">
      <c r="A28" s="185">
        <v>2003</v>
      </c>
      <c r="B28" s="112">
        <f>IFERROR('3a'!B28/'1h'!$B28*1000, "na")</f>
        <v>1378.2351385307147</v>
      </c>
      <c r="C28" s="113">
        <f>IFERROR('3a'!C28/'1h'!$B28*1000, "na")</f>
        <v>5243.7198307214176</v>
      </c>
      <c r="D28" s="113">
        <f>IFERROR('3a'!D28/'1h'!$B28*1000, "na")</f>
        <v>381.05038682801035</v>
      </c>
      <c r="E28" s="97">
        <f>IFERROR('3a'!E28/'1h'!$B28*1000, "na")</f>
        <v>7003.0053560801434</v>
      </c>
      <c r="F28" s="112">
        <f>IFERROR('3a'!F28/'1h'!$C28*1000, "na")</f>
        <v>623.67750439367319</v>
      </c>
      <c r="G28" s="113">
        <f>IFERROR('3a'!G28/'1h'!$C28*1000, "na")</f>
        <v>3407.9876977152908</v>
      </c>
      <c r="H28" s="113">
        <f>IFERROR('3a'!H28/'1h'!$C28*1000, "na")</f>
        <v>280.18892794376086</v>
      </c>
      <c r="I28" s="97">
        <f>IFERROR('3a'!I28/'1h'!$C28*1000, "na")</f>
        <v>4311.8541300527249</v>
      </c>
      <c r="J28" s="112">
        <f>IFERROR('3a'!J28/'1h'!$D28*1000, "na")</f>
        <v>1053.6717741771881</v>
      </c>
      <c r="K28" s="113">
        <f>IFERROR('3a'!K28/'1h'!$D28*1000, "na")</f>
        <v>1905.1263925495575</v>
      </c>
      <c r="L28" s="113">
        <f>IFERROR('3a'!L28/'1h'!$D28*1000, "na")</f>
        <v>1646.8015249188149</v>
      </c>
      <c r="M28" s="97">
        <f>IFERROR('3a'!M28/'1h'!$D28*1000, "na")</f>
        <v>4605.5996916455606</v>
      </c>
    </row>
    <row r="29" spans="1:13" s="18" customFormat="1">
      <c r="A29" s="185">
        <v>2004</v>
      </c>
      <c r="B29" s="112">
        <f>IFERROR('3a'!B29/'1h'!$B29*1000, "na")</f>
        <v>1652.3094746385937</v>
      </c>
      <c r="C29" s="113">
        <f>IFERROR('3a'!C29/'1h'!$B29*1000, "na")</f>
        <v>5216.6087409123729</v>
      </c>
      <c r="D29" s="113">
        <f>IFERROR('3a'!D29/'1h'!$B29*1000, "na")</f>
        <v>441.29350727849697</v>
      </c>
      <c r="E29" s="97">
        <f>IFERROR('3a'!E29/'1h'!$B29*1000, "na")</f>
        <v>7310.2117228294646</v>
      </c>
      <c r="F29" s="112">
        <f>IFERROR('3a'!F29/'1h'!$C29*1000, "na")</f>
        <v>633.12467158620996</v>
      </c>
      <c r="G29" s="113">
        <f>IFERROR('3a'!G29/'1h'!$C29*1000, "na")</f>
        <v>4461.0358456512304</v>
      </c>
      <c r="H29" s="113">
        <f>IFERROR('3a'!H29/'1h'!$C29*1000, "na")</f>
        <v>279.28994082840239</v>
      </c>
      <c r="I29" s="97">
        <f>IFERROR('3a'!I29/'1h'!$C29*1000, "na")</f>
        <v>5373.450458065844</v>
      </c>
      <c r="J29" s="112">
        <f>IFERROR('3a'!J29/'1h'!$D29*1000, "na")</f>
        <v>1081.9426846552258</v>
      </c>
      <c r="K29" s="113">
        <f>IFERROR('3a'!K29/'1h'!$D29*1000, "na")</f>
        <v>1958.6511493499577</v>
      </c>
      <c r="L29" s="113">
        <f>IFERROR('3a'!L29/'1h'!$D29*1000, "na")</f>
        <v>1482.8066996421144</v>
      </c>
      <c r="M29" s="97">
        <f>IFERROR('3a'!M29/'1h'!$D29*1000, "na")</f>
        <v>4523.4005336472983</v>
      </c>
    </row>
    <row r="30" spans="1:13" s="18" customFormat="1">
      <c r="A30" s="185">
        <v>2005</v>
      </c>
      <c r="B30" s="112">
        <f>IFERROR('3a'!B30/'1h'!$B30*1000, "na")</f>
        <v>2017.7617018465298</v>
      </c>
      <c r="C30" s="113">
        <f>IFERROR('3a'!C30/'1h'!$B30*1000, "na")</f>
        <v>5994.3266276880395</v>
      </c>
      <c r="D30" s="113">
        <f>IFERROR('3a'!D30/'1h'!$B30*1000, "na")</f>
        <v>476.01162752287524</v>
      </c>
      <c r="E30" s="97">
        <f>IFERROR('3a'!E30/'1h'!$B30*1000, "na")</f>
        <v>8488.0999570574422</v>
      </c>
      <c r="F30" s="112">
        <f>IFERROR('3a'!F30/'1h'!$C30*1000, "na")</f>
        <v>794.8092731135124</v>
      </c>
      <c r="G30" s="113">
        <f>IFERROR('3a'!G30/'1h'!$C30*1000, "na")</f>
        <v>5765.218897201441</v>
      </c>
      <c r="H30" s="113">
        <f>IFERROR('3a'!H30/'1h'!$C30*1000, "na")</f>
        <v>363.45940703796066</v>
      </c>
      <c r="I30" s="97">
        <f>IFERROR('3a'!I30/'1h'!$C30*1000, "na")</f>
        <v>6923.4875773529138</v>
      </c>
      <c r="J30" s="112">
        <f>IFERROR('3a'!J30/'1h'!$D30*1000, "na")</f>
        <v>1131.3875922445955</v>
      </c>
      <c r="K30" s="113">
        <f>IFERROR('3a'!K30/'1h'!$D30*1000, "na")</f>
        <v>2080.9103519890141</v>
      </c>
      <c r="L30" s="113">
        <f>IFERROR('3a'!L30/'1h'!$D30*1000, "na")</f>
        <v>1394.065284365965</v>
      </c>
      <c r="M30" s="97">
        <f>IFERROR('3a'!M30/'1h'!$D30*1000, "na")</f>
        <v>4606.3632285995745</v>
      </c>
    </row>
    <row r="31" spans="1:13" s="18" customFormat="1">
      <c r="A31" s="185">
        <v>2006</v>
      </c>
      <c r="B31" s="112">
        <f>IFERROR('3a'!B31/'1h'!$B31*1000, "na")</f>
        <v>1945.4246602227565</v>
      </c>
      <c r="C31" s="113">
        <f>IFERROR('3a'!C31/'1h'!$B31*1000, "na")</f>
        <v>5953.4108565166898</v>
      </c>
      <c r="D31" s="113">
        <f>IFERROR('3a'!D31/'1h'!$B31*1000, "na")</f>
        <v>549.43820224719104</v>
      </c>
      <c r="E31" s="97">
        <f>IFERROR('3a'!E31/'1h'!$B31*1000, "na")</f>
        <v>8448.2737189866366</v>
      </c>
      <c r="F31" s="112">
        <f>IFERROR('3a'!F31/'1h'!$C31*1000, "na")</f>
        <v>886.83930471798499</v>
      </c>
      <c r="G31" s="113">
        <f>IFERROR('3a'!G31/'1h'!$C31*1000, "na")</f>
        <v>6280.1158803358157</v>
      </c>
      <c r="H31" s="113">
        <f>IFERROR('3a'!H31/'1h'!$C31*1000, "na")</f>
        <v>409.03393638406055</v>
      </c>
      <c r="I31" s="97">
        <f>IFERROR('3a'!I31/'1h'!$C31*1000, "na")</f>
        <v>7575.9891214378613</v>
      </c>
      <c r="J31" s="112">
        <f>IFERROR('3a'!J31/'1h'!$D31*1000, "na")</f>
        <v>1240.4639967718858</v>
      </c>
      <c r="K31" s="113">
        <f>IFERROR('3a'!K31/'1h'!$D31*1000, "na")</f>
        <v>2178.8580843195982</v>
      </c>
      <c r="L31" s="113">
        <f>IFERROR('3a'!L31/'1h'!$D31*1000, "na")</f>
        <v>1346.6433491984433</v>
      </c>
      <c r="M31" s="97">
        <f>IFERROR('3a'!M31/'1h'!$D31*1000, "na")</f>
        <v>4765.965430289928</v>
      </c>
    </row>
    <row r="32" spans="1:13" s="18" customFormat="1">
      <c r="A32" s="185">
        <v>2007</v>
      </c>
      <c r="B32" s="112">
        <f>IFERROR('3a'!B32/'1h'!$B32*1000, "na")</f>
        <v>2631.3548424805658</v>
      </c>
      <c r="C32" s="113">
        <f>IFERROR('3a'!C32/'1h'!$B32*1000, "na")</f>
        <v>5551.7344672394638</v>
      </c>
      <c r="D32" s="113">
        <f>IFERROR('3a'!D32/'1h'!$B32*1000, "na")</f>
        <v>864.62534338652165</v>
      </c>
      <c r="E32" s="97">
        <f>IFERROR('3a'!E32/'1h'!$B32*1000, "na")</f>
        <v>9047.7146531065537</v>
      </c>
      <c r="F32" s="112">
        <f>IFERROR('3a'!F32/'1h'!$C32*1000, "na")</f>
        <v>686.97351280937903</v>
      </c>
      <c r="G32" s="113">
        <f>IFERROR('3a'!G32/'1h'!$C32*1000, "na")</f>
        <v>7603.3820620446777</v>
      </c>
      <c r="H32" s="113">
        <f>IFERROR('3a'!H32/'1h'!$C32*1000, "na")</f>
        <v>369.02590823563474</v>
      </c>
      <c r="I32" s="97">
        <f>IFERROR('3a'!I32/'1h'!$C32*1000, "na")</f>
        <v>8659.3814830896899</v>
      </c>
      <c r="J32" s="112">
        <f>IFERROR('3a'!J32/'1h'!$D32*1000, "na")</f>
        <v>1281.1134501935178</v>
      </c>
      <c r="K32" s="113">
        <f>IFERROR('3a'!K32/'1h'!$D32*1000, "na")</f>
        <v>2377.8592670845433</v>
      </c>
      <c r="L32" s="113">
        <f>IFERROR('3a'!L32/'1h'!$D32*1000, "na")</f>
        <v>1253.9360416239249</v>
      </c>
      <c r="M32" s="97">
        <f>IFERROR('3a'!M32/'1h'!$D32*1000, "na")</f>
        <v>4912.9087589019864</v>
      </c>
    </row>
    <row r="33" spans="1:13" s="18" customFormat="1">
      <c r="A33" s="185">
        <v>2008</v>
      </c>
      <c r="B33" s="112">
        <f>IFERROR('3a'!B33/'1h'!$B33*1000, "na")</f>
        <v>2118.7343652875275</v>
      </c>
      <c r="C33" s="113">
        <f>IFERROR('3a'!C33/'1h'!$B33*1000, "na")</f>
        <v>5989.6769205112259</v>
      </c>
      <c r="D33" s="113">
        <f>IFERROR('3a'!D33/'1h'!$B33*1000, "na")</f>
        <v>797.48328507102894</v>
      </c>
      <c r="E33" s="97">
        <f>IFERROR('3a'!E33/'1h'!$B33*1000, "na")</f>
        <v>8905.8945708697793</v>
      </c>
      <c r="F33" s="112">
        <f>IFERROR('3a'!F33/'1h'!$C33*1000, "na")</f>
        <v>584.61630609262329</v>
      </c>
      <c r="G33" s="113">
        <f>IFERROR('3a'!G33/'1h'!$C33*1000, "na")</f>
        <v>8550.3677615659235</v>
      </c>
      <c r="H33" s="113">
        <f>IFERROR('3a'!H33/'1h'!$C33*1000, "na")</f>
        <v>380.33973022832356</v>
      </c>
      <c r="I33" s="97">
        <f>IFERROR('3a'!I33/'1h'!$C33*1000, "na")</f>
        <v>9515.3237978868692</v>
      </c>
      <c r="J33" s="112">
        <f>IFERROR('3a'!J33/'1h'!$D33*1000, "na")</f>
        <v>1328.9778333069587</v>
      </c>
      <c r="K33" s="113">
        <f>IFERROR('3a'!K33/'1h'!$D33*1000, "na")</f>
        <v>2583.0994150571155</v>
      </c>
      <c r="L33" s="113">
        <f>IFERROR('3a'!L33/'1h'!$D33*1000, "na")</f>
        <v>1281.0562784482415</v>
      </c>
      <c r="M33" s="97">
        <f>IFERROR('3a'!M33/'1h'!$D33*1000, "na")</f>
        <v>5193.1335268123157</v>
      </c>
    </row>
    <row r="34" spans="1:13" s="18" customFormat="1">
      <c r="A34" s="57">
        <f>A33+1</f>
        <v>2009</v>
      </c>
      <c r="B34" s="112">
        <f>IFERROR('3a'!B34/'1h'!$B34*1000, "na")</f>
        <v>2090.1283200799612</v>
      </c>
      <c r="C34" s="113">
        <f>IFERROR('3a'!C34/'1h'!$B34*1000, "na")</f>
        <v>6000.7643349550954</v>
      </c>
      <c r="D34" s="113">
        <f>IFERROR('3a'!D34/'1h'!$B34*1000, "na")</f>
        <v>829.68265400614428</v>
      </c>
      <c r="E34" s="97">
        <f>IFERROR('3a'!E34/'1h'!$B34*1000, "na")</f>
        <v>8920.5753090411999</v>
      </c>
      <c r="F34" s="112">
        <f>IFERROR('3a'!F34/'1h'!$C34*1000, "na")</f>
        <v>761.91262898464379</v>
      </c>
      <c r="G34" s="113">
        <f>IFERROR('3a'!G34/'1h'!$C34*1000, "na")</f>
        <v>10505.925845678845</v>
      </c>
      <c r="H34" s="113">
        <f>IFERROR('3a'!H34/'1h'!$C34*1000, "na")</f>
        <v>397.4568697018118</v>
      </c>
      <c r="I34" s="97">
        <f>IFERROR('3a'!I34/'1h'!$C34*1000, "na")</f>
        <v>11665.295344365299</v>
      </c>
      <c r="J34" s="112">
        <f>IFERROR('3a'!J34/'1h'!$D34*1000, "na")</f>
        <v>1393.9232932767034</v>
      </c>
      <c r="K34" s="113">
        <f>IFERROR('3a'!K34/'1h'!$D34*1000, "na")</f>
        <v>2812.9676623579203</v>
      </c>
      <c r="L34" s="113">
        <f>IFERROR('3a'!L34/'1h'!$D34*1000, "na")</f>
        <v>1390.3663267911086</v>
      </c>
      <c r="M34" s="97">
        <f>IFERROR('3a'!M34/'1h'!$D34*1000, "na")</f>
        <v>5597.2572824257322</v>
      </c>
    </row>
    <row r="35" spans="1:13" s="18" customFormat="1">
      <c r="A35" s="58">
        <f t="shared" ref="A35" si="0">A34+1</f>
        <v>2010</v>
      </c>
      <c r="B35" s="114">
        <f>IFERROR('3a'!B35/'1h'!$B35*1000, "na")</f>
        <v>1891.2341113589746</v>
      </c>
      <c r="C35" s="115">
        <f>IFERROR('3a'!C35/'1h'!$B35*1000, "na")</f>
        <v>5564.2028356264882</v>
      </c>
      <c r="D35" s="115">
        <f>IFERROR('3a'!D35/'1h'!$B35*1000, "na")</f>
        <v>843.23956103184457</v>
      </c>
      <c r="E35" s="98">
        <f>IFERROR('3a'!E35/'1h'!$B35*1000, "na")</f>
        <v>8298.6765080173063</v>
      </c>
      <c r="F35" s="114">
        <f>IFERROR('3a'!F35/'1h'!$C35*1000, "na")</f>
        <v>985.41499253817017</v>
      </c>
      <c r="G35" s="115">
        <f>IFERROR('3a'!G35/'1h'!$C35*1000, "na")</f>
        <v>11707.065778900242</v>
      </c>
      <c r="H35" s="115">
        <f>IFERROR('3a'!H35/'1h'!$C35*1000, "na")</f>
        <v>413.7498565032717</v>
      </c>
      <c r="I35" s="98">
        <f>IFERROR('3a'!I35/'1h'!$C35*1000, "na")</f>
        <v>13106.230627941684</v>
      </c>
      <c r="J35" s="114">
        <f>IFERROR('3a'!J35/'1h'!$D35*1000, "na")</f>
        <v>1297.4406612104101</v>
      </c>
      <c r="K35" s="115">
        <f>IFERROR('3a'!K35/'1h'!$D35*1000, "na")</f>
        <v>2823.4126796494629</v>
      </c>
      <c r="L35" s="115">
        <f>IFERROR('3a'!L35/'1h'!$D35*1000, "na")</f>
        <v>1318.8563829980701</v>
      </c>
      <c r="M35" s="98">
        <f>IFERROR('3a'!M35/'1h'!$D35*1000, "na")</f>
        <v>5439.7097238579427</v>
      </c>
    </row>
    <row r="36" spans="1:13" s="18" customFormat="1">
      <c r="A36" s="23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s="1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18" customFormat="1">
      <c r="A38" s="384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6"/>
    </row>
    <row r="39" spans="1:13" s="18" customFormat="1">
      <c r="A39" s="27" t="s">
        <v>53</v>
      </c>
      <c r="B39" s="82" t="str">
        <f>IFERROR((POWER(B14/B5,1/($A14-$A5))-1)*100, "na")</f>
        <v>na</v>
      </c>
      <c r="C39" s="83" t="str">
        <f t="shared" ref="C39:M39" si="1">IFERROR((POWER(C14/C5,1/($A14-$A5))-1)*100, "na")</f>
        <v>na</v>
      </c>
      <c r="D39" s="83" t="str">
        <f t="shared" si="1"/>
        <v>na</v>
      </c>
      <c r="E39" s="84" t="str">
        <f t="shared" si="1"/>
        <v>na</v>
      </c>
      <c r="F39" s="82" t="str">
        <f t="shared" si="1"/>
        <v>na</v>
      </c>
      <c r="G39" s="83" t="str">
        <f t="shared" si="1"/>
        <v>na</v>
      </c>
      <c r="H39" s="83" t="str">
        <f t="shared" si="1"/>
        <v>na</v>
      </c>
      <c r="I39" s="84" t="str">
        <f t="shared" si="1"/>
        <v>na</v>
      </c>
      <c r="J39" s="82" t="str">
        <f t="shared" si="1"/>
        <v>na</v>
      </c>
      <c r="K39" s="83" t="str">
        <f t="shared" si="1"/>
        <v>na</v>
      </c>
      <c r="L39" s="83" t="str">
        <f t="shared" si="1"/>
        <v>na</v>
      </c>
      <c r="M39" s="84" t="str">
        <f t="shared" si="1"/>
        <v>na</v>
      </c>
    </row>
    <row r="40" spans="1:13" s="18" customFormat="1">
      <c r="A40" s="28" t="s">
        <v>71</v>
      </c>
      <c r="B40" s="37" t="str">
        <f>IFERROR((POWER(B$24/B14,1/($A$24-$A$14))-1)*100,"na")</f>
        <v>na</v>
      </c>
      <c r="C40" s="86" t="str">
        <f t="shared" ref="C40:M40" si="2">IFERROR((POWER(C$24/C14,1/($A$24-$A$14))-1)*100,"na")</f>
        <v>na</v>
      </c>
      <c r="D40" s="86" t="str">
        <f t="shared" si="2"/>
        <v>na</v>
      </c>
      <c r="E40" s="87" t="str">
        <f t="shared" si="2"/>
        <v>na</v>
      </c>
      <c r="F40" s="85" t="str">
        <f t="shared" si="2"/>
        <v>na</v>
      </c>
      <c r="G40" s="86" t="str">
        <f t="shared" si="2"/>
        <v>na</v>
      </c>
      <c r="H40" s="86" t="str">
        <f t="shared" si="2"/>
        <v>na</v>
      </c>
      <c r="I40" s="87" t="str">
        <f t="shared" si="2"/>
        <v>na</v>
      </c>
      <c r="J40" s="85" t="str">
        <f t="shared" si="2"/>
        <v>na</v>
      </c>
      <c r="K40" s="86" t="str">
        <f t="shared" si="2"/>
        <v>na</v>
      </c>
      <c r="L40" s="86" t="str">
        <f t="shared" si="2"/>
        <v>na</v>
      </c>
      <c r="M40" s="87" t="str">
        <f t="shared" si="2"/>
        <v>na</v>
      </c>
    </row>
    <row r="41" spans="1:13" s="18" customFormat="1">
      <c r="A41" s="28" t="s">
        <v>69</v>
      </c>
      <c r="B41" s="37">
        <f>IFERROR((POWER(B$35/B25,1/($A$35-$A$25))-1)*100,"na")</f>
        <v>2.7947332707754846</v>
      </c>
      <c r="C41" s="86">
        <f t="shared" ref="C41:M41" si="3">IFERROR((POWER(C$35/C25,1/($A$35-$A$25))-1)*100,"na")</f>
        <v>-1.8415126731444742</v>
      </c>
      <c r="D41" s="86">
        <f t="shared" si="3"/>
        <v>7.451387604065296</v>
      </c>
      <c r="E41" s="87">
        <f t="shared" si="3"/>
        <v>-0.29483451697129848</v>
      </c>
      <c r="F41" s="85">
        <f t="shared" si="3"/>
        <v>-6.8084618006225561</v>
      </c>
      <c r="G41" s="86">
        <f t="shared" si="3"/>
        <v>11.433656190171803</v>
      </c>
      <c r="H41" s="86">
        <f t="shared" si="3"/>
        <v>-0.19046146265997432</v>
      </c>
      <c r="I41" s="87">
        <f t="shared" si="3"/>
        <v>7.4618386600457276</v>
      </c>
      <c r="J41" s="85">
        <f t="shared" si="3"/>
        <v>1.7228500730667839</v>
      </c>
      <c r="K41" s="86">
        <f t="shared" si="3"/>
        <v>4.3520148956363913</v>
      </c>
      <c r="L41" s="86">
        <f t="shared" si="3"/>
        <v>-2.7515312228151512</v>
      </c>
      <c r="M41" s="87">
        <f t="shared" si="3"/>
        <v>1.5134297024049559</v>
      </c>
    </row>
    <row r="42" spans="1:13" s="18" customFormat="1">
      <c r="A42" s="29" t="s">
        <v>70</v>
      </c>
      <c r="B42" s="39" t="str">
        <f>IFERROR((POWER(B35/B5,1/($A$35-$A$5))-1)*100, "na")</f>
        <v>na</v>
      </c>
      <c r="C42" s="89" t="str">
        <f t="shared" ref="C42:M42" si="4">IFERROR((POWER(C35/C5,1/($A$35-$A$5))-1)*100, "na")</f>
        <v>na</v>
      </c>
      <c r="D42" s="89" t="str">
        <f t="shared" si="4"/>
        <v>na</v>
      </c>
      <c r="E42" s="90" t="str">
        <f t="shared" si="4"/>
        <v>na</v>
      </c>
      <c r="F42" s="88" t="str">
        <f t="shared" si="4"/>
        <v>na</v>
      </c>
      <c r="G42" s="89" t="str">
        <f t="shared" si="4"/>
        <v>na</v>
      </c>
      <c r="H42" s="89" t="str">
        <f t="shared" si="4"/>
        <v>na</v>
      </c>
      <c r="I42" s="90" t="str">
        <f t="shared" si="4"/>
        <v>na</v>
      </c>
      <c r="J42" s="88" t="str">
        <f t="shared" si="4"/>
        <v>na</v>
      </c>
      <c r="K42" s="89" t="str">
        <f t="shared" si="4"/>
        <v>na</v>
      </c>
      <c r="L42" s="89" t="str">
        <f t="shared" si="4"/>
        <v>na</v>
      </c>
      <c r="M42" s="90" t="str">
        <f t="shared" si="4"/>
        <v>na</v>
      </c>
    </row>
    <row r="43" spans="1:13" s="18" customFormat="1">
      <c r="A43" s="26"/>
      <c r="B43" s="34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3">
      <c r="A44" s="1" t="s">
        <v>215</v>
      </c>
    </row>
  </sheetData>
  <mergeCells count="5">
    <mergeCell ref="A1:F2"/>
    <mergeCell ref="B4:E4"/>
    <mergeCell ref="F4:I4"/>
    <mergeCell ref="J4:M4"/>
    <mergeCell ref="A38:M38"/>
  </mergeCells>
  <pageMargins left="0.7" right="0.7" top="0.75" bottom="0.75" header="0.3" footer="0.3"/>
  <pageSetup scale="70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M43"/>
  <sheetViews>
    <sheetView zoomScaleNormal="100" workbookViewId="0">
      <selection activeCell="B15" sqref="B15"/>
    </sheetView>
  </sheetViews>
  <sheetFormatPr defaultRowHeight="15"/>
  <cols>
    <col min="1" max="1" width="10.140625" customWidth="1"/>
    <col min="2" max="2" width="13.5703125" customWidth="1"/>
    <col min="4" max="4" width="18.42578125" customWidth="1"/>
    <col min="6" max="6" width="11.5703125" customWidth="1"/>
    <col min="8" max="8" width="20.42578125" customWidth="1"/>
    <col min="10" max="10" width="12.140625" customWidth="1"/>
    <col min="12" max="12" width="18" customWidth="1"/>
  </cols>
  <sheetData>
    <row r="1" spans="1:13">
      <c r="A1" s="387" t="s">
        <v>253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IFERROR('3h'!B6/'3h'!J6*100,"na")</f>
        <v>na</v>
      </c>
      <c r="C6" s="83" t="str">
        <f>IFERROR('3h'!C6/'3h'!K6*100,"na")</f>
        <v>na</v>
      </c>
      <c r="D6" s="83" t="str">
        <f>IFERROR('3h'!D6/'3h'!L6*100,"na")</f>
        <v>na</v>
      </c>
      <c r="E6" s="84" t="str">
        <f>IFERROR('3h'!E6/'3h'!M6*100,"na")</f>
        <v>na</v>
      </c>
      <c r="F6" s="82" t="str">
        <f>IFERROR('3h'!F6/'3h'!J6*100,"na")</f>
        <v>na</v>
      </c>
      <c r="G6" s="83" t="str">
        <f>IFERROR('3h'!G6/'3h'!K6*100,"na")</f>
        <v>na</v>
      </c>
      <c r="H6" s="83" t="str">
        <f>IFERROR('3h'!H6/'3h'!L6*100,"na")</f>
        <v>na</v>
      </c>
      <c r="I6" s="84" t="str">
        <f>IFERROR('3h'!I6/'3h'!M6*100,"na")</f>
        <v>na</v>
      </c>
      <c r="J6" s="82" t="str">
        <f>IFERROR('3h'!J6/'3h'!J6*100, "na")</f>
        <v>na</v>
      </c>
      <c r="K6" s="83" t="str">
        <f>IFERROR('3h'!K6/'3h'!K6*100, "na")</f>
        <v>na</v>
      </c>
      <c r="L6" s="83" t="str">
        <f>IFERROR('3h'!L6/'3h'!L6*100, "na")</f>
        <v>na</v>
      </c>
      <c r="M6" s="84" t="str">
        <f>IFERROR('3h'!M6/'3h'!M6*100, "na")</f>
        <v>na</v>
      </c>
    </row>
    <row r="7" spans="1:13">
      <c r="A7" s="185">
        <v>1982</v>
      </c>
      <c r="B7" s="85" t="str">
        <f>IFERROR('3h'!B7/'3h'!J7*100,"na")</f>
        <v>na</v>
      </c>
      <c r="C7" s="86" t="str">
        <f>IFERROR('3h'!C7/'3h'!K7*100,"na")</f>
        <v>na</v>
      </c>
      <c r="D7" s="86" t="str">
        <f>IFERROR('3h'!D7/'3h'!L7*100,"na")</f>
        <v>na</v>
      </c>
      <c r="E7" s="87" t="str">
        <f>IFERROR('3h'!E7/'3h'!M7*100,"na")</f>
        <v>na</v>
      </c>
      <c r="F7" s="85" t="str">
        <f>IFERROR('3h'!F7/'3h'!J7*100,"na")</f>
        <v>na</v>
      </c>
      <c r="G7" s="86" t="str">
        <f>IFERROR('3h'!G7/'3h'!K7*100,"na")</f>
        <v>na</v>
      </c>
      <c r="H7" s="86" t="str">
        <f>IFERROR('3h'!H7/'3h'!L7*100,"na")</f>
        <v>na</v>
      </c>
      <c r="I7" s="87" t="str">
        <f>IFERROR('3h'!I7/'3h'!M7*100,"na")</f>
        <v>na</v>
      </c>
      <c r="J7" s="85" t="str">
        <f>IFERROR('3h'!J7/'3h'!J7*100, "na")</f>
        <v>na</v>
      </c>
      <c r="K7" s="86" t="str">
        <f>IFERROR('3h'!K7/'3h'!K7*100, "na")</f>
        <v>na</v>
      </c>
      <c r="L7" s="86" t="str">
        <f>IFERROR('3h'!L7/'3h'!L7*100, "na")</f>
        <v>na</v>
      </c>
      <c r="M7" s="87" t="str">
        <f>IFERROR('3h'!M7/'3h'!M7*100, "na")</f>
        <v>na</v>
      </c>
    </row>
    <row r="8" spans="1:13">
      <c r="A8" s="185">
        <v>1983</v>
      </c>
      <c r="B8" s="85" t="str">
        <f>IFERROR('3h'!B8/'3h'!J8*100,"na")</f>
        <v>na</v>
      </c>
      <c r="C8" s="86" t="str">
        <f>IFERROR('3h'!C8/'3h'!K8*100,"na")</f>
        <v>na</v>
      </c>
      <c r="D8" s="86" t="str">
        <f>IFERROR('3h'!D8/'3h'!L8*100,"na")</f>
        <v>na</v>
      </c>
      <c r="E8" s="87" t="str">
        <f>IFERROR('3h'!E8/'3h'!M8*100,"na")</f>
        <v>na</v>
      </c>
      <c r="F8" s="85" t="str">
        <f>IFERROR('3h'!F8/'3h'!J8*100,"na")</f>
        <v>na</v>
      </c>
      <c r="G8" s="86" t="str">
        <f>IFERROR('3h'!G8/'3h'!K8*100,"na")</f>
        <v>na</v>
      </c>
      <c r="H8" s="86" t="str">
        <f>IFERROR('3h'!H8/'3h'!L8*100,"na")</f>
        <v>na</v>
      </c>
      <c r="I8" s="87" t="str">
        <f>IFERROR('3h'!I8/'3h'!M8*100,"na")</f>
        <v>na</v>
      </c>
      <c r="J8" s="85" t="str">
        <f>IFERROR('3h'!J8/'3h'!J8*100, "na")</f>
        <v>na</v>
      </c>
      <c r="K8" s="86" t="str">
        <f>IFERROR('3h'!K8/'3h'!K8*100, "na")</f>
        <v>na</v>
      </c>
      <c r="L8" s="86" t="str">
        <f>IFERROR('3h'!L8/'3h'!L8*100, "na")</f>
        <v>na</v>
      </c>
      <c r="M8" s="87" t="str">
        <f>IFERROR('3h'!M8/'3h'!M8*100, "na")</f>
        <v>na</v>
      </c>
    </row>
    <row r="9" spans="1:13">
      <c r="A9" s="185">
        <v>1984</v>
      </c>
      <c r="B9" s="85" t="str">
        <f>IFERROR('3h'!B9/'3h'!J9*100,"na")</f>
        <v>na</v>
      </c>
      <c r="C9" s="86" t="str">
        <f>IFERROR('3h'!C9/'3h'!K9*100,"na")</f>
        <v>na</v>
      </c>
      <c r="D9" s="86" t="str">
        <f>IFERROR('3h'!D9/'3h'!L9*100,"na")</f>
        <v>na</v>
      </c>
      <c r="E9" s="87" t="str">
        <f>IFERROR('3h'!E9/'3h'!M9*100,"na")</f>
        <v>na</v>
      </c>
      <c r="F9" s="85" t="str">
        <f>IFERROR('3h'!F9/'3h'!J9*100,"na")</f>
        <v>na</v>
      </c>
      <c r="G9" s="86" t="str">
        <f>IFERROR('3h'!G9/'3h'!K9*100,"na")</f>
        <v>na</v>
      </c>
      <c r="H9" s="86" t="str">
        <f>IFERROR('3h'!H9/'3h'!L9*100,"na")</f>
        <v>na</v>
      </c>
      <c r="I9" s="87" t="str">
        <f>IFERROR('3h'!I9/'3h'!M9*100,"na")</f>
        <v>na</v>
      </c>
      <c r="J9" s="85" t="str">
        <f>IFERROR('3h'!J9/'3h'!J9*100, "na")</f>
        <v>na</v>
      </c>
      <c r="K9" s="86" t="str">
        <f>IFERROR('3h'!K9/'3h'!K9*100, "na")</f>
        <v>na</v>
      </c>
      <c r="L9" s="86" t="str">
        <f>IFERROR('3h'!L9/'3h'!L9*100, "na")</f>
        <v>na</v>
      </c>
      <c r="M9" s="87" t="str">
        <f>IFERROR('3h'!M9/'3h'!M9*100, "na")</f>
        <v>na</v>
      </c>
    </row>
    <row r="10" spans="1:13">
      <c r="A10" s="185">
        <v>1985</v>
      </c>
      <c r="B10" s="85" t="str">
        <f>IFERROR('3h'!B10/'3h'!J10*100,"na")</f>
        <v>na</v>
      </c>
      <c r="C10" s="86" t="str">
        <f>IFERROR('3h'!C10/'3h'!K10*100,"na")</f>
        <v>na</v>
      </c>
      <c r="D10" s="86" t="str">
        <f>IFERROR('3h'!D10/'3h'!L10*100,"na")</f>
        <v>na</v>
      </c>
      <c r="E10" s="87" t="str">
        <f>IFERROR('3h'!E10/'3h'!M10*100,"na")</f>
        <v>na</v>
      </c>
      <c r="F10" s="85" t="str">
        <f>IFERROR('3h'!F10/'3h'!J10*100,"na")</f>
        <v>na</v>
      </c>
      <c r="G10" s="86" t="str">
        <f>IFERROR('3h'!G10/'3h'!K10*100,"na")</f>
        <v>na</v>
      </c>
      <c r="H10" s="86" t="str">
        <f>IFERROR('3h'!H10/'3h'!L10*100,"na")</f>
        <v>na</v>
      </c>
      <c r="I10" s="87" t="str">
        <f>IFERROR('3h'!I10/'3h'!M10*100,"na")</f>
        <v>na</v>
      </c>
      <c r="J10" s="85" t="str">
        <f>IFERROR('3h'!J10/'3h'!J10*100, "na")</f>
        <v>na</v>
      </c>
      <c r="K10" s="86" t="str">
        <f>IFERROR('3h'!K10/'3h'!K10*100, "na")</f>
        <v>na</v>
      </c>
      <c r="L10" s="86" t="str">
        <f>IFERROR('3h'!L10/'3h'!L10*100, "na")</f>
        <v>na</v>
      </c>
      <c r="M10" s="87" t="str">
        <f>IFERROR('3h'!M10/'3h'!M10*100, "na")</f>
        <v>na</v>
      </c>
    </row>
    <row r="11" spans="1:13">
      <c r="A11" s="185">
        <v>1986</v>
      </c>
      <c r="B11" s="85" t="str">
        <f>IFERROR('3h'!B11/'3h'!J11*100,"na")</f>
        <v>na</v>
      </c>
      <c r="C11" s="86" t="str">
        <f>IFERROR('3h'!C11/'3h'!K11*100,"na")</f>
        <v>na</v>
      </c>
      <c r="D11" s="86" t="str">
        <f>IFERROR('3h'!D11/'3h'!L11*100,"na")</f>
        <v>na</v>
      </c>
      <c r="E11" s="87" t="str">
        <f>IFERROR('3h'!E11/'3h'!M11*100,"na")</f>
        <v>na</v>
      </c>
      <c r="F11" s="85" t="str">
        <f>IFERROR('3h'!F11/'3h'!J11*100,"na")</f>
        <v>na</v>
      </c>
      <c r="G11" s="86" t="str">
        <f>IFERROR('3h'!G11/'3h'!K11*100,"na")</f>
        <v>na</v>
      </c>
      <c r="H11" s="86" t="str">
        <f>IFERROR('3h'!H11/'3h'!L11*100,"na")</f>
        <v>na</v>
      </c>
      <c r="I11" s="87" t="str">
        <f>IFERROR('3h'!I11/'3h'!M11*100,"na")</f>
        <v>na</v>
      </c>
      <c r="J11" s="85" t="str">
        <f>IFERROR('3h'!J11/'3h'!J11*100, "na")</f>
        <v>na</v>
      </c>
      <c r="K11" s="86" t="str">
        <f>IFERROR('3h'!K11/'3h'!K11*100, "na")</f>
        <v>na</v>
      </c>
      <c r="L11" s="86" t="str">
        <f>IFERROR('3h'!L11/'3h'!L11*100, "na")</f>
        <v>na</v>
      </c>
      <c r="M11" s="87" t="str">
        <f>IFERROR('3h'!M11/'3h'!M11*100, "na")</f>
        <v>na</v>
      </c>
    </row>
    <row r="12" spans="1:13">
      <c r="A12" s="185">
        <v>1987</v>
      </c>
      <c r="B12" s="85" t="str">
        <f>IFERROR('3h'!B12/'3h'!J12*100,"na")</f>
        <v>na</v>
      </c>
      <c r="C12" s="86" t="str">
        <f>IFERROR('3h'!C12/'3h'!K12*100,"na")</f>
        <v>na</v>
      </c>
      <c r="D12" s="86" t="str">
        <f>IFERROR('3h'!D12/'3h'!L12*100,"na")</f>
        <v>na</v>
      </c>
      <c r="E12" s="87" t="str">
        <f>IFERROR('3h'!E12/'3h'!M12*100,"na")</f>
        <v>na</v>
      </c>
      <c r="F12" s="85" t="str">
        <f>IFERROR('3h'!F12/'3h'!J12*100,"na")</f>
        <v>na</v>
      </c>
      <c r="G12" s="86" t="str">
        <f>IFERROR('3h'!G12/'3h'!K12*100,"na")</f>
        <v>na</v>
      </c>
      <c r="H12" s="86" t="str">
        <f>IFERROR('3h'!H12/'3h'!L12*100,"na")</f>
        <v>na</v>
      </c>
      <c r="I12" s="87" t="str">
        <f>IFERROR('3h'!I12/'3h'!M12*100,"na")</f>
        <v>na</v>
      </c>
      <c r="J12" s="85" t="str">
        <f>IFERROR('3h'!J12/'3h'!J12*100, "na")</f>
        <v>na</v>
      </c>
      <c r="K12" s="86" t="str">
        <f>IFERROR('3h'!K12/'3h'!K12*100, "na")</f>
        <v>na</v>
      </c>
      <c r="L12" s="86" t="str">
        <f>IFERROR('3h'!L12/'3h'!L12*100, "na")</f>
        <v>na</v>
      </c>
      <c r="M12" s="87" t="str">
        <f>IFERROR('3h'!M12/'3h'!M12*100, "na")</f>
        <v>na</v>
      </c>
    </row>
    <row r="13" spans="1:13">
      <c r="A13" s="185">
        <v>1988</v>
      </c>
      <c r="B13" s="85" t="str">
        <f>IFERROR('3h'!B13/'3h'!J13*100,"na")</f>
        <v>na</v>
      </c>
      <c r="C13" s="86" t="str">
        <f>IFERROR('3h'!C13/'3h'!K13*100,"na")</f>
        <v>na</v>
      </c>
      <c r="D13" s="86" t="str">
        <f>IFERROR('3h'!D13/'3h'!L13*100,"na")</f>
        <v>na</v>
      </c>
      <c r="E13" s="87" t="str">
        <f>IFERROR('3h'!E13/'3h'!M13*100,"na")</f>
        <v>na</v>
      </c>
      <c r="F13" s="85" t="str">
        <f>IFERROR('3h'!F13/'3h'!J13*100,"na")</f>
        <v>na</v>
      </c>
      <c r="G13" s="86" t="str">
        <f>IFERROR('3h'!G13/'3h'!K13*100,"na")</f>
        <v>na</v>
      </c>
      <c r="H13" s="86" t="str">
        <f>IFERROR('3h'!H13/'3h'!L13*100,"na")</f>
        <v>na</v>
      </c>
      <c r="I13" s="87" t="str">
        <f>IFERROR('3h'!I13/'3h'!M13*100,"na")</f>
        <v>na</v>
      </c>
      <c r="J13" s="85" t="str">
        <f>IFERROR('3h'!J13/'3h'!J13*100, "na")</f>
        <v>na</v>
      </c>
      <c r="K13" s="86" t="str">
        <f>IFERROR('3h'!K13/'3h'!K13*100, "na")</f>
        <v>na</v>
      </c>
      <c r="L13" s="86" t="str">
        <f>IFERROR('3h'!L13/'3h'!L13*100, "na")</f>
        <v>na</v>
      </c>
      <c r="M13" s="87" t="str">
        <f>IFERROR('3h'!M13/'3h'!M13*100, "na")</f>
        <v>na</v>
      </c>
    </row>
    <row r="14" spans="1:13">
      <c r="A14" s="185">
        <v>1989</v>
      </c>
      <c r="B14" s="85" t="str">
        <f>IFERROR('3h'!B14/'3h'!J14*100,"na")</f>
        <v>na</v>
      </c>
      <c r="C14" s="86" t="str">
        <f>IFERROR('3h'!C14/'3h'!K14*100,"na")</f>
        <v>na</v>
      </c>
      <c r="D14" s="86" t="str">
        <f>IFERROR('3h'!D14/'3h'!L14*100,"na")</f>
        <v>na</v>
      </c>
      <c r="E14" s="87" t="str">
        <f>IFERROR('3h'!E14/'3h'!M14*100,"na")</f>
        <v>na</v>
      </c>
      <c r="F14" s="85" t="str">
        <f>IFERROR('3h'!F14/'3h'!J14*100,"na")</f>
        <v>na</v>
      </c>
      <c r="G14" s="86" t="str">
        <f>IFERROR('3h'!G14/'3h'!K14*100,"na")</f>
        <v>na</v>
      </c>
      <c r="H14" s="86" t="str">
        <f>IFERROR('3h'!H14/'3h'!L14*100,"na")</f>
        <v>na</v>
      </c>
      <c r="I14" s="87" t="str">
        <f>IFERROR('3h'!I14/'3h'!M14*100,"na")</f>
        <v>na</v>
      </c>
      <c r="J14" s="85" t="str">
        <f>IFERROR('3h'!J14/'3h'!J14*100, "na")</f>
        <v>na</v>
      </c>
      <c r="K14" s="86" t="str">
        <f>IFERROR('3h'!K14/'3h'!K14*100, "na")</f>
        <v>na</v>
      </c>
      <c r="L14" s="86" t="str">
        <f>IFERROR('3h'!L14/'3h'!L14*100, "na")</f>
        <v>na</v>
      </c>
      <c r="M14" s="87" t="str">
        <f>IFERROR('3h'!M14/'3h'!M14*100, "na")</f>
        <v>na</v>
      </c>
    </row>
    <row r="15" spans="1:13">
      <c r="A15" s="185">
        <v>1990</v>
      </c>
      <c r="B15" s="85" t="str">
        <f>IFERROR('3h'!B15/'3h'!J15*100,"na")</f>
        <v>na</v>
      </c>
      <c r="C15" s="86" t="str">
        <f>IFERROR('3h'!C15/'3h'!K15*100,"na")</f>
        <v>na</v>
      </c>
      <c r="D15" s="86" t="str">
        <f>IFERROR('3h'!D15/'3h'!L15*100,"na")</f>
        <v>na</v>
      </c>
      <c r="E15" s="87" t="str">
        <f>IFERROR('3h'!E15/'3h'!M15*100,"na")</f>
        <v>na</v>
      </c>
      <c r="F15" s="85" t="str">
        <f>IFERROR('3h'!F15/'3h'!J15*100,"na")</f>
        <v>na</v>
      </c>
      <c r="G15" s="86" t="str">
        <f>IFERROR('3h'!G15/'3h'!K15*100,"na")</f>
        <v>na</v>
      </c>
      <c r="H15" s="86" t="str">
        <f>IFERROR('3h'!H15/'3h'!L15*100,"na")</f>
        <v>na</v>
      </c>
      <c r="I15" s="87" t="str">
        <f>IFERROR('3h'!I15/'3h'!M15*100,"na")</f>
        <v>na</v>
      </c>
      <c r="J15" s="85" t="str">
        <f>IFERROR('3h'!J15/'3h'!J15*100, "na")</f>
        <v>na</v>
      </c>
      <c r="K15" s="86" t="str">
        <f>IFERROR('3h'!K15/'3h'!K15*100, "na")</f>
        <v>na</v>
      </c>
      <c r="L15" s="86" t="str">
        <f>IFERROR('3h'!L15/'3h'!L15*100, "na")</f>
        <v>na</v>
      </c>
      <c r="M15" s="87" t="str">
        <f>IFERROR('3h'!M15/'3h'!M15*100, "na")</f>
        <v>na</v>
      </c>
    </row>
    <row r="16" spans="1:13">
      <c r="A16" s="185">
        <v>1991</v>
      </c>
      <c r="B16" s="85" t="str">
        <f>IFERROR('3h'!B16/'3h'!J16*100,"na")</f>
        <v>na</v>
      </c>
      <c r="C16" s="86" t="str">
        <f>IFERROR('3h'!C16/'3h'!K16*100,"na")</f>
        <v>na</v>
      </c>
      <c r="D16" s="86" t="str">
        <f>IFERROR('3h'!D16/'3h'!L16*100,"na")</f>
        <v>na</v>
      </c>
      <c r="E16" s="87" t="str">
        <f>IFERROR('3h'!E16/'3h'!M16*100,"na")</f>
        <v>na</v>
      </c>
      <c r="F16" s="85" t="str">
        <f>IFERROR('3h'!F16/'3h'!J16*100,"na")</f>
        <v>na</v>
      </c>
      <c r="G16" s="86" t="str">
        <f>IFERROR('3h'!G16/'3h'!K16*100,"na")</f>
        <v>na</v>
      </c>
      <c r="H16" s="86" t="str">
        <f>IFERROR('3h'!H16/'3h'!L16*100,"na")</f>
        <v>na</v>
      </c>
      <c r="I16" s="87" t="str">
        <f>IFERROR('3h'!I16/'3h'!M16*100,"na")</f>
        <v>na</v>
      </c>
      <c r="J16" s="85" t="str">
        <f>IFERROR('3h'!J16/'3h'!J16*100, "na")</f>
        <v>na</v>
      </c>
      <c r="K16" s="86" t="str">
        <f>IFERROR('3h'!K16/'3h'!K16*100, "na")</f>
        <v>na</v>
      </c>
      <c r="L16" s="86" t="str">
        <f>IFERROR('3h'!L16/'3h'!L16*100, "na")</f>
        <v>na</v>
      </c>
      <c r="M16" s="87" t="str">
        <f>IFERROR('3h'!M16/'3h'!M16*100, "na")</f>
        <v>na</v>
      </c>
    </row>
    <row r="17" spans="1:13">
      <c r="A17" s="185">
        <v>1992</v>
      </c>
      <c r="B17" s="85" t="str">
        <f>IFERROR('3h'!B17/'3h'!J17*100,"na")</f>
        <v>na</v>
      </c>
      <c r="C17" s="86" t="str">
        <f>IFERROR('3h'!C17/'3h'!K17*100,"na")</f>
        <v>na</v>
      </c>
      <c r="D17" s="86" t="str">
        <f>IFERROR('3h'!D17/'3h'!L17*100,"na")</f>
        <v>na</v>
      </c>
      <c r="E17" s="87" t="str">
        <f>IFERROR('3h'!E17/'3h'!M17*100,"na")</f>
        <v>na</v>
      </c>
      <c r="F17" s="85" t="str">
        <f>IFERROR('3h'!F17/'3h'!J17*100,"na")</f>
        <v>na</v>
      </c>
      <c r="G17" s="86" t="str">
        <f>IFERROR('3h'!G17/'3h'!K17*100,"na")</f>
        <v>na</v>
      </c>
      <c r="H17" s="86" t="str">
        <f>IFERROR('3h'!H17/'3h'!L17*100,"na")</f>
        <v>na</v>
      </c>
      <c r="I17" s="87" t="str">
        <f>IFERROR('3h'!I17/'3h'!M17*100,"na")</f>
        <v>na</v>
      </c>
      <c r="J17" s="85" t="str">
        <f>IFERROR('3h'!J17/'3h'!J17*100, "na")</f>
        <v>na</v>
      </c>
      <c r="K17" s="86" t="str">
        <f>IFERROR('3h'!K17/'3h'!K17*100, "na")</f>
        <v>na</v>
      </c>
      <c r="L17" s="86" t="str">
        <f>IFERROR('3h'!L17/'3h'!L17*100, "na")</f>
        <v>na</v>
      </c>
      <c r="M17" s="87" t="str">
        <f>IFERROR('3h'!M17/'3h'!M17*100, "na")</f>
        <v>na</v>
      </c>
    </row>
    <row r="18" spans="1:13">
      <c r="A18" s="185">
        <v>1993</v>
      </c>
      <c r="B18" s="85" t="str">
        <f>IFERROR('3h'!B18/'3h'!J18*100,"na")</f>
        <v>na</v>
      </c>
      <c r="C18" s="86" t="str">
        <f>IFERROR('3h'!C18/'3h'!K18*100,"na")</f>
        <v>na</v>
      </c>
      <c r="D18" s="86" t="str">
        <f>IFERROR('3h'!D18/'3h'!L18*100,"na")</f>
        <v>na</v>
      </c>
      <c r="E18" s="87" t="str">
        <f>IFERROR('3h'!E18/'3h'!M18*100,"na")</f>
        <v>na</v>
      </c>
      <c r="F18" s="85" t="str">
        <f>IFERROR('3h'!F18/'3h'!J18*100,"na")</f>
        <v>na</v>
      </c>
      <c r="G18" s="86" t="str">
        <f>IFERROR('3h'!G18/'3h'!K18*100,"na")</f>
        <v>na</v>
      </c>
      <c r="H18" s="86" t="str">
        <f>IFERROR('3h'!H18/'3h'!L18*100,"na")</f>
        <v>na</v>
      </c>
      <c r="I18" s="87" t="str">
        <f>IFERROR('3h'!I18/'3h'!M18*100,"na")</f>
        <v>na</v>
      </c>
      <c r="J18" s="85" t="str">
        <f>IFERROR('3h'!J18/'3h'!J18*100, "na")</f>
        <v>na</v>
      </c>
      <c r="K18" s="86" t="str">
        <f>IFERROR('3h'!K18/'3h'!K18*100, "na")</f>
        <v>na</v>
      </c>
      <c r="L18" s="86" t="str">
        <f>IFERROR('3h'!L18/'3h'!L18*100, "na")</f>
        <v>na</v>
      </c>
      <c r="M18" s="87" t="str">
        <f>IFERROR('3h'!M18/'3h'!M18*100, "na")</f>
        <v>na</v>
      </c>
    </row>
    <row r="19" spans="1:13">
      <c r="A19" s="185">
        <v>1994</v>
      </c>
      <c r="B19" s="85" t="str">
        <f>IFERROR('3h'!B19/'3h'!J19*100,"na")</f>
        <v>na</v>
      </c>
      <c r="C19" s="86" t="str">
        <f>IFERROR('3h'!C19/'3h'!K19*100,"na")</f>
        <v>na</v>
      </c>
      <c r="D19" s="86" t="str">
        <f>IFERROR('3h'!D19/'3h'!L19*100,"na")</f>
        <v>na</v>
      </c>
      <c r="E19" s="87" t="str">
        <f>IFERROR('3h'!E19/'3h'!M19*100,"na")</f>
        <v>na</v>
      </c>
      <c r="F19" s="85" t="str">
        <f>IFERROR('3h'!F19/'3h'!J19*100,"na")</f>
        <v>na</v>
      </c>
      <c r="G19" s="86" t="str">
        <f>IFERROR('3h'!G19/'3h'!K19*100,"na")</f>
        <v>na</v>
      </c>
      <c r="H19" s="86" t="str">
        <f>IFERROR('3h'!H19/'3h'!L19*100,"na")</f>
        <v>na</v>
      </c>
      <c r="I19" s="87" t="str">
        <f>IFERROR('3h'!I19/'3h'!M19*100,"na")</f>
        <v>na</v>
      </c>
      <c r="J19" s="85" t="str">
        <f>IFERROR('3h'!J19/'3h'!J19*100, "na")</f>
        <v>na</v>
      </c>
      <c r="K19" s="86" t="str">
        <f>IFERROR('3h'!K19/'3h'!K19*100, "na")</f>
        <v>na</v>
      </c>
      <c r="L19" s="86" t="str">
        <f>IFERROR('3h'!L19/'3h'!L19*100, "na")</f>
        <v>na</v>
      </c>
      <c r="M19" s="87" t="str">
        <f>IFERROR('3h'!M19/'3h'!M19*100, "na")</f>
        <v>na</v>
      </c>
    </row>
    <row r="20" spans="1:13">
      <c r="A20" s="185">
        <v>1995</v>
      </c>
      <c r="B20" s="85" t="str">
        <f>IFERROR('3h'!B20/'3h'!J20*100,"na")</f>
        <v>na</v>
      </c>
      <c r="C20" s="86" t="str">
        <f>IFERROR('3h'!C20/'3h'!K20*100,"na")</f>
        <v>na</v>
      </c>
      <c r="D20" s="86" t="str">
        <f>IFERROR('3h'!D20/'3h'!L20*100,"na")</f>
        <v>na</v>
      </c>
      <c r="E20" s="87" t="str">
        <f>IFERROR('3h'!E20/'3h'!M20*100,"na")</f>
        <v>na</v>
      </c>
      <c r="F20" s="85" t="str">
        <f>IFERROR('3h'!F20/'3h'!J20*100,"na")</f>
        <v>na</v>
      </c>
      <c r="G20" s="86" t="str">
        <f>IFERROR('3h'!G20/'3h'!K20*100,"na")</f>
        <v>na</v>
      </c>
      <c r="H20" s="86" t="str">
        <f>IFERROR('3h'!H20/'3h'!L20*100,"na")</f>
        <v>na</v>
      </c>
      <c r="I20" s="87" t="str">
        <f>IFERROR('3h'!I20/'3h'!M20*100,"na")</f>
        <v>na</v>
      </c>
      <c r="J20" s="85" t="str">
        <f>IFERROR('3h'!J20/'3h'!J20*100, "na")</f>
        <v>na</v>
      </c>
      <c r="K20" s="86" t="str">
        <f>IFERROR('3h'!K20/'3h'!K20*100, "na")</f>
        <v>na</v>
      </c>
      <c r="L20" s="86" t="str">
        <f>IFERROR('3h'!L20/'3h'!L20*100, "na")</f>
        <v>na</v>
      </c>
      <c r="M20" s="87" t="str">
        <f>IFERROR('3h'!M20/'3h'!M20*100, "na")</f>
        <v>na</v>
      </c>
    </row>
    <row r="21" spans="1:13">
      <c r="A21" s="185">
        <v>1996</v>
      </c>
      <c r="B21" s="85" t="str">
        <f>IFERROR('3h'!B21/'3h'!J21*100,"na")</f>
        <v>na</v>
      </c>
      <c r="C21" s="86" t="str">
        <f>IFERROR('3h'!C21/'3h'!K21*100,"na")</f>
        <v>na</v>
      </c>
      <c r="D21" s="86" t="str">
        <f>IFERROR('3h'!D21/'3h'!L21*100,"na")</f>
        <v>na</v>
      </c>
      <c r="E21" s="87" t="str">
        <f>IFERROR('3h'!E21/'3h'!M21*100,"na")</f>
        <v>na</v>
      </c>
      <c r="F21" s="85" t="str">
        <f>IFERROR('3h'!F21/'3h'!J21*100,"na")</f>
        <v>na</v>
      </c>
      <c r="G21" s="86" t="str">
        <f>IFERROR('3h'!G21/'3h'!K21*100,"na")</f>
        <v>na</v>
      </c>
      <c r="H21" s="86" t="str">
        <f>IFERROR('3h'!H21/'3h'!L21*100,"na")</f>
        <v>na</v>
      </c>
      <c r="I21" s="87" t="str">
        <f>IFERROR('3h'!I21/'3h'!M21*100,"na")</f>
        <v>na</v>
      </c>
      <c r="J21" s="85" t="str">
        <f>IFERROR('3h'!J21/'3h'!J21*100, "na")</f>
        <v>na</v>
      </c>
      <c r="K21" s="86" t="str">
        <f>IFERROR('3h'!K21/'3h'!K21*100, "na")</f>
        <v>na</v>
      </c>
      <c r="L21" s="86" t="str">
        <f>IFERROR('3h'!L21/'3h'!L21*100, "na")</f>
        <v>na</v>
      </c>
      <c r="M21" s="87" t="str">
        <f>IFERROR('3h'!M21/'3h'!M21*100, "na")</f>
        <v>na</v>
      </c>
    </row>
    <row r="22" spans="1:13">
      <c r="A22" s="185">
        <v>1997</v>
      </c>
      <c r="B22" s="85">
        <f>IFERROR('3h'!B22/'3h'!J22*100,"na")</f>
        <v>209.22635743186956</v>
      </c>
      <c r="C22" s="86">
        <f>IFERROR('3h'!C22/'3h'!K22*100,"na")</f>
        <v>233.6929909360129</v>
      </c>
      <c r="D22" s="86">
        <f>IFERROR('3h'!D22/'3h'!L22*100,"na")</f>
        <v>38.149080499427214</v>
      </c>
      <c r="E22" s="87">
        <f>IFERROR('3h'!E22/'3h'!M22*100,"na")</f>
        <v>147.33218742713851</v>
      </c>
      <c r="F22" s="85">
        <f>IFERROR('3h'!F22/'3h'!J22*100,"na")</f>
        <v>245.46052170047435</v>
      </c>
      <c r="G22" s="86">
        <f>IFERROR('3h'!G22/'3h'!K22*100,"na")</f>
        <v>153.88942648907278</v>
      </c>
      <c r="H22" s="86">
        <f>IFERROR('3h'!H22/'3h'!L22*100,"na")</f>
        <v>10.281399303940857</v>
      </c>
      <c r="I22" s="87">
        <f>IFERROR('3h'!I22/'3h'!M22*100,"na")</f>
        <v>112.39468080422941</v>
      </c>
      <c r="J22" s="85">
        <f>IFERROR('3h'!J22/'3h'!J22*100, "na")</f>
        <v>100</v>
      </c>
      <c r="K22" s="86">
        <f>IFERROR('3h'!K22/'3h'!K22*100, "na")</f>
        <v>100</v>
      </c>
      <c r="L22" s="86">
        <f>IFERROR('3h'!L22/'3h'!L22*100, "na")</f>
        <v>100</v>
      </c>
      <c r="M22" s="87">
        <f>IFERROR('3h'!M22/'3h'!M22*100, "na")</f>
        <v>100</v>
      </c>
    </row>
    <row r="23" spans="1:13">
      <c r="A23" s="185">
        <v>1998</v>
      </c>
      <c r="B23" s="85">
        <f>IFERROR('3h'!B23/'3h'!J23*100,"na")</f>
        <v>252.22604819484613</v>
      </c>
      <c r="C23" s="86">
        <f>IFERROR('3h'!C23/'3h'!K23*100,"na")</f>
        <v>246.9066672929122</v>
      </c>
      <c r="D23" s="86">
        <f>IFERROR('3h'!D23/'3h'!L23*100,"na")</f>
        <v>32.648928436589927</v>
      </c>
      <c r="E23" s="87">
        <f>IFERROR('3h'!E23/'3h'!M23*100,"na")</f>
        <v>164.12800836464885</v>
      </c>
      <c r="F23" s="85">
        <f>IFERROR('3h'!F23/'3h'!J23*100,"na")</f>
        <v>450.95786066622543</v>
      </c>
      <c r="G23" s="86">
        <f>IFERROR('3h'!G23/'3h'!K23*100,"na")</f>
        <v>214.99662366614351</v>
      </c>
      <c r="H23" s="86">
        <f>IFERROR('3h'!H23/'3h'!L23*100,"na")</f>
        <v>17.331040068385022</v>
      </c>
      <c r="I23" s="87">
        <f>IFERROR('3h'!I23/'3h'!M23*100,"na")</f>
        <v>189.88345899611707</v>
      </c>
      <c r="J23" s="85">
        <f>IFERROR('3h'!J23/'3h'!J23*100, "na")</f>
        <v>100</v>
      </c>
      <c r="K23" s="86">
        <f>IFERROR('3h'!K23/'3h'!K23*100, "na")</f>
        <v>100</v>
      </c>
      <c r="L23" s="86">
        <f>IFERROR('3h'!L23/'3h'!L23*100, "na")</f>
        <v>100</v>
      </c>
      <c r="M23" s="87">
        <f>IFERROR('3h'!M23/'3h'!M23*100, "na")</f>
        <v>100</v>
      </c>
    </row>
    <row r="24" spans="1:13">
      <c r="A24" s="185">
        <v>1999</v>
      </c>
      <c r="B24" s="85">
        <f>IFERROR('3h'!B24/'3h'!J24*100,"na")</f>
        <v>230.71073247396123</v>
      </c>
      <c r="C24" s="86">
        <f>IFERROR('3h'!C24/'3h'!K24*100,"na")</f>
        <v>307.18716599135206</v>
      </c>
      <c r="D24" s="86">
        <f>IFERROR('3h'!D24/'3h'!L24*100,"na")</f>
        <v>30.413376339213261</v>
      </c>
      <c r="E24" s="87">
        <f>IFERROR('3h'!E24/'3h'!M24*100,"na")</f>
        <v>185.12123122113559</v>
      </c>
      <c r="F24" s="85">
        <f>IFERROR('3h'!F24/'3h'!J24*100,"na")</f>
        <v>241.04247371422812</v>
      </c>
      <c r="G24" s="86">
        <f>IFERROR('3h'!G24/'3h'!K24*100,"na")</f>
        <v>188.52233516751178</v>
      </c>
      <c r="H24" s="86">
        <f>IFERROR('3h'!H24/'3h'!L24*100,"na")</f>
        <v>14.185236309441668</v>
      </c>
      <c r="I24" s="87">
        <f>IFERROR('3h'!I24/'3h'!M24*100,"na")</f>
        <v>134.60044490303869</v>
      </c>
      <c r="J24" s="85">
        <f>IFERROR('3h'!J24/'3h'!J24*100, "na")</f>
        <v>100</v>
      </c>
      <c r="K24" s="86">
        <f>IFERROR('3h'!K24/'3h'!K24*100, "na")</f>
        <v>100</v>
      </c>
      <c r="L24" s="86">
        <f>IFERROR('3h'!L24/'3h'!L24*100, "na")</f>
        <v>100</v>
      </c>
      <c r="M24" s="87">
        <f>IFERROR('3h'!M24/'3h'!M24*100, "na")</f>
        <v>100</v>
      </c>
    </row>
    <row r="25" spans="1:13">
      <c r="A25" s="185">
        <v>2000</v>
      </c>
      <c r="B25" s="85">
        <f>IFERROR('3h'!B25/'3h'!J25*100,"na")</f>
        <v>131.26058809860001</v>
      </c>
      <c r="C25" s="86">
        <f>IFERROR('3h'!C25/'3h'!K25*100,"na")</f>
        <v>363.37781820619904</v>
      </c>
      <c r="D25" s="86">
        <f>IFERROR('3h'!D25/'3h'!L25*100,"na")</f>
        <v>23.575499566824899</v>
      </c>
      <c r="E25" s="87">
        <f>IFERROR('3h'!E25/'3h'!M25*100,"na")</f>
        <v>182.59611522741875</v>
      </c>
      <c r="F25" s="85">
        <f>IFERROR('3h'!F25/'3h'!J25*100,"na")</f>
        <v>182.36943682647754</v>
      </c>
      <c r="G25" s="86">
        <f>IFERROR('3h'!G25/'3h'!K25*100,"na")</f>
        <v>215.03952269949917</v>
      </c>
      <c r="H25" s="86">
        <f>IFERROR('3h'!H25/'3h'!L25*100,"na")</f>
        <v>24.190653053084382</v>
      </c>
      <c r="I25" s="87">
        <f>IFERROR('3h'!I25/'3h'!M25*100,"na")</f>
        <v>136.33093711524373</v>
      </c>
      <c r="J25" s="85">
        <f>IFERROR('3h'!J25/'3h'!J25*100, "na")</f>
        <v>100</v>
      </c>
      <c r="K25" s="86">
        <f>IFERROR('3h'!K25/'3h'!K25*100, "na")</f>
        <v>100</v>
      </c>
      <c r="L25" s="86">
        <f>IFERROR('3h'!L25/'3h'!L25*100, "na")</f>
        <v>100</v>
      </c>
      <c r="M25" s="87">
        <f>IFERROR('3h'!M25/'3h'!M25*100, "na")</f>
        <v>100</v>
      </c>
    </row>
    <row r="26" spans="1:13">
      <c r="A26" s="185">
        <v>2001</v>
      </c>
      <c r="B26" s="85">
        <f>IFERROR('3h'!B26/'3h'!J26*100,"na")</f>
        <v>76.096320750855114</v>
      </c>
      <c r="C26" s="86">
        <f>IFERROR('3h'!C26/'3h'!K26*100,"na")</f>
        <v>345.19738282027657</v>
      </c>
      <c r="D26" s="86">
        <f>IFERROR('3h'!D26/'3h'!L26*100,"na")</f>
        <v>17.013499317949947</v>
      </c>
      <c r="E26" s="87">
        <f>IFERROR('3h'!E26/'3h'!M26*100,"na")</f>
        <v>161.25200382016715</v>
      </c>
      <c r="F26" s="85">
        <f>IFERROR('3h'!F26/'3h'!J26*100,"na")</f>
        <v>99.368431738410479</v>
      </c>
      <c r="G26" s="86">
        <f>IFERROR('3h'!G26/'3h'!K26*100,"na")</f>
        <v>200.83905042107835</v>
      </c>
      <c r="H26" s="86">
        <f>IFERROR('3h'!H26/'3h'!L26*100,"na")</f>
        <v>18.034101948278053</v>
      </c>
      <c r="I26" s="87">
        <f>IFERROR('3h'!I26/'3h'!M26*100,"na")</f>
        <v>108.89024305976393</v>
      </c>
      <c r="J26" s="85">
        <f>IFERROR('3h'!J26/'3h'!J26*100, "na")</f>
        <v>100</v>
      </c>
      <c r="K26" s="86">
        <f>IFERROR('3h'!K26/'3h'!K26*100, "na")</f>
        <v>100</v>
      </c>
      <c r="L26" s="86">
        <f>IFERROR('3h'!L26/'3h'!L26*100, "na")</f>
        <v>100</v>
      </c>
      <c r="M26" s="87">
        <f>IFERROR('3h'!M26/'3h'!M26*100, "na")</f>
        <v>100</v>
      </c>
    </row>
    <row r="27" spans="1:13">
      <c r="A27" s="185">
        <v>2002</v>
      </c>
      <c r="B27" s="85">
        <f>IFERROR('3h'!B27/'3h'!J27*100,"na")</f>
        <v>89.132224177272008</v>
      </c>
      <c r="C27" s="86">
        <f>IFERROR('3h'!C27/'3h'!K27*100,"na")</f>
        <v>328.39227772316667</v>
      </c>
      <c r="D27" s="86">
        <f>IFERROR('3h'!D27/'3h'!L27*100,"na")</f>
        <v>16.937790784420109</v>
      </c>
      <c r="E27" s="87">
        <f>IFERROR('3h'!E27/'3h'!M27*100,"na")</f>
        <v>157.25164516189852</v>
      </c>
      <c r="F27" s="85">
        <f>IFERROR('3h'!F27/'3h'!J27*100,"na")</f>
        <v>58.399673789022742</v>
      </c>
      <c r="G27" s="86">
        <f>IFERROR('3h'!G27/'3h'!K27*100,"na")</f>
        <v>185.52934461708239</v>
      </c>
      <c r="H27" s="86">
        <f>IFERROR('3h'!H27/'3h'!L27*100,"na")</f>
        <v>16.501700098207426</v>
      </c>
      <c r="I27" s="87">
        <f>IFERROR('3h'!I27/'3h'!M27*100,"na")</f>
        <v>93.239210630764617</v>
      </c>
      <c r="J27" s="85">
        <f>IFERROR('3h'!J27/'3h'!J27*100, "na")</f>
        <v>100</v>
      </c>
      <c r="K27" s="86">
        <f>IFERROR('3h'!K27/'3h'!K27*100, "na")</f>
        <v>100</v>
      </c>
      <c r="L27" s="86">
        <f>IFERROR('3h'!L27/'3h'!L27*100, "na")</f>
        <v>100</v>
      </c>
      <c r="M27" s="87">
        <f>IFERROR('3h'!M27/'3h'!M27*100, "na")</f>
        <v>100</v>
      </c>
    </row>
    <row r="28" spans="1:13">
      <c r="A28" s="185">
        <v>2003</v>
      </c>
      <c r="B28" s="85">
        <f>IFERROR('3h'!B28/'3h'!J28*100,"na")</f>
        <v>130.80308045709756</v>
      </c>
      <c r="C28" s="86">
        <f>IFERROR('3h'!C28/'3h'!K28*100,"na")</f>
        <v>275.2426217613808</v>
      </c>
      <c r="D28" s="86">
        <f>IFERROR('3h'!D28/'3h'!L28*100,"na")</f>
        <v>23.138816734262839</v>
      </c>
      <c r="E28" s="87">
        <f>IFERROR('3h'!E28/'3h'!M28*100,"na")</f>
        <v>152.05414766688071</v>
      </c>
      <c r="F28" s="85">
        <f>IFERROR('3h'!F28/'3h'!J28*100,"na")</f>
        <v>59.190871358464804</v>
      </c>
      <c r="G28" s="86">
        <f>IFERROR('3h'!G28/'3h'!K28*100,"na")</f>
        <v>178.88512337255017</v>
      </c>
      <c r="H28" s="86">
        <f>IFERROR('3h'!H28/'3h'!L28*100,"na")</f>
        <v>17.014128521503146</v>
      </c>
      <c r="I28" s="87">
        <f>IFERROR('3h'!I28/'3h'!M28*100,"na")</f>
        <v>93.621991027016904</v>
      </c>
      <c r="J28" s="85">
        <f>IFERROR('3h'!J28/'3h'!J28*100, "na")</f>
        <v>100</v>
      </c>
      <c r="K28" s="86">
        <f>IFERROR('3h'!K28/'3h'!K28*100, "na")</f>
        <v>100</v>
      </c>
      <c r="L28" s="86">
        <f>IFERROR('3h'!L28/'3h'!L28*100, "na")</f>
        <v>100</v>
      </c>
      <c r="M28" s="87">
        <f>IFERROR('3h'!M28/'3h'!M28*100, "na")</f>
        <v>100</v>
      </c>
    </row>
    <row r="29" spans="1:13">
      <c r="A29" s="185">
        <v>2004</v>
      </c>
      <c r="B29" s="85">
        <f>IFERROR('3h'!B29/'3h'!J29*100,"na")</f>
        <v>152.71691357339529</v>
      </c>
      <c r="C29" s="86">
        <f>IFERROR('3h'!C29/'3h'!K29*100,"na")</f>
        <v>266.33679727212655</v>
      </c>
      <c r="D29" s="86">
        <f>IFERROR('3h'!D29/'3h'!L29*100,"na")</f>
        <v>29.760690141540781</v>
      </c>
      <c r="E29" s="87">
        <f>IFERROR('3h'!E29/'3h'!M29*100,"na")</f>
        <v>161.60876465509702</v>
      </c>
      <c r="F29" s="85">
        <f>IFERROR('3h'!F29/'3h'!J29*100,"na")</f>
        <v>58.517394735005098</v>
      </c>
      <c r="G29" s="86">
        <f>IFERROR('3h'!G29/'3h'!K29*100,"na")</f>
        <v>227.76061204833599</v>
      </c>
      <c r="H29" s="86">
        <f>IFERROR('3h'!H29/'3h'!L29*100,"na")</f>
        <v>18.835222480166223</v>
      </c>
      <c r="I29" s="87">
        <f>IFERROR('3h'!I29/'3h'!M29*100,"na")</f>
        <v>118.79227625534048</v>
      </c>
      <c r="J29" s="85">
        <f>IFERROR('3h'!J29/'3h'!J29*100, "na")</f>
        <v>100</v>
      </c>
      <c r="K29" s="86">
        <f>IFERROR('3h'!K29/'3h'!K29*100, "na")</f>
        <v>100</v>
      </c>
      <c r="L29" s="86">
        <f>IFERROR('3h'!L29/'3h'!L29*100, "na")</f>
        <v>100</v>
      </c>
      <c r="M29" s="87">
        <f>IFERROR('3h'!M29/'3h'!M29*100, "na")</f>
        <v>100</v>
      </c>
    </row>
    <row r="30" spans="1:13">
      <c r="A30" s="185">
        <v>2005</v>
      </c>
      <c r="B30" s="85">
        <f>IFERROR('3h'!B30/'3h'!J30*100,"na")</f>
        <v>178.34398358951674</v>
      </c>
      <c r="C30" s="86">
        <f>IFERROR('3h'!C30/'3h'!K30*100,"na")</f>
        <v>288.06270399675947</v>
      </c>
      <c r="D30" s="86">
        <f>IFERROR('3h'!D30/'3h'!L30*100,"na")</f>
        <v>34.145576456225299</v>
      </c>
      <c r="E30" s="87">
        <f>IFERROR('3h'!E30/'3h'!M30*100,"na")</f>
        <v>184.26901084042373</v>
      </c>
      <c r="F30" s="85">
        <f>IFERROR('3h'!F30/'3h'!J30*100,"na")</f>
        <v>70.250838754265047</v>
      </c>
      <c r="G30" s="86">
        <f>IFERROR('3h'!G30/'3h'!K30*100,"na")</f>
        <v>277.05272798949858</v>
      </c>
      <c r="H30" s="86">
        <f>IFERROR('3h'!H30/'3h'!L30*100,"na")</f>
        <v>26.071907184982777</v>
      </c>
      <c r="I30" s="87">
        <f>IFERROR('3h'!I30/'3h'!M30*100,"na")</f>
        <v>150.30268421662856</v>
      </c>
      <c r="J30" s="85">
        <f>IFERROR('3h'!J30/'3h'!J30*100, "na")</f>
        <v>100</v>
      </c>
      <c r="K30" s="86">
        <f>IFERROR('3h'!K30/'3h'!K30*100, "na")</f>
        <v>100</v>
      </c>
      <c r="L30" s="86">
        <f>IFERROR('3h'!L30/'3h'!L30*100, "na")</f>
        <v>100</v>
      </c>
      <c r="M30" s="87">
        <f>IFERROR('3h'!M30/'3h'!M30*100, "na")</f>
        <v>100</v>
      </c>
    </row>
    <row r="31" spans="1:13">
      <c r="A31" s="185">
        <v>2006</v>
      </c>
      <c r="B31" s="85">
        <f>IFERROR('3h'!B31/'3h'!J31*100,"na")</f>
        <v>156.83040098587472</v>
      </c>
      <c r="C31" s="86">
        <f>IFERROR('3h'!C31/'3h'!K31*100,"na")</f>
        <v>273.23536577995111</v>
      </c>
      <c r="D31" s="86">
        <f>IFERROR('3h'!D31/'3h'!L31*100,"na")</f>
        <v>40.800572963452481</v>
      </c>
      <c r="E31" s="87">
        <f>IFERROR('3h'!E31/'3h'!M31*100,"na")</f>
        <v>177.26258913448945</v>
      </c>
      <c r="F31" s="85">
        <f>IFERROR('3h'!F31/'3h'!J31*100,"na")</f>
        <v>71.492546903888069</v>
      </c>
      <c r="G31" s="86">
        <f>IFERROR('3h'!G31/'3h'!K31*100,"na")</f>
        <v>288.22968900688801</v>
      </c>
      <c r="H31" s="86">
        <f>IFERROR('3h'!H31/'3h'!L31*100,"na")</f>
        <v>30.374333087341061</v>
      </c>
      <c r="I31" s="87">
        <f>IFERROR('3h'!I31/'3h'!M31*100,"na")</f>
        <v>158.96021975503484</v>
      </c>
      <c r="J31" s="85">
        <f>IFERROR('3h'!J31/'3h'!J31*100, "na")</f>
        <v>100</v>
      </c>
      <c r="K31" s="86">
        <f>IFERROR('3h'!K31/'3h'!K31*100, "na")</f>
        <v>100</v>
      </c>
      <c r="L31" s="86">
        <f>IFERROR('3h'!L31/'3h'!L31*100, "na")</f>
        <v>100</v>
      </c>
      <c r="M31" s="87">
        <f>IFERROR('3h'!M31/'3h'!M31*100, "na")</f>
        <v>100</v>
      </c>
    </row>
    <row r="32" spans="1:13">
      <c r="A32" s="185">
        <v>2007</v>
      </c>
      <c r="B32" s="85">
        <f>IFERROR('3h'!B32/'3h'!J32*100,"na")</f>
        <v>205.39592665138971</v>
      </c>
      <c r="C32" s="86">
        <f>IFERROR('3h'!C32/'3h'!K32*100,"na")</f>
        <v>233.47615832817391</v>
      </c>
      <c r="D32" s="86">
        <f>IFERROR('3h'!D32/'3h'!L32*100,"na")</f>
        <v>68.952906263606422</v>
      </c>
      <c r="E32" s="87">
        <f>IFERROR('3h'!E32/'3h'!M32*100,"na")</f>
        <v>184.16207377579465</v>
      </c>
      <c r="F32" s="85">
        <f>IFERROR('3h'!F32/'3h'!J32*100,"na")</f>
        <v>53.623159815050627</v>
      </c>
      <c r="G32" s="86">
        <f>IFERROR('3h'!G32/'3h'!K32*100,"na")</f>
        <v>319.75744600592225</v>
      </c>
      <c r="H32" s="86">
        <f>IFERROR('3h'!H32/'3h'!L32*100,"na")</f>
        <v>29.429404370395424</v>
      </c>
      <c r="I32" s="87">
        <f>IFERROR('3h'!I32/'3h'!M32*100,"na")</f>
        <v>176.25773056337044</v>
      </c>
      <c r="J32" s="85">
        <f>IFERROR('3h'!J32/'3h'!J32*100, "na")</f>
        <v>100</v>
      </c>
      <c r="K32" s="86">
        <f>IFERROR('3h'!K32/'3h'!K32*100, "na")</f>
        <v>100</v>
      </c>
      <c r="L32" s="86">
        <f>IFERROR('3h'!L32/'3h'!L32*100, "na")</f>
        <v>100</v>
      </c>
      <c r="M32" s="87">
        <f>IFERROR('3h'!M32/'3h'!M32*100, "na")</f>
        <v>100</v>
      </c>
    </row>
    <row r="33" spans="1:13">
      <c r="A33" s="185">
        <v>2008</v>
      </c>
      <c r="B33" s="85">
        <f>IFERROR('3h'!B33/'3h'!J33*100,"na")</f>
        <v>159.42586190586641</v>
      </c>
      <c r="C33" s="86">
        <f>IFERROR('3h'!C33/'3h'!K33*100,"na")</f>
        <v>231.87945789453042</v>
      </c>
      <c r="D33" s="86">
        <f>IFERROR('3h'!D33/'3h'!L33*100,"na")</f>
        <v>62.252010195604349</v>
      </c>
      <c r="E33" s="87">
        <f>IFERROR('3h'!E33/'3h'!M33*100,"na")</f>
        <v>171.4936564771223</v>
      </c>
      <c r="F33" s="85">
        <f>IFERROR('3h'!F33/'3h'!J33*100,"na")</f>
        <v>43.989921535252002</v>
      </c>
      <c r="G33" s="86">
        <f>IFERROR('3h'!G33/'3h'!K33*100,"na")</f>
        <v>331.01195067154879</v>
      </c>
      <c r="H33" s="86">
        <f>IFERROR('3h'!H33/'3h'!L33*100,"na")</f>
        <v>29.689541094091005</v>
      </c>
      <c r="I33" s="87">
        <f>IFERROR('3h'!I33/'3h'!M33*100,"na")</f>
        <v>183.22894546729728</v>
      </c>
      <c r="J33" s="85">
        <f>IFERROR('3h'!J33/'3h'!J33*100, "na")</f>
        <v>100</v>
      </c>
      <c r="K33" s="86">
        <f>IFERROR('3h'!K33/'3h'!K33*100, "na")</f>
        <v>100</v>
      </c>
      <c r="L33" s="86">
        <f>IFERROR('3h'!L33/'3h'!L33*100, "na")</f>
        <v>100</v>
      </c>
      <c r="M33" s="87">
        <f>IFERROR('3h'!M33/'3h'!M33*100, "na")</f>
        <v>100</v>
      </c>
    </row>
    <row r="34" spans="1:13">
      <c r="A34" s="57">
        <f>A33+1</f>
        <v>2009</v>
      </c>
      <c r="B34" s="85">
        <f>IFERROR('3h'!B34/'3h'!J34*100,"na")</f>
        <v>149.94572012400229</v>
      </c>
      <c r="C34" s="86">
        <f>IFERROR('3h'!C34/'3h'!K34*100,"na")</f>
        <v>213.32503801074844</v>
      </c>
      <c r="D34" s="86">
        <f>IFERROR('3h'!D34/'3h'!L34*100,"na")</f>
        <v>59.673672903241815</v>
      </c>
      <c r="E34" s="87">
        <f>IFERROR('3h'!E34/'3h'!M34*100,"na")</f>
        <v>159.37404444583996</v>
      </c>
      <c r="F34" s="85">
        <f>IFERROR('3h'!F34/'3h'!J34*100,"na")</f>
        <v>54.659580814781528</v>
      </c>
      <c r="G34" s="86">
        <f>IFERROR('3h'!G34/'3h'!K34*100,"na")</f>
        <v>373.48192751254163</v>
      </c>
      <c r="H34" s="86">
        <f>IFERROR('3h'!H34/'3h'!L34*100,"na")</f>
        <v>28.58648559326959</v>
      </c>
      <c r="I34" s="87">
        <f>IFERROR('3h'!I34/'3h'!M34*100,"na")</f>
        <v>208.41091905837513</v>
      </c>
      <c r="J34" s="85">
        <f>IFERROR('3h'!J34/'3h'!J34*100, "na")</f>
        <v>100</v>
      </c>
      <c r="K34" s="86">
        <f>IFERROR('3h'!K34/'3h'!K34*100, "na")</f>
        <v>100</v>
      </c>
      <c r="L34" s="86">
        <f>IFERROR('3h'!L34/'3h'!L34*100, "na")</f>
        <v>100</v>
      </c>
      <c r="M34" s="87">
        <f>IFERROR('3h'!M34/'3h'!M34*100, "na")</f>
        <v>100</v>
      </c>
    </row>
    <row r="35" spans="1:13">
      <c r="A35" s="58">
        <f t="shared" ref="A35" si="0">A34+1</f>
        <v>2010</v>
      </c>
      <c r="B35" s="88">
        <f>IFERROR('3h'!B35/'3h'!J35*100,"na")</f>
        <v>145.76652080524454</v>
      </c>
      <c r="C35" s="89">
        <f>IFERROR('3h'!C35/'3h'!K35*100,"na")</f>
        <v>197.07366463755147</v>
      </c>
      <c r="D35" s="89">
        <f>IFERROR('3h'!D35/'3h'!L35*100,"na")</f>
        <v>63.937178596729623</v>
      </c>
      <c r="E35" s="90">
        <f>IFERROR('3h'!E35/'3h'!M35*100,"na")</f>
        <v>152.55734091141414</v>
      </c>
      <c r="F35" s="88">
        <f>IFERROR('3h'!F35/'3h'!J35*100,"na")</f>
        <v>75.950679056015986</v>
      </c>
      <c r="G35" s="89">
        <f>IFERROR('3h'!G35/'3h'!K35*100,"na")</f>
        <v>414.64238874048397</v>
      </c>
      <c r="H35" s="89">
        <f>IFERROR('3h'!H35/'3h'!L35*100,"na")</f>
        <v>31.37186594667125</v>
      </c>
      <c r="I35" s="90">
        <f>IFERROR('3h'!I35/'3h'!M35*100,"na")</f>
        <v>240.93621338762361</v>
      </c>
      <c r="J35" s="88">
        <f>IFERROR('3h'!J35/'3h'!J35*100, "na")</f>
        <v>100</v>
      </c>
      <c r="K35" s="89">
        <f>IFERROR('3h'!K35/'3h'!K35*100, "na")</f>
        <v>100</v>
      </c>
      <c r="L35" s="89">
        <f>IFERROR('3h'!L35/'3h'!L35*100, "na")</f>
        <v>100</v>
      </c>
      <c r="M35" s="90">
        <f>IFERROR('3h'!M35/'3h'!M35*100,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</row>
    <row r="39" spans="1:13">
      <c r="A39" s="28" t="s">
        <v>71</v>
      </c>
      <c r="B39" s="37" t="str">
        <f>IFERROR((POWER(B$25/B15,1/($A$25-$A$15))-1)*100,"na")</f>
        <v>na</v>
      </c>
      <c r="C39" s="86" t="str">
        <f t="shared" ref="C39:I39" si="2">IFERROR((POWER(C$25/C15,1/($A$25-$A$15))-1)*100,"na")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</row>
    <row r="40" spans="1:13">
      <c r="A40" s="28" t="s">
        <v>69</v>
      </c>
      <c r="B40" s="37">
        <f>IFERROR((POWER(B$35/B25,1/($A$35-$A$25))-1)*100,"na")</f>
        <v>1.053729026407324</v>
      </c>
      <c r="C40" s="86">
        <f t="shared" ref="C40:I40" si="3">IFERROR((POWER(C$35/C25,1/($A$35-$A$25))-1)*100,"na")</f>
        <v>-5.9352256638025462</v>
      </c>
      <c r="D40" s="86">
        <f t="shared" si="3"/>
        <v>10.491598433552006</v>
      </c>
      <c r="E40" s="87">
        <f t="shared" si="3"/>
        <v>-1.7813054141480045</v>
      </c>
      <c r="F40" s="85">
        <f t="shared" si="3"/>
        <v>-8.3868195469959375</v>
      </c>
      <c r="G40" s="86">
        <f t="shared" si="3"/>
        <v>6.786300486500263</v>
      </c>
      <c r="H40" s="86">
        <f t="shared" si="3"/>
        <v>2.6335322214924517</v>
      </c>
      <c r="I40" s="87">
        <f t="shared" si="3"/>
        <v>5.859726122030362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I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</row>
    <row r="43" spans="1:13">
      <c r="A43" s="204" t="s">
        <v>102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M43"/>
  <sheetViews>
    <sheetView zoomScaleNormal="100" workbookViewId="0">
      <selection sqref="A1:H2"/>
    </sheetView>
  </sheetViews>
  <sheetFormatPr defaultRowHeight="15"/>
  <cols>
    <col min="1" max="1" width="12" customWidth="1"/>
    <col min="2" max="2" width="12.7109375" customWidth="1"/>
    <col min="3" max="3" width="10.42578125" bestFit="1" customWidth="1"/>
    <col min="4" max="4" width="17.85546875" customWidth="1"/>
    <col min="6" max="6" width="12.7109375" bestFit="1" customWidth="1"/>
    <col min="7" max="7" width="10.42578125" bestFit="1" customWidth="1"/>
    <col min="8" max="8" width="21.85546875" bestFit="1" customWidth="1"/>
    <col min="10" max="10" width="12.7109375" bestFit="1" customWidth="1"/>
    <col min="11" max="11" width="10.42578125" bestFit="1" customWidth="1"/>
    <col min="12" max="12" width="21.85546875" bestFit="1" customWidth="1"/>
  </cols>
  <sheetData>
    <row r="1" spans="1:13">
      <c r="A1" s="387" t="s">
        <v>139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IFERROR('3a'!B6/'1k'!$B5*1000, "na")</f>
        <v>na</v>
      </c>
      <c r="C6" s="214" t="str">
        <f>IFERROR('3a'!C6/'1k'!$B5*1000, "na")</f>
        <v>na</v>
      </c>
      <c r="D6" s="214" t="str">
        <f>IFERROR('3a'!D6/'1k'!$B5*1000, "na")</f>
        <v>na</v>
      </c>
      <c r="E6" s="237" t="str">
        <f>IFERROR('3a'!E6/'1k'!$B5*1000, "na")</f>
        <v>na</v>
      </c>
      <c r="F6" s="236" t="str">
        <f>IFERROR('3a'!F6/'1k'!$C5*1000, "na")</f>
        <v>na</v>
      </c>
      <c r="G6" s="214" t="str">
        <f>IFERROR('3a'!G6/'1k'!$C5*1000, "na")</f>
        <v>na</v>
      </c>
      <c r="H6" s="214" t="str">
        <f>IFERROR('3a'!H6/'1k'!$C5*1000, "na")</f>
        <v>na</v>
      </c>
      <c r="I6" s="237" t="str">
        <f>IFERROR('3a'!I6/'1k'!$C5*1000, "na")</f>
        <v>na</v>
      </c>
      <c r="J6" s="236" t="str">
        <f>IFERROR('3a'!J6/'1k'!$D5*1000, "na")</f>
        <v>na</v>
      </c>
      <c r="K6" s="214" t="str">
        <f>IFERROR('3a'!K6/'1k'!$D5*1000, "na")</f>
        <v>na</v>
      </c>
      <c r="L6" s="214" t="str">
        <f>IFERROR('3a'!L6/'1k'!$D5*1000, "na")</f>
        <v>na</v>
      </c>
      <c r="M6" s="237" t="str">
        <f>IFERROR('3a'!M6/'1k'!$D5*1000, "na")</f>
        <v>na</v>
      </c>
    </row>
    <row r="7" spans="1:13">
      <c r="A7" s="185">
        <v>1982</v>
      </c>
      <c r="B7" s="216" t="str">
        <f>IFERROR('3a'!B7/'1k'!$B6*1000, "na")</f>
        <v>na</v>
      </c>
      <c r="C7" s="143" t="str">
        <f>IFERROR('3a'!C7/'1k'!$B6*1000, "na")</f>
        <v>na</v>
      </c>
      <c r="D7" s="143" t="str">
        <f>IFERROR('3a'!D7/'1k'!$B6*1000, "na")</f>
        <v>na</v>
      </c>
      <c r="E7" s="217" t="str">
        <f>IFERROR('3a'!E7/'1k'!$B6*1000, "na")</f>
        <v>na</v>
      </c>
      <c r="F7" s="216" t="str">
        <f>IFERROR('3a'!F7/'1k'!$C6*1000, "na")</f>
        <v>na</v>
      </c>
      <c r="G7" s="143" t="str">
        <f>IFERROR('3a'!G7/'1k'!$C6*1000, "na")</f>
        <v>na</v>
      </c>
      <c r="H7" s="143" t="str">
        <f>IFERROR('3a'!H7/'1k'!$C6*1000, "na")</f>
        <v>na</v>
      </c>
      <c r="I7" s="217" t="str">
        <f>IFERROR('3a'!I7/'1k'!$C6*1000, "na")</f>
        <v>na</v>
      </c>
      <c r="J7" s="216" t="str">
        <f>IFERROR('3a'!J7/'1k'!$D6*1000, "na")</f>
        <v>na</v>
      </c>
      <c r="K7" s="143" t="str">
        <f>IFERROR('3a'!K7/'1k'!$D6*1000, "na")</f>
        <v>na</v>
      </c>
      <c r="L7" s="143" t="str">
        <f>IFERROR('3a'!L7/'1k'!$D6*1000, "na")</f>
        <v>na</v>
      </c>
      <c r="M7" s="217" t="str">
        <f>IFERROR('3a'!M7/'1k'!$D6*1000, "na")</f>
        <v>na</v>
      </c>
    </row>
    <row r="8" spans="1:13">
      <c r="A8" s="185">
        <v>1983</v>
      </c>
      <c r="B8" s="216" t="str">
        <f>IFERROR('3a'!B8/'1k'!$B7*1000, "na")</f>
        <v>na</v>
      </c>
      <c r="C8" s="143" t="str">
        <f>IFERROR('3a'!C8/'1k'!$B7*1000, "na")</f>
        <v>na</v>
      </c>
      <c r="D8" s="143" t="str">
        <f>IFERROR('3a'!D8/'1k'!$B7*1000, "na")</f>
        <v>na</v>
      </c>
      <c r="E8" s="217" t="str">
        <f>IFERROR('3a'!E8/'1k'!$B7*1000, "na")</f>
        <v>na</v>
      </c>
      <c r="F8" s="216" t="str">
        <f>IFERROR('3a'!F8/'1k'!$C7*1000, "na")</f>
        <v>na</v>
      </c>
      <c r="G8" s="143" t="str">
        <f>IFERROR('3a'!G8/'1k'!$C7*1000, "na")</f>
        <v>na</v>
      </c>
      <c r="H8" s="143" t="str">
        <f>IFERROR('3a'!H8/'1k'!$C7*1000, "na")</f>
        <v>na</v>
      </c>
      <c r="I8" s="217" t="str">
        <f>IFERROR('3a'!I8/'1k'!$C7*1000, "na")</f>
        <v>na</v>
      </c>
      <c r="J8" s="216" t="str">
        <f>IFERROR('3a'!J8/'1k'!$D7*1000, "na")</f>
        <v>na</v>
      </c>
      <c r="K8" s="143" t="str">
        <f>IFERROR('3a'!K8/'1k'!$D7*1000, "na")</f>
        <v>na</v>
      </c>
      <c r="L8" s="143" t="str">
        <f>IFERROR('3a'!L8/'1k'!$D7*1000, "na")</f>
        <v>na</v>
      </c>
      <c r="M8" s="217" t="str">
        <f>IFERROR('3a'!M8/'1k'!$D7*1000, "na")</f>
        <v>na</v>
      </c>
    </row>
    <row r="9" spans="1:13">
      <c r="A9" s="185">
        <v>1984</v>
      </c>
      <c r="B9" s="216" t="str">
        <f>IFERROR('3a'!B9/'1k'!$B8*1000, "na")</f>
        <v>na</v>
      </c>
      <c r="C9" s="143" t="str">
        <f>IFERROR('3a'!C9/'1k'!$B8*1000, "na")</f>
        <v>na</v>
      </c>
      <c r="D9" s="143" t="str">
        <f>IFERROR('3a'!D9/'1k'!$B8*1000, "na")</f>
        <v>na</v>
      </c>
      <c r="E9" s="217" t="str">
        <f>IFERROR('3a'!E9/'1k'!$B8*1000, "na")</f>
        <v>na</v>
      </c>
      <c r="F9" s="216" t="str">
        <f>IFERROR('3a'!F9/'1k'!$C8*1000, "na")</f>
        <v>na</v>
      </c>
      <c r="G9" s="143" t="str">
        <f>IFERROR('3a'!G9/'1k'!$C8*1000, "na")</f>
        <v>na</v>
      </c>
      <c r="H9" s="143" t="str">
        <f>IFERROR('3a'!H9/'1k'!$C8*1000, "na")</f>
        <v>na</v>
      </c>
      <c r="I9" s="217" t="str">
        <f>IFERROR('3a'!I9/'1k'!$C8*1000, "na")</f>
        <v>na</v>
      </c>
      <c r="J9" s="216" t="str">
        <f>IFERROR('3a'!J9/'1k'!$D8*1000, "na")</f>
        <v>na</v>
      </c>
      <c r="K9" s="143" t="str">
        <f>IFERROR('3a'!K9/'1k'!$D8*1000, "na")</f>
        <v>na</v>
      </c>
      <c r="L9" s="143" t="str">
        <f>IFERROR('3a'!L9/'1k'!$D8*1000, "na")</f>
        <v>na</v>
      </c>
      <c r="M9" s="217" t="str">
        <f>IFERROR('3a'!M9/'1k'!$D8*1000, "na")</f>
        <v>na</v>
      </c>
    </row>
    <row r="10" spans="1:13">
      <c r="A10" s="185">
        <v>1985</v>
      </c>
      <c r="B10" s="216" t="str">
        <f>IFERROR('3a'!B10/'1k'!$B9*1000, "na")</f>
        <v>na</v>
      </c>
      <c r="C10" s="143" t="str">
        <f>IFERROR('3a'!C10/'1k'!$B9*1000, "na")</f>
        <v>na</v>
      </c>
      <c r="D10" s="143" t="str">
        <f>IFERROR('3a'!D10/'1k'!$B9*1000, "na")</f>
        <v>na</v>
      </c>
      <c r="E10" s="217" t="str">
        <f>IFERROR('3a'!E10/'1k'!$B9*1000, "na")</f>
        <v>na</v>
      </c>
      <c r="F10" s="216" t="str">
        <f>IFERROR('3a'!F10/'1k'!$C9*1000, "na")</f>
        <v>na</v>
      </c>
      <c r="G10" s="143" t="str">
        <f>IFERROR('3a'!G10/'1k'!$C9*1000, "na")</f>
        <v>na</v>
      </c>
      <c r="H10" s="143" t="str">
        <f>IFERROR('3a'!H10/'1k'!$C9*1000, "na")</f>
        <v>na</v>
      </c>
      <c r="I10" s="217" t="str">
        <f>IFERROR('3a'!I10/'1k'!$C9*1000, "na")</f>
        <v>na</v>
      </c>
      <c r="J10" s="216" t="str">
        <f>IFERROR('3a'!J10/'1k'!$D9*1000, "na")</f>
        <v>na</v>
      </c>
      <c r="K10" s="143" t="str">
        <f>IFERROR('3a'!K10/'1k'!$D9*1000, "na")</f>
        <v>na</v>
      </c>
      <c r="L10" s="143" t="str">
        <f>IFERROR('3a'!L10/'1k'!$D9*1000, "na")</f>
        <v>na</v>
      </c>
      <c r="M10" s="217" t="str">
        <f>IFERROR('3a'!M10/'1k'!$D9*1000, "na")</f>
        <v>na</v>
      </c>
    </row>
    <row r="11" spans="1:13">
      <c r="A11" s="185">
        <v>1986</v>
      </c>
      <c r="B11" s="216" t="str">
        <f>IFERROR('3a'!B11/'1k'!$B10*1000, "na")</f>
        <v>na</v>
      </c>
      <c r="C11" s="143" t="str">
        <f>IFERROR('3a'!C11/'1k'!$B10*1000, "na")</f>
        <v>na</v>
      </c>
      <c r="D11" s="143" t="str">
        <f>IFERROR('3a'!D11/'1k'!$B10*1000, "na")</f>
        <v>na</v>
      </c>
      <c r="E11" s="217" t="str">
        <f>IFERROR('3a'!E11/'1k'!$B10*1000, "na")</f>
        <v>na</v>
      </c>
      <c r="F11" s="216" t="str">
        <f>IFERROR('3a'!F11/'1k'!$C10*1000, "na")</f>
        <v>na</v>
      </c>
      <c r="G11" s="143" t="str">
        <f>IFERROR('3a'!G11/'1k'!$C10*1000, "na")</f>
        <v>na</v>
      </c>
      <c r="H11" s="143" t="str">
        <f>IFERROR('3a'!H11/'1k'!$C10*1000, "na")</f>
        <v>na</v>
      </c>
      <c r="I11" s="217" t="str">
        <f>IFERROR('3a'!I11/'1k'!$C10*1000, "na")</f>
        <v>na</v>
      </c>
      <c r="J11" s="216" t="str">
        <f>IFERROR('3a'!J11/'1k'!$D10*1000, "na")</f>
        <v>na</v>
      </c>
      <c r="K11" s="143" t="str">
        <f>IFERROR('3a'!K11/'1k'!$D10*1000, "na")</f>
        <v>na</v>
      </c>
      <c r="L11" s="143" t="str">
        <f>IFERROR('3a'!L11/'1k'!$D10*1000, "na")</f>
        <v>na</v>
      </c>
      <c r="M11" s="217" t="str">
        <f>IFERROR('3a'!M11/'1k'!$D10*1000, "na")</f>
        <v>na</v>
      </c>
    </row>
    <row r="12" spans="1:13">
      <c r="A12" s="185">
        <v>1987</v>
      </c>
      <c r="B12" s="216">
        <f>IFERROR('3a'!B12/'1k'!$B11*1000, "na")</f>
        <v>0.45218825785347705</v>
      </c>
      <c r="C12" s="143">
        <f>IFERROR('3a'!C12/'1k'!$B11*1000, "na")</f>
        <v>0.77039778224144606</v>
      </c>
      <c r="D12" s="143">
        <f>IFERROR('3a'!D12/'1k'!$B11*1000, "na")</f>
        <v>0.31544383370281515</v>
      </c>
      <c r="E12" s="217">
        <f>IFERROR('3a'!E12/'1k'!$B11*1000, "na")</f>
        <v>1.538029873797738</v>
      </c>
      <c r="F12" s="216">
        <f>IFERROR('3a'!F12/'1k'!$C11*1000, "na")</f>
        <v>0.23920841453628339</v>
      </c>
      <c r="G12" s="143">
        <f>IFERROR('3a'!G12/'1k'!$C11*1000, "na")</f>
        <v>0.24135159922045168</v>
      </c>
      <c r="H12" s="143">
        <f>IFERROR('3a'!H12/'1k'!$C11*1000, "na")</f>
        <v>0.14289349994268027</v>
      </c>
      <c r="I12" s="217">
        <f>IFERROR('3a'!I12/'1k'!$C11*1000, "na")</f>
        <v>0.62345351369941537</v>
      </c>
      <c r="J12" s="216" t="str">
        <f>IFERROR('3a'!J12/'1k'!$D11*1000, "na")</f>
        <v>na</v>
      </c>
      <c r="K12" s="143" t="str">
        <f>IFERROR('3a'!K12/'1k'!$D11*1000, "na")</f>
        <v>na</v>
      </c>
      <c r="L12" s="143" t="str">
        <f>IFERROR('3a'!L12/'1k'!$D11*1000, "na")</f>
        <v>na</v>
      </c>
      <c r="M12" s="217" t="str">
        <f>IFERROR('3a'!M12/'1k'!$D11*1000, "na")</f>
        <v>na</v>
      </c>
    </row>
    <row r="13" spans="1:13">
      <c r="A13" s="185">
        <v>1988</v>
      </c>
      <c r="B13" s="216">
        <f>IFERROR('3a'!B13/'1k'!$B12*1000, "na")</f>
        <v>0.39805404114767801</v>
      </c>
      <c r="C13" s="143">
        <f>IFERROR('3a'!C13/'1k'!$B12*1000, "na")</f>
        <v>0.99353535755501576</v>
      </c>
      <c r="D13" s="143">
        <f>IFERROR('3a'!D13/'1k'!$B12*1000, "na")</f>
        <v>0.2522354650005969</v>
      </c>
      <c r="E13" s="217">
        <f>IFERROR('3a'!E13/'1k'!$B12*1000, "na")</f>
        <v>1.6438248637032908</v>
      </c>
      <c r="F13" s="216">
        <f>IFERROR('3a'!F13/'1k'!$C12*1000, "na")</f>
        <v>0.24442692732145666</v>
      </c>
      <c r="G13" s="143">
        <f>IFERROR('3a'!G13/'1k'!$C12*1000, "na")</f>
        <v>0.24523460143829054</v>
      </c>
      <c r="H13" s="143">
        <f>IFERROR('3a'!H13/'1k'!$C12*1000, "na")</f>
        <v>0.13265077189876179</v>
      </c>
      <c r="I13" s="217">
        <f>IFERROR('3a'!I13/'1k'!$C12*1000, "na")</f>
        <v>0.62231230065850907</v>
      </c>
      <c r="J13" s="216" t="str">
        <f>IFERROR('3a'!J13/'1k'!$D12*1000, "na")</f>
        <v>na</v>
      </c>
      <c r="K13" s="143" t="str">
        <f>IFERROR('3a'!K13/'1k'!$D12*1000, "na")</f>
        <v>na</v>
      </c>
      <c r="L13" s="143" t="str">
        <f>IFERROR('3a'!L13/'1k'!$D12*1000, "na")</f>
        <v>na</v>
      </c>
      <c r="M13" s="217" t="str">
        <f>IFERROR('3a'!M13/'1k'!$D12*1000, "na")</f>
        <v>na</v>
      </c>
    </row>
    <row r="14" spans="1:13">
      <c r="A14" s="185">
        <v>1989</v>
      </c>
      <c r="B14" s="216">
        <f>IFERROR('3a'!B14/'1k'!$B13*1000, "na")</f>
        <v>0.39313780267463877</v>
      </c>
      <c r="C14" s="143">
        <f>IFERROR('3a'!C14/'1k'!$B13*1000, "na")</f>
        <v>1.0280688324033291</v>
      </c>
      <c r="D14" s="143">
        <f>IFERROR('3a'!D14/'1k'!$B13*1000, "na")</f>
        <v>0.22220418247915652</v>
      </c>
      <c r="E14" s="217">
        <f>IFERROR('3a'!E14/'1k'!$B13*1000, "na")</f>
        <v>1.6434108175571245</v>
      </c>
      <c r="F14" s="216">
        <f>IFERROR('3a'!F14/'1k'!$C13*1000, "na")</f>
        <v>0.19688138963839899</v>
      </c>
      <c r="G14" s="143">
        <f>IFERROR('3a'!G14/'1k'!$C13*1000, "na")</f>
        <v>0.23517253774263117</v>
      </c>
      <c r="H14" s="143">
        <f>IFERROR('3a'!H14/'1k'!$C13*1000, "na")</f>
        <v>0.14588974110002151</v>
      </c>
      <c r="I14" s="217">
        <f>IFERROR('3a'!I14/'1k'!$C13*1000, "na")</f>
        <v>0.57794366848105172</v>
      </c>
      <c r="J14" s="216" t="str">
        <f>IFERROR('3a'!J14/'1k'!$D13*1000, "na")</f>
        <v>na</v>
      </c>
      <c r="K14" s="143" t="str">
        <f>IFERROR('3a'!K14/'1k'!$D13*1000, "na")</f>
        <v>na</v>
      </c>
      <c r="L14" s="143" t="str">
        <f>IFERROR('3a'!L14/'1k'!$D13*1000, "na")</f>
        <v>na</v>
      </c>
      <c r="M14" s="217" t="str">
        <f>IFERROR('3a'!M14/'1k'!$D13*1000, "na")</f>
        <v>na</v>
      </c>
    </row>
    <row r="15" spans="1:13">
      <c r="A15" s="185">
        <v>1990</v>
      </c>
      <c r="B15" s="216">
        <f>IFERROR('3a'!B15/'1k'!$B14*1000, "na")</f>
        <v>0.21811969598854847</v>
      </c>
      <c r="C15" s="143">
        <f>IFERROR('3a'!C15/'1k'!$B14*1000, "na")</f>
        <v>1.1025655226474902</v>
      </c>
      <c r="D15" s="143">
        <f>IFERROR('3a'!D15/'1k'!$B14*1000, "na")</f>
        <v>0.19227872260659146</v>
      </c>
      <c r="E15" s="217">
        <f>IFERROR('3a'!E15/'1k'!$B14*1000, "na")</f>
        <v>1.5129639412426301</v>
      </c>
      <c r="F15" s="216">
        <f>IFERROR('3a'!F15/'1k'!$C14*1000, "na")</f>
        <v>0.21631110340242243</v>
      </c>
      <c r="G15" s="143">
        <f>IFERROR('3a'!G15/'1k'!$C14*1000, "na")</f>
        <v>0.28874700083831994</v>
      </c>
      <c r="H15" s="143">
        <f>IFERROR('3a'!H15/'1k'!$C14*1000, "na")</f>
        <v>0.15912901454051395</v>
      </c>
      <c r="I15" s="217">
        <f>IFERROR('3a'!I15/'1k'!$C14*1000, "na")</f>
        <v>0.66418711878125636</v>
      </c>
      <c r="J15" s="216" t="str">
        <f>IFERROR('3a'!J15/'1k'!$D14*1000, "na")</f>
        <v>na</v>
      </c>
      <c r="K15" s="143" t="str">
        <f>IFERROR('3a'!K15/'1k'!$D14*1000, "na")</f>
        <v>na</v>
      </c>
      <c r="L15" s="143" t="str">
        <f>IFERROR('3a'!L15/'1k'!$D14*1000, "na")</f>
        <v>na</v>
      </c>
      <c r="M15" s="217" t="str">
        <f>IFERROR('3a'!M15/'1k'!$D14*1000, "na")</f>
        <v>na</v>
      </c>
    </row>
    <row r="16" spans="1:13">
      <c r="A16" s="185">
        <v>1991</v>
      </c>
      <c r="B16" s="216">
        <f>IFERROR('3a'!B16/'1k'!$B15*1000, "na")</f>
        <v>0.24225198447119964</v>
      </c>
      <c r="C16" s="143">
        <f>IFERROR('3a'!C16/'1k'!$B15*1000, "na")</f>
        <v>1.4943434378481744</v>
      </c>
      <c r="D16" s="143">
        <f>IFERROR('3a'!D16/'1k'!$B15*1000, "na")</f>
        <v>0.25988958668255019</v>
      </c>
      <c r="E16" s="217">
        <f>IFERROR('3a'!E16/'1k'!$B15*1000, "na")</f>
        <v>1.9964850090019244</v>
      </c>
      <c r="F16" s="216">
        <f>IFERROR('3a'!F16/'1k'!$C15*1000, "na")</f>
        <v>0.19038958797685698</v>
      </c>
      <c r="G16" s="143">
        <f>IFERROR('3a'!G16/'1k'!$C15*1000, "na")</f>
        <v>0.27048708003533461</v>
      </c>
      <c r="H16" s="143">
        <f>IFERROR('3a'!H16/'1k'!$C15*1000, "na")</f>
        <v>0.13431629781732451</v>
      </c>
      <c r="I16" s="217">
        <f>IFERROR('3a'!I16/'1k'!$C15*1000, "na")</f>
        <v>0.59519296582951609</v>
      </c>
      <c r="J16" s="216" t="str">
        <f>IFERROR('3a'!J16/'1k'!$D15*1000, "na")</f>
        <v>na</v>
      </c>
      <c r="K16" s="143" t="str">
        <f>IFERROR('3a'!K16/'1k'!$D15*1000, "na")</f>
        <v>na</v>
      </c>
      <c r="L16" s="143" t="str">
        <f>IFERROR('3a'!L16/'1k'!$D15*1000, "na")</f>
        <v>na</v>
      </c>
      <c r="M16" s="217" t="str">
        <f>IFERROR('3a'!M16/'1k'!$D15*1000, "na")</f>
        <v>na</v>
      </c>
    </row>
    <row r="17" spans="1:13">
      <c r="A17" s="185">
        <v>1992</v>
      </c>
      <c r="B17" s="216">
        <f>IFERROR('3a'!B17/'1k'!$B16*1000, "na")</f>
        <v>0.44600332852003238</v>
      </c>
      <c r="C17" s="143">
        <f>IFERROR('3a'!C17/'1k'!$B16*1000, "na")</f>
        <v>1.7552436427714828</v>
      </c>
      <c r="D17" s="143">
        <f>IFERROR('3a'!D17/'1k'!$B16*1000, "na")</f>
        <v>0.22978617522047365</v>
      </c>
      <c r="E17" s="217">
        <f>IFERROR('3a'!E17/'1k'!$B16*1000, "na")</f>
        <v>2.4310331465119885</v>
      </c>
      <c r="F17" s="216">
        <f>IFERROR('3a'!F17/'1k'!$C16*1000, "na")</f>
        <v>0.19457009018610369</v>
      </c>
      <c r="G17" s="143">
        <f>IFERROR('3a'!G17/'1k'!$C16*1000, "na")</f>
        <v>0.25002091227070089</v>
      </c>
      <c r="H17" s="143">
        <f>IFERROR('3a'!H17/'1k'!$C16*1000, "na")</f>
        <v>0.12038806978192373</v>
      </c>
      <c r="I17" s="217">
        <f>IFERROR('3a'!I17/'1k'!$C16*1000, "na")</f>
        <v>0.56497907223872823</v>
      </c>
      <c r="J17" s="216" t="str">
        <f>IFERROR('3a'!J17/'1k'!$D16*1000, "na")</f>
        <v>na</v>
      </c>
      <c r="K17" s="143" t="str">
        <f>IFERROR('3a'!K17/'1k'!$D16*1000, "na")</f>
        <v>na</v>
      </c>
      <c r="L17" s="143" t="str">
        <f>IFERROR('3a'!L17/'1k'!$D16*1000, "na")</f>
        <v>na</v>
      </c>
      <c r="M17" s="217" t="str">
        <f>IFERROR('3a'!M17/'1k'!$D16*1000, "na")</f>
        <v>na</v>
      </c>
    </row>
    <row r="18" spans="1:13">
      <c r="A18" s="185">
        <v>1993</v>
      </c>
      <c r="B18" s="216">
        <f>IFERROR('3a'!B18/'1k'!$B17*1000, "na")</f>
        <v>0.87501736919970896</v>
      </c>
      <c r="C18" s="143">
        <f>IFERROR('3a'!C18/'1k'!$B17*1000, "na")</f>
        <v>1.7087808456552478</v>
      </c>
      <c r="D18" s="143">
        <f>IFERROR('3a'!D18/'1k'!$B17*1000, "na")</f>
        <v>0.19207269725280562</v>
      </c>
      <c r="E18" s="217">
        <f>IFERROR('3a'!E18/'1k'!$B17*1000, "na")</f>
        <v>2.775870912107762</v>
      </c>
      <c r="F18" s="216">
        <f>IFERROR('3a'!F18/'1k'!$C17*1000, "na")</f>
        <v>0.15771630096104547</v>
      </c>
      <c r="G18" s="143">
        <f>IFERROR('3a'!G18/'1k'!$C17*1000, "na")</f>
        <v>0.29168830443185256</v>
      </c>
      <c r="H18" s="143">
        <f>IFERROR('3a'!H18/'1k'!$C17*1000, "na")</f>
        <v>0.10786371166007125</v>
      </c>
      <c r="I18" s="217">
        <f>IFERROR('3a'!I18/'1k'!$C17*1000, "na")</f>
        <v>0.5572683170529692</v>
      </c>
      <c r="J18" s="216" t="str">
        <f>IFERROR('3a'!J18/'1k'!$D17*1000, "na")</f>
        <v>na</v>
      </c>
      <c r="K18" s="143" t="str">
        <f>IFERROR('3a'!K18/'1k'!$D17*1000, "na")</f>
        <v>na</v>
      </c>
      <c r="L18" s="143" t="str">
        <f>IFERROR('3a'!L18/'1k'!$D17*1000, "na")</f>
        <v>na</v>
      </c>
      <c r="M18" s="217" t="str">
        <f>IFERROR('3a'!M18/'1k'!$D17*1000, "na")</f>
        <v>na</v>
      </c>
    </row>
    <row r="19" spans="1:13">
      <c r="A19" s="185">
        <v>1994</v>
      </c>
      <c r="B19" s="216">
        <f>IFERROR('3a'!B19/'1k'!$B18*1000, "na")</f>
        <v>0.4414905338156711</v>
      </c>
      <c r="C19" s="143">
        <f>IFERROR('3a'!C19/'1k'!$B18*1000, "na")</f>
        <v>1.3811860734157224</v>
      </c>
      <c r="D19" s="143">
        <f>IFERROR('3a'!D19/'1k'!$B18*1000, "na")</f>
        <v>0.15664836476486033</v>
      </c>
      <c r="E19" s="217">
        <f>IFERROR('3a'!E19/'1k'!$B18*1000, "na")</f>
        <v>1.9793249719962536</v>
      </c>
      <c r="F19" s="216">
        <f>IFERROR('3a'!F19/'1k'!$C18*1000, "na")</f>
        <v>0.15386270097236929</v>
      </c>
      <c r="G19" s="143">
        <f>IFERROR('3a'!G19/'1k'!$C18*1000, "na")</f>
        <v>0.29148214113796089</v>
      </c>
      <c r="H19" s="143">
        <f>IFERROR('3a'!H19/'1k'!$C18*1000, "na")</f>
        <v>8.1276475401944728E-2</v>
      </c>
      <c r="I19" s="217">
        <f>IFERROR('3a'!I19/'1k'!$C18*1000, "na")</f>
        <v>0.52662131751227492</v>
      </c>
      <c r="J19" s="216" t="str">
        <f>IFERROR('3a'!J19/'1k'!$D18*1000, "na")</f>
        <v>na</v>
      </c>
      <c r="K19" s="143" t="str">
        <f>IFERROR('3a'!K19/'1k'!$D18*1000, "na")</f>
        <v>na</v>
      </c>
      <c r="L19" s="143" t="str">
        <f>IFERROR('3a'!L19/'1k'!$D18*1000, "na")</f>
        <v>na</v>
      </c>
      <c r="M19" s="217" t="str">
        <f>IFERROR('3a'!M19/'1k'!$D18*1000, "na")</f>
        <v>na</v>
      </c>
    </row>
    <row r="20" spans="1:13">
      <c r="A20" s="185">
        <v>1995</v>
      </c>
      <c r="B20" s="216">
        <f>IFERROR('3a'!B20/'1k'!$B19*1000, "na")</f>
        <v>0.34362320429871696</v>
      </c>
      <c r="C20" s="143">
        <f>IFERROR('3a'!C20/'1k'!$B19*1000, "na")</f>
        <v>1.4587779530481582</v>
      </c>
      <c r="D20" s="143">
        <f>IFERROR('3a'!D20/'1k'!$B19*1000, "na")</f>
        <v>0.14221047348309113</v>
      </c>
      <c r="E20" s="217">
        <f>IFERROR('3a'!E20/'1k'!$B19*1000, "na")</f>
        <v>1.9446116308299664</v>
      </c>
      <c r="F20" s="216">
        <f>IFERROR('3a'!F20/'1k'!$C19*1000, "na")</f>
        <v>0.29418644680448214</v>
      </c>
      <c r="G20" s="143">
        <f>IFERROR('3a'!G20/'1k'!$C19*1000, "na")</f>
        <v>0.38960875776718246</v>
      </c>
      <c r="H20" s="143">
        <f>IFERROR('3a'!H20/'1k'!$C19*1000, "na")</f>
        <v>7.4916949240064035E-2</v>
      </c>
      <c r="I20" s="217">
        <f>IFERROR('3a'!I20/'1k'!$C19*1000, "na")</f>
        <v>0.75871215381172863</v>
      </c>
      <c r="J20" s="216" t="str">
        <f>IFERROR('3a'!J20/'1k'!$D19*1000, "na")</f>
        <v>na</v>
      </c>
      <c r="K20" s="143" t="str">
        <f>IFERROR('3a'!K20/'1k'!$D19*1000, "na")</f>
        <v>na</v>
      </c>
      <c r="L20" s="143" t="str">
        <f>IFERROR('3a'!L20/'1k'!$D19*1000, "na")</f>
        <v>na</v>
      </c>
      <c r="M20" s="217" t="str">
        <f>IFERROR('3a'!M20/'1k'!$D19*1000, "na")</f>
        <v>na</v>
      </c>
    </row>
    <row r="21" spans="1:13">
      <c r="A21" s="185">
        <v>1996</v>
      </c>
      <c r="B21" s="216">
        <f>IFERROR('3a'!B21/'1k'!$B20*1000, "na")</f>
        <v>0.29983904712895382</v>
      </c>
      <c r="C21" s="143">
        <f>IFERROR('3a'!C21/'1k'!$B20*1000, "na")</f>
        <v>1.3210408786486723</v>
      </c>
      <c r="D21" s="143">
        <f>IFERROR('3a'!D21/'1k'!$B20*1000, "na")</f>
        <v>0.1417465170700192</v>
      </c>
      <c r="E21" s="217">
        <f>IFERROR('3a'!E21/'1k'!$B20*1000, "na")</f>
        <v>1.7626264428476452</v>
      </c>
      <c r="F21" s="216">
        <f>IFERROR('3a'!F21/'1k'!$C20*1000, "na")</f>
        <v>0.52032402858849147</v>
      </c>
      <c r="G21" s="143">
        <f>IFERROR('3a'!G21/'1k'!$C20*1000, "na")</f>
        <v>0.57375984896646059</v>
      </c>
      <c r="H21" s="143">
        <f>IFERROR('3a'!H21/'1k'!$C20*1000, "na")</f>
        <v>7.3396713479358111E-2</v>
      </c>
      <c r="I21" s="217">
        <f>IFERROR('3a'!I21/'1k'!$C20*1000, "na")</f>
        <v>1.1674805910343102</v>
      </c>
      <c r="J21" s="216" t="str">
        <f>IFERROR('3a'!J21/'1k'!$D20*1000, "na")</f>
        <v>na</v>
      </c>
      <c r="K21" s="143" t="str">
        <f>IFERROR('3a'!K21/'1k'!$D20*1000, "na")</f>
        <v>na</v>
      </c>
      <c r="L21" s="143" t="str">
        <f>IFERROR('3a'!L21/'1k'!$D20*1000, "na")</f>
        <v>na</v>
      </c>
      <c r="M21" s="217" t="str">
        <f>IFERROR('3a'!M21/'1k'!$D20*1000, "na")</f>
        <v>na</v>
      </c>
    </row>
    <row r="22" spans="1:13">
      <c r="A22" s="185">
        <v>1997</v>
      </c>
      <c r="B22" s="216">
        <f>IFERROR('3a'!B22/'1k'!$B21*1000, "na")</f>
        <v>0.81973992673992679</v>
      </c>
      <c r="C22" s="143">
        <f>IFERROR('3a'!C22/'1k'!$B21*1000, "na")</f>
        <v>1.7526657509157506</v>
      </c>
      <c r="D22" s="143">
        <f>IFERROR('3a'!D22/'1k'!$B21*1000, "na")</f>
        <v>0.31103754578754578</v>
      </c>
      <c r="E22" s="217">
        <f>IFERROR('3a'!E22/'1k'!$B21*1000, "na")</f>
        <v>2.8834432234432232</v>
      </c>
      <c r="F22" s="216">
        <f>IFERROR('3a'!F22/'1k'!$C21*1000, "na")</f>
        <v>0.93901765292610351</v>
      </c>
      <c r="G22" s="143">
        <f>IFERROR('3a'!G22/'1k'!$C21*1000, "na")</f>
        <v>1.1269239367830917</v>
      </c>
      <c r="H22" s="143">
        <f>IFERROR('3a'!H22/'1k'!$C21*1000, "na")</f>
        <v>8.1848999982802789E-2</v>
      </c>
      <c r="I22" s="217">
        <f>IFERROR('3a'!I22/'1k'!$C21*1000, "na")</f>
        <v>2.147790589691998</v>
      </c>
      <c r="J22" s="216">
        <f>IFERROR('3a'!J22/'1k'!$D21*1000, "na")</f>
        <v>0.42365219074472515</v>
      </c>
      <c r="K22" s="143">
        <f>IFERROR('3a'!K22/'1k'!$D21*1000, "na")</f>
        <v>0.81096698709270676</v>
      </c>
      <c r="L22" s="143">
        <f>IFERROR('3a'!L22/'1k'!$D21*1000, "na")</f>
        <v>0.88161405230077083</v>
      </c>
      <c r="M22" s="217">
        <f>IFERROR('3a'!M22/'1k'!$D21*1000, "na")</f>
        <v>2.1162332301382025</v>
      </c>
    </row>
    <row r="23" spans="1:13">
      <c r="A23" s="185">
        <v>1998</v>
      </c>
      <c r="B23" s="216">
        <f>IFERROR('3a'!B23/'1k'!$B22*1000, "na")</f>
        <v>1.1982715630565688</v>
      </c>
      <c r="C23" s="143">
        <f>IFERROR('3a'!C23/'1k'!$B22*1000, "na")</f>
        <v>2.042724959715037</v>
      </c>
      <c r="D23" s="143">
        <f>IFERROR('3a'!D23/'1k'!$B22*1000, "na")</f>
        <v>0.27399287592231369</v>
      </c>
      <c r="E23" s="217">
        <f>IFERROR('3a'!E23/'1k'!$B22*1000, "na")</f>
        <v>3.5149893986939196</v>
      </c>
      <c r="F23" s="216">
        <f>IFERROR('3a'!F23/'1k'!$C22*1000, "na")</f>
        <v>1.7813917540931778</v>
      </c>
      <c r="G23" s="143">
        <f>IFERROR('3a'!G23/'1k'!$C22*1000, "na")</f>
        <v>1.4789955814996434</v>
      </c>
      <c r="H23" s="143">
        <f>IFERROR('3a'!H23/'1k'!$C22*1000, "na")</f>
        <v>0.12093531050809078</v>
      </c>
      <c r="I23" s="217">
        <f>IFERROR('3a'!I23/'1k'!$C22*1000, "na")</f>
        <v>3.3813226461009118</v>
      </c>
      <c r="J23" s="216">
        <f>IFERROR('3a'!J23/'1k'!$D22*1000, "na")</f>
        <v>0.51007292522282921</v>
      </c>
      <c r="K23" s="143">
        <f>IFERROR('3a'!K23/'1k'!$D22*1000, "na")</f>
        <v>0.88826803168311996</v>
      </c>
      <c r="L23" s="143">
        <f>IFERROR('3a'!L23/'1k'!$D22*1000, "na")</f>
        <v>0.90102593795897923</v>
      </c>
      <c r="M23" s="217">
        <f>IFERROR('3a'!M23/'1k'!$D22*1000, "na")</f>
        <v>2.2993668948649284</v>
      </c>
    </row>
    <row r="24" spans="1:13">
      <c r="A24" s="185">
        <v>1999</v>
      </c>
      <c r="B24" s="216">
        <f>IFERROR('3a'!B24/'1k'!$B23*1000, "na")</f>
        <v>1.1626620533868872</v>
      </c>
      <c r="C24" s="143">
        <f>IFERROR('3a'!C24/'1k'!$B23*1000, "na")</f>
        <v>2.6735423739295445</v>
      </c>
      <c r="D24" s="143">
        <f>IFERROR('3a'!D24/'1k'!$B23*1000, "na")</f>
        <v>0.25401329301595876</v>
      </c>
      <c r="E24" s="217">
        <f>IFERROR('3a'!E24/'1k'!$B23*1000, "na")</f>
        <v>4.0902177203323902</v>
      </c>
      <c r="F24" s="216">
        <f>IFERROR('3a'!F24/'1k'!$C23*1000, "na")</f>
        <v>1.1061090467458095</v>
      </c>
      <c r="G24" s="143">
        <f>IFERROR('3a'!G24/'1k'!$C23*1000, "na")</f>
        <v>1.4940512096644467</v>
      </c>
      <c r="H24" s="143">
        <f>IFERROR('3a'!H24/'1k'!$C23*1000, "na")</f>
        <v>0.10788151883666315</v>
      </c>
      <c r="I24" s="217">
        <f>IFERROR('3a'!I24/'1k'!$C23*1000, "na")</f>
        <v>2.7080417752469197</v>
      </c>
      <c r="J24" s="216">
        <f>IFERROR('3a'!J24/'1k'!$D23*1000, "na")</f>
        <v>0.54677176032307218</v>
      </c>
      <c r="K24" s="143">
        <f>IFERROR('3a'!K24/'1k'!$D23*1000, "na")</f>
        <v>0.94428780319146932</v>
      </c>
      <c r="L24" s="143">
        <f>IFERROR('3a'!L24/'1k'!$D23*1000, "na")</f>
        <v>0.90617522522006655</v>
      </c>
      <c r="M24" s="217">
        <f>IFERROR('3a'!M24/'1k'!$D23*1000, "na")</f>
        <v>2.3972347887346079</v>
      </c>
    </row>
    <row r="25" spans="1:13">
      <c r="A25" s="185">
        <v>2000</v>
      </c>
      <c r="B25" s="216">
        <f>IFERROR('3a'!B25/'1k'!$B24*1000, "na")</f>
        <v>0.74948002462603369</v>
      </c>
      <c r="C25" s="143">
        <f>IFERROR('3a'!C25/'1k'!$B24*1000, "na")</f>
        <v>3.4982254280437277</v>
      </c>
      <c r="D25" s="143">
        <f>IFERROR('3a'!D25/'1k'!$B24*1000, "na")</f>
        <v>0.21456263831344943</v>
      </c>
      <c r="E25" s="217">
        <f>IFERROR('3a'!E25/'1k'!$B24*1000, "na")</f>
        <v>4.4622680909832111</v>
      </c>
      <c r="F25" s="216">
        <f>IFERROR('3a'!F25/'1k'!$C24*1000, "na")</f>
        <v>1.0728634754193858</v>
      </c>
      <c r="G25" s="143">
        <f>IFERROR('3a'!G25/'1k'!$C24*1000, "na")</f>
        <v>2.1329189536058539</v>
      </c>
      <c r="H25" s="143">
        <f>IFERROR('3a'!H25/'1k'!$C24*1000, "na")</f>
        <v>0.22683364736080391</v>
      </c>
      <c r="I25" s="217">
        <f>IFERROR('3a'!I25/'1k'!$C24*1000, "na")</f>
        <v>3.4326160763860445</v>
      </c>
      <c r="J25" s="216">
        <f>IFERROR('3a'!J25/'1k'!$D24*1000, "na")</f>
        <v>0.60348277322224286</v>
      </c>
      <c r="K25" s="143">
        <f>IFERROR('3a'!K25/'1k'!$D24*1000, "na")</f>
        <v>1.0174862289793905</v>
      </c>
      <c r="L25" s="143">
        <f>IFERROR('3a'!L25/'1k'!$D24*1000, "na")</f>
        <v>0.96190538767817946</v>
      </c>
      <c r="M25" s="217">
        <f>IFERROR('3a'!M25/'1k'!$D24*1000, "na")</f>
        <v>2.5828743898798132</v>
      </c>
    </row>
    <row r="26" spans="1:13">
      <c r="A26" s="185">
        <v>2001</v>
      </c>
      <c r="B26" s="216">
        <f>IFERROR('3a'!B26/'1k'!$B25*1000, "na")</f>
        <v>0.42191603012837137</v>
      </c>
      <c r="C26" s="143">
        <f>IFERROR('3a'!C26/'1k'!$B25*1000, "na")</f>
        <v>3.5302546817973313</v>
      </c>
      <c r="D26" s="143">
        <f>IFERROR('3a'!D26/'1k'!$B25*1000, "na")</f>
        <v>0.16619965031943254</v>
      </c>
      <c r="E26" s="217">
        <f>IFERROR('3a'!E26/'1k'!$B25*1000, "na")</f>
        <v>4.1183703622451349</v>
      </c>
      <c r="F26" s="216">
        <f>IFERROR('3a'!F26/'1k'!$C25*1000, "na")</f>
        <v>0.57141476042292239</v>
      </c>
      <c r="G26" s="143">
        <f>IFERROR('3a'!G26/'1k'!$C25*1000, "na")</f>
        <v>2.1302342086586235</v>
      </c>
      <c r="H26" s="143">
        <f>IFERROR('3a'!H26/'1k'!$C25*1000, "na")</f>
        <v>0.18271391785408819</v>
      </c>
      <c r="I26" s="217">
        <f>IFERROR('3a'!I26/'1k'!$C25*1000, "na")</f>
        <v>2.8843628869356341</v>
      </c>
      <c r="J26" s="216">
        <f>IFERROR('3a'!J26/'1k'!$D25*1000, "na")</f>
        <v>0.59733002475967911</v>
      </c>
      <c r="K26" s="143">
        <f>IFERROR('3a'!K26/'1k'!$D25*1000, "na")</f>
        <v>1.1017689309386562</v>
      </c>
      <c r="L26" s="143">
        <f>IFERROR('3a'!L26/'1k'!$D25*1000, "na")</f>
        <v>1.0524184081061621</v>
      </c>
      <c r="M26" s="217">
        <f>IFERROR('3a'!M26/'1k'!$D25*1000, "na")</f>
        <v>2.7515173638044974</v>
      </c>
    </row>
    <row r="27" spans="1:13">
      <c r="A27" s="185">
        <v>2002</v>
      </c>
      <c r="B27" s="216">
        <f>IFERROR('3a'!B27/'1k'!$B26*1000, "na")</f>
        <v>0.47632199494046995</v>
      </c>
      <c r="C27" s="143">
        <f>IFERROR('3a'!C27/'1k'!$B26*1000, "na")</f>
        <v>3.2437412842236562</v>
      </c>
      <c r="D27" s="143">
        <f>IFERROR('3a'!D27/'1k'!$B26*1000, "na")</f>
        <v>0.16011888494124074</v>
      </c>
      <c r="E27" s="217">
        <f>IFERROR('3a'!E27/'1k'!$B26*1000, "na")</f>
        <v>3.8801821641053666</v>
      </c>
      <c r="F27" s="216">
        <f>IFERROR('3a'!F27/'1k'!$C26*1000, "na")</f>
        <v>0.32431900347209791</v>
      </c>
      <c r="G27" s="143">
        <f>IFERROR('3a'!G27/'1k'!$C26*1000, "na")</f>
        <v>1.9044166338547448</v>
      </c>
      <c r="H27" s="143">
        <f>IFERROR('3a'!H27/'1k'!$C26*1000, "na")</f>
        <v>0.16211028385295481</v>
      </c>
      <c r="I27" s="217">
        <f>IFERROR('3a'!I27/'1k'!$C26*1000, "na")</f>
        <v>2.3908459211797974</v>
      </c>
      <c r="J27" s="216">
        <f>IFERROR('3a'!J27/'1k'!$D26*1000, "na")</f>
        <v>0.59530559931591565</v>
      </c>
      <c r="K27" s="143">
        <f>IFERROR('3a'!K27/'1k'!$D26*1000, "na")</f>
        <v>1.1003411313788896</v>
      </c>
      <c r="L27" s="143">
        <f>IFERROR('3a'!L27/'1k'!$D26*1000, "na")</f>
        <v>1.0530763706735955</v>
      </c>
      <c r="M27" s="217">
        <f>IFERROR('3a'!M27/'1k'!$D26*1000, "na")</f>
        <v>2.7487231013684013</v>
      </c>
    </row>
    <row r="28" spans="1:13">
      <c r="A28" s="185">
        <v>2003</v>
      </c>
      <c r="B28" s="216">
        <f>IFERROR('3a'!B28/'1k'!$B27*1000, "na")</f>
        <v>0.72003931309181224</v>
      </c>
      <c r="C28" s="143">
        <f>IFERROR('3a'!C28/'1k'!$B27*1000, "na")</f>
        <v>2.7395067208805024</v>
      </c>
      <c r="D28" s="143">
        <f>IFERROR('3a'!D28/'1k'!$B27*1000, "na")</f>
        <v>0.19907434596211712</v>
      </c>
      <c r="E28" s="217">
        <f>IFERROR('3a'!E28/'1k'!$B27*1000, "na")</f>
        <v>3.6586203799344319</v>
      </c>
      <c r="F28" s="216">
        <f>IFERROR('3a'!F28/'1k'!$C27*1000, "na")</f>
        <v>0.311335362857945</v>
      </c>
      <c r="G28" s="143">
        <f>IFERROR('3a'!G28/'1k'!$C27*1000, "na")</f>
        <v>1.7012431569343072</v>
      </c>
      <c r="H28" s="143">
        <f>IFERROR('3a'!H28/'1k'!$C27*1000, "na")</f>
        <v>0.13986831485120718</v>
      </c>
      <c r="I28" s="217">
        <f>IFERROR('3a'!I28/'1k'!$C27*1000, "na")</f>
        <v>2.1524468346434595</v>
      </c>
      <c r="J28" s="216">
        <f>IFERROR('3a'!J28/'1k'!$D27*1000, "na")</f>
        <v>0.5950674219237021</v>
      </c>
      <c r="K28" s="143">
        <f>IFERROR('3a'!K28/'1k'!$D27*1000, "na")</f>
        <v>1.0759314984389301</v>
      </c>
      <c r="L28" s="143">
        <f>IFERROR('3a'!L28/'1k'!$D27*1000, "na")</f>
        <v>0.9300409879715239</v>
      </c>
      <c r="M28" s="217">
        <f>IFERROR('3a'!M28/'1k'!$D27*1000, "na")</f>
        <v>2.601039908334156</v>
      </c>
    </row>
    <row r="29" spans="1:13">
      <c r="A29" s="185">
        <v>2004</v>
      </c>
      <c r="B29" s="216">
        <f>IFERROR('3a'!B29/'1k'!$B28*1000, "na")</f>
        <v>1.0144179228790078</v>
      </c>
      <c r="C29" s="143">
        <f>IFERROR('3a'!C29/'1k'!$B28*1000, "na")</f>
        <v>3.2026817522100544</v>
      </c>
      <c r="D29" s="143">
        <f>IFERROR('3a'!D29/'1k'!$B28*1000, "na")</f>
        <v>0.27092748053832966</v>
      </c>
      <c r="E29" s="217">
        <f>IFERROR('3a'!E29/'1k'!$B28*1000, "na")</f>
        <v>4.4880271556273925</v>
      </c>
      <c r="F29" s="216">
        <f>IFERROR('3a'!F29/'1k'!$C28*1000, "na")</f>
        <v>0.32495895872420261</v>
      </c>
      <c r="G29" s="143">
        <f>IFERROR('3a'!G29/'1k'!$C28*1000, "na")</f>
        <v>2.2896810506566609</v>
      </c>
      <c r="H29" s="143">
        <f>IFERROR('3a'!H29/'1k'!$C28*1000, "na")</f>
        <v>0.1433489681050657</v>
      </c>
      <c r="I29" s="217">
        <f>IFERROR('3a'!I29/'1k'!$C28*1000, "na")</f>
        <v>2.7579889774859292</v>
      </c>
      <c r="J29" s="216">
        <f>IFERROR('3a'!J29/'1k'!$D28*1000, "na")</f>
        <v>0.60415829168958024</v>
      </c>
      <c r="K29" s="143">
        <f>IFERROR('3a'!K29/'1k'!$D28*1000, "na")</f>
        <v>1.0937135110666121</v>
      </c>
      <c r="L29" s="143">
        <f>IFERROR('3a'!L29/'1k'!$D28*1000, "na")</f>
        <v>0.82800131214632477</v>
      </c>
      <c r="M29" s="217">
        <f>IFERROR('3a'!M29/'1k'!$D28*1000, "na")</f>
        <v>2.5258731149025171</v>
      </c>
    </row>
    <row r="30" spans="1:13">
      <c r="A30" s="185">
        <v>2005</v>
      </c>
      <c r="B30" s="216">
        <f>IFERROR('3a'!B30/'1k'!$B29*1000, "na")</f>
        <v>1.1976209802330005</v>
      </c>
      <c r="C30" s="143">
        <f>IFERROR('3a'!C30/'1k'!$B29*1000, "na")</f>
        <v>3.5578687637488677</v>
      </c>
      <c r="D30" s="143">
        <f>IFERROR('3a'!D30/'1k'!$B29*1000, "na")</f>
        <v>0.2825316346496955</v>
      </c>
      <c r="E30" s="217">
        <f>IFERROR('3a'!E30/'1k'!$B29*1000, "na")</f>
        <v>5.0380213786315631</v>
      </c>
      <c r="F30" s="216">
        <f>IFERROR('3a'!F30/'1k'!$C29*1000, "na")</f>
        <v>0.44018742263189664</v>
      </c>
      <c r="G30" s="143">
        <f>IFERROR('3a'!G30/'1k'!$C29*1000, "na")</f>
        <v>3.1929381464392774</v>
      </c>
      <c r="H30" s="143">
        <f>IFERROR('3a'!H30/'1k'!$C29*1000, "na")</f>
        <v>0.2012939016031183</v>
      </c>
      <c r="I30" s="217">
        <f>IFERROR('3a'!I30/'1k'!$C29*1000, "na")</f>
        <v>3.834419470674292</v>
      </c>
      <c r="J30" s="216">
        <f>IFERROR('3a'!J30/'1k'!$D29*1000, "na")</f>
        <v>0.63698042777505792</v>
      </c>
      <c r="K30" s="143">
        <f>IFERROR('3a'!K30/'1k'!$D29*1000, "na")</f>
        <v>1.1715694738544986</v>
      </c>
      <c r="L30" s="143">
        <f>IFERROR('3a'!L30/'1k'!$D29*1000, "na")</f>
        <v>0.78487010752882158</v>
      </c>
      <c r="M30" s="217">
        <f>IFERROR('3a'!M30/'1k'!$D29*1000, "na")</f>
        <v>2.5934200091583781</v>
      </c>
    </row>
    <row r="31" spans="1:13">
      <c r="A31" s="185">
        <v>2006</v>
      </c>
      <c r="B31" s="216">
        <f>IFERROR('3a'!B31/'1k'!$B30*1000, "na")</f>
        <v>1.1661310625549002</v>
      </c>
      <c r="C31" s="143">
        <f>IFERROR('3a'!C31/'1k'!$B30*1000, "na")</f>
        <v>3.5686076515246579</v>
      </c>
      <c r="D31" s="143">
        <f>IFERROR('3a'!D31/'1k'!$B30*1000, "na")</f>
        <v>0.32934554994353121</v>
      </c>
      <c r="E31" s="217">
        <f>IFERROR('3a'!E31/'1k'!$B30*1000, "na")</f>
        <v>5.064084264023089</v>
      </c>
      <c r="F31" s="216">
        <f>IFERROR('3a'!F31/'1k'!$C30*1000, "na")</f>
        <v>0.46388385832615853</v>
      </c>
      <c r="G31" s="143">
        <f>IFERROR('3a'!G31/'1k'!$C30*1000, "na")</f>
        <v>3.2849743688705479</v>
      </c>
      <c r="H31" s="143">
        <f>IFERROR('3a'!H31/'1k'!$C30*1000, "na")</f>
        <v>0.21395560569624639</v>
      </c>
      <c r="I31" s="217">
        <f>IFERROR('3a'!I31/'1k'!$C30*1000, "na")</f>
        <v>3.9628138328929525</v>
      </c>
      <c r="J31" s="216">
        <f>IFERROR('3a'!J31/'1k'!$D30*1000, "na")</f>
        <v>0.69912620029552974</v>
      </c>
      <c r="K31" s="143">
        <f>IFERROR('3a'!K31/'1k'!$D30*1000, "na")</f>
        <v>1.2280056313103</v>
      </c>
      <c r="L31" s="143">
        <f>IFERROR('3a'!L31/'1k'!$D30*1000, "na")</f>
        <v>0.75896894253149816</v>
      </c>
      <c r="M31" s="217">
        <f>IFERROR('3a'!M31/'1k'!$D30*1000, "na")</f>
        <v>2.6861007741373277</v>
      </c>
    </row>
    <row r="32" spans="1:13">
      <c r="A32" s="185">
        <v>2007</v>
      </c>
      <c r="B32" s="216">
        <f>IFERROR('3a'!B32/'1k'!$B31*1000, "na")</f>
        <v>1.7104936207721946</v>
      </c>
      <c r="C32" s="143">
        <f>IFERROR('3a'!C32/'1k'!$B31*1000, "na")</f>
        <v>3.6088657588583501</v>
      </c>
      <c r="D32" s="143">
        <f>IFERROR('3a'!D32/'1k'!$B31*1000, "na")</f>
        <v>0.56204359455618969</v>
      </c>
      <c r="E32" s="217">
        <f>IFERROR('3a'!E32/'1k'!$B31*1000, "na")</f>
        <v>5.8814029741867344</v>
      </c>
      <c r="F32" s="216">
        <f>IFERROR('3a'!F32/'1k'!$C31*1000, "na")</f>
        <v>0.38031249999999994</v>
      </c>
      <c r="G32" s="143">
        <f>IFERROR('3a'!G32/'1k'!$C31*1000, "na")</f>
        <v>4.2092761752136765</v>
      </c>
      <c r="H32" s="143">
        <f>IFERROR('3a'!H32/'1k'!$C31*1000, "na")</f>
        <v>0.20429487179487182</v>
      </c>
      <c r="I32" s="217">
        <f>IFERROR('3a'!I32/'1k'!$C31*1000, "na")</f>
        <v>4.7938835470085479</v>
      </c>
      <c r="J32" s="216">
        <f>IFERROR('3a'!J32/'1k'!$D31*1000, "na")</f>
        <v>0.72239946712554537</v>
      </c>
      <c r="K32" s="143">
        <f>IFERROR('3a'!K32/'1k'!$D31*1000, "na")</f>
        <v>1.3408369627076651</v>
      </c>
      <c r="L32" s="143">
        <f>IFERROR('3a'!L32/'1k'!$D31*1000, "na")</f>
        <v>0.70707455935444863</v>
      </c>
      <c r="M32" s="217">
        <f>IFERROR('3a'!M32/'1k'!$D31*1000, "na")</f>
        <v>2.7703109891876592</v>
      </c>
    </row>
    <row r="33" spans="1:13">
      <c r="A33" s="185">
        <v>2008</v>
      </c>
      <c r="B33" s="216" t="str">
        <f>IFERROR('3a'!B33/'1k'!$B32*1000, "na")</f>
        <v>na</v>
      </c>
      <c r="C33" s="143" t="str">
        <f>IFERROR('3a'!C33/'1k'!$B32*1000, "na")</f>
        <v>na</v>
      </c>
      <c r="D33" s="143" t="str">
        <f>IFERROR('3a'!D33/'1k'!$B32*1000, "na")</f>
        <v>na</v>
      </c>
      <c r="E33" s="217" t="str">
        <f>IFERROR('3a'!E33/'1k'!$B32*1000, "na")</f>
        <v>na</v>
      </c>
      <c r="F33" s="216" t="str">
        <f>IFERROR('3a'!F33/'1k'!$C32*1000, "na")</f>
        <v>na</v>
      </c>
      <c r="G33" s="143" t="str">
        <f>IFERROR('3a'!G33/'1k'!$C32*1000, "na")</f>
        <v>na</v>
      </c>
      <c r="H33" s="143" t="str">
        <f>IFERROR('3a'!H33/'1k'!$C32*1000, "na")</f>
        <v>na</v>
      </c>
      <c r="I33" s="217" t="str">
        <f>IFERROR('3a'!I33/'1k'!$C32*1000, "na")</f>
        <v>na</v>
      </c>
      <c r="J33" s="216">
        <f>IFERROR('3a'!J33/'1k'!$D32*1000, "na")</f>
        <v>0.75370200703717427</v>
      </c>
      <c r="K33" s="143">
        <f>IFERROR('3a'!K33/'1k'!$D32*1000, "na")</f>
        <v>1.4649508552453181</v>
      </c>
      <c r="L33" s="143">
        <f>IFERROR('3a'!L33/'1k'!$D32*1000, "na")</f>
        <v>0.72652429859678469</v>
      </c>
      <c r="M33" s="217">
        <f>IFERROR('3a'!M33/'1k'!$D32*1000, "na")</f>
        <v>2.9451771608792772</v>
      </c>
    </row>
    <row r="34" spans="1:13">
      <c r="A34" s="57">
        <f>A33+1</f>
        <v>2009</v>
      </c>
      <c r="B34" s="216" t="str">
        <f>IFERROR('3a'!B34/'1k'!$B33*1000, "na")</f>
        <v>na</v>
      </c>
      <c r="C34" s="143" t="str">
        <f>IFERROR('3a'!C34/'1k'!$B33*1000, "na")</f>
        <v>na</v>
      </c>
      <c r="D34" s="143" t="str">
        <f>IFERROR('3a'!D34/'1k'!$B33*1000, "na")</f>
        <v>na</v>
      </c>
      <c r="E34" s="217" t="str">
        <f>IFERROR('3a'!E34/'1k'!$B33*1000, "na")</f>
        <v>na</v>
      </c>
      <c r="F34" s="216" t="str">
        <f>IFERROR('3a'!F34/'1k'!$C33*1000, "na")</f>
        <v>na</v>
      </c>
      <c r="G34" s="143" t="str">
        <f>IFERROR('3a'!G34/'1k'!$C33*1000, "na")</f>
        <v>na</v>
      </c>
      <c r="H34" s="143" t="str">
        <f>IFERROR('3a'!H34/'1k'!$C33*1000, "na")</f>
        <v>na</v>
      </c>
      <c r="I34" s="217" t="str">
        <f>IFERROR('3a'!I34/'1k'!$C33*1000, "na")</f>
        <v>na</v>
      </c>
      <c r="J34" s="216">
        <f>IFERROR('3a'!J34/'1k'!$D33*1000, "na")</f>
        <v>0.80504326297059914</v>
      </c>
      <c r="K34" s="143">
        <f>IFERROR('3a'!K34/'1k'!$D33*1000, "na")</f>
        <v>1.624594894466598</v>
      </c>
      <c r="L34" s="143">
        <f>IFERROR('3a'!L34/'1k'!$D33*1000, "na")</f>
        <v>0.80298898070151603</v>
      </c>
      <c r="M34" s="217">
        <f>IFERROR('3a'!M34/'1k'!$D33*1000, "na")</f>
        <v>3.2326271381387133</v>
      </c>
    </row>
    <row r="35" spans="1:13">
      <c r="A35" s="58">
        <f t="shared" ref="A35" si="0">A34+1</f>
        <v>2010</v>
      </c>
      <c r="B35" s="234" t="str">
        <f>IFERROR('3a'!B35/'1k'!$B34*1000, "na")</f>
        <v>na</v>
      </c>
      <c r="C35" s="215" t="str">
        <f>IFERROR('3a'!C35/'1k'!$B34*1000, "na")</f>
        <v>na</v>
      </c>
      <c r="D35" s="215" t="str">
        <f>IFERROR('3a'!D35/'1k'!$B34*1000, "na")</f>
        <v>na</v>
      </c>
      <c r="E35" s="235" t="str">
        <f>IFERROR('3a'!E35/'1k'!$B34*1000, "na")</f>
        <v>na</v>
      </c>
      <c r="F35" s="234" t="str">
        <f>IFERROR('3a'!F35/'1k'!$C34*1000, "na")</f>
        <v>na</v>
      </c>
      <c r="G35" s="215" t="str">
        <f>IFERROR('3a'!G35/'1k'!$C34*1000, "na")</f>
        <v>na</v>
      </c>
      <c r="H35" s="215" t="str">
        <f>IFERROR('3a'!H35/'1k'!$C34*1000, "na")</f>
        <v>na</v>
      </c>
      <c r="I35" s="235" t="str">
        <f>IFERROR('3a'!I35/'1k'!$C34*1000, "na")</f>
        <v>na</v>
      </c>
      <c r="J35" s="234">
        <f>IFERROR('3a'!J35/'1k'!$D34*1000, "na")</f>
        <v>0.74901642197864582</v>
      </c>
      <c r="K35" s="215">
        <f>IFERROR('3a'!K35/'1k'!$D34*1000, "na")</f>
        <v>1.6299646884099159</v>
      </c>
      <c r="L35" s="215">
        <f>IFERROR('3a'!L35/'1k'!$D34*1000, "na")</f>
        <v>0.76137978300705589</v>
      </c>
      <c r="M35" s="235">
        <f>IFERROR('3a'!M35/'1k'!$D34*1000, "na")</f>
        <v>3.1403608933956173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>
        <f>IFERROR((POWER(B$24/B14,1/($A$24-$A$14))-1)*100,"na")</f>
        <v>11.452770644936106</v>
      </c>
      <c r="C39" s="86">
        <f t="shared" ref="C39:M39" si="2">IFERROR((POWER(C$24/C14,1/($A$24-$A$14))-1)*100,"na")</f>
        <v>10.028828226025732</v>
      </c>
      <c r="D39" s="86">
        <f t="shared" si="2"/>
        <v>1.3468889188769317</v>
      </c>
      <c r="E39" s="87">
        <f t="shared" si="2"/>
        <v>9.5468839114498891</v>
      </c>
      <c r="F39" s="85">
        <f t="shared" si="2"/>
        <v>18.839092807549605</v>
      </c>
      <c r="G39" s="86">
        <f t="shared" si="2"/>
        <v>20.308936506489992</v>
      </c>
      <c r="H39" s="86">
        <f t="shared" si="2"/>
        <v>-2.973083485137662</v>
      </c>
      <c r="I39" s="87">
        <f t="shared" si="2"/>
        <v>16.701646916174752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>
        <f t="shared" si="3"/>
        <v>2.1839404841011767</v>
      </c>
      <c r="K40" s="86">
        <f t="shared" si="3"/>
        <v>4.8250228127949768</v>
      </c>
      <c r="L40" s="86">
        <f t="shared" si="3"/>
        <v>-2.3107223346574779</v>
      </c>
      <c r="M40" s="87">
        <f t="shared" si="3"/>
        <v>1.9735708505675742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2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M37"/>
  <sheetViews>
    <sheetView view="pageBreakPreview" zoomScale="60" zoomScaleNormal="100" workbookViewId="0">
      <selection activeCell="B6" sqref="B6:M35"/>
    </sheetView>
  </sheetViews>
  <sheetFormatPr defaultRowHeight="15"/>
  <cols>
    <col min="2" max="2" width="12.7109375" bestFit="1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9.7109375" customWidth="1"/>
    <col min="10" max="10" width="11.140625" customWidth="1"/>
    <col min="12" max="12" width="18.28515625" customWidth="1"/>
  </cols>
  <sheetData>
    <row r="1" spans="1:13">
      <c r="A1" s="387" t="s">
        <v>247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IFERROR('3j'!B6/'3j'!J6*100, "na")</f>
        <v>na</v>
      </c>
      <c r="C6" s="83" t="str">
        <f>IFERROR('3j'!C6/'3j'!K6*100, "na")</f>
        <v>na</v>
      </c>
      <c r="D6" s="83" t="str">
        <f>IFERROR('3j'!D6/'3j'!L6*100, "na")</f>
        <v>na</v>
      </c>
      <c r="E6" s="84" t="str">
        <f>IFERROR('3j'!E6/'3j'!M6*100, "na")</f>
        <v>na</v>
      </c>
      <c r="F6" s="82" t="str">
        <f>IFERROR('3j'!F6/'3j'!J6*100,"na")</f>
        <v>na</v>
      </c>
      <c r="G6" s="83" t="str">
        <f>IFERROR('3j'!G6/'3j'!K6*100,"na")</f>
        <v>na</v>
      </c>
      <c r="H6" s="83" t="str">
        <f>IFERROR('3j'!H6/'3j'!L6*100,"na")</f>
        <v>na</v>
      </c>
      <c r="I6" s="84" t="str">
        <f>IFERROR('3j'!I6/'3j'!M6*100,"na")</f>
        <v>na</v>
      </c>
      <c r="J6" s="82" t="str">
        <f>IFERROR('3j'!J6/'3j'!J6*100, "na")</f>
        <v>na</v>
      </c>
      <c r="K6" s="83" t="str">
        <f>IFERROR('3j'!K6/'3j'!K6*100, "na")</f>
        <v>na</v>
      </c>
      <c r="L6" s="83" t="str">
        <f>IFERROR('3j'!L6/'3j'!L6*100, "na")</f>
        <v>na</v>
      </c>
      <c r="M6" s="84" t="str">
        <f>IFERROR('3j'!M6/'3j'!M6*100, "na")</f>
        <v>na</v>
      </c>
    </row>
    <row r="7" spans="1:13">
      <c r="A7" s="185">
        <v>1982</v>
      </c>
      <c r="B7" s="85" t="str">
        <f>IFERROR('3j'!B7/'3j'!J7*100, "na")</f>
        <v>na</v>
      </c>
      <c r="C7" s="86" t="str">
        <f>IFERROR('3j'!C7/'3j'!K7*100, "na")</f>
        <v>na</v>
      </c>
      <c r="D7" s="86" t="str">
        <f>IFERROR('3j'!D7/'3j'!L7*100, "na")</f>
        <v>na</v>
      </c>
      <c r="E7" s="87" t="str">
        <f>IFERROR('3j'!E7/'3j'!M7*100, "na")</f>
        <v>na</v>
      </c>
      <c r="F7" s="85" t="str">
        <f>IFERROR('3j'!F7/'3j'!J7*100,"na")</f>
        <v>na</v>
      </c>
      <c r="G7" s="86" t="str">
        <f>IFERROR('3j'!G7/'3j'!K7*100,"na")</f>
        <v>na</v>
      </c>
      <c r="H7" s="86" t="str">
        <f>IFERROR('3j'!H7/'3j'!L7*100,"na")</f>
        <v>na</v>
      </c>
      <c r="I7" s="87" t="str">
        <f>IFERROR('3j'!I7/'3j'!M7*100,"na")</f>
        <v>na</v>
      </c>
      <c r="J7" s="85" t="str">
        <f>IFERROR('3j'!J7/'3j'!J7*100, "na")</f>
        <v>na</v>
      </c>
      <c r="K7" s="86" t="str">
        <f>IFERROR('3j'!K7/'3j'!K7*100, "na")</f>
        <v>na</v>
      </c>
      <c r="L7" s="86" t="str">
        <f>IFERROR('3j'!L7/'3j'!L7*100, "na")</f>
        <v>na</v>
      </c>
      <c r="M7" s="87" t="str">
        <f>IFERROR('3j'!M7/'3j'!M7*100, "na")</f>
        <v>na</v>
      </c>
    </row>
    <row r="8" spans="1:13">
      <c r="A8" s="185">
        <v>1983</v>
      </c>
      <c r="B8" s="85" t="str">
        <f>IFERROR('3j'!B8/'3j'!J8*100, "na")</f>
        <v>na</v>
      </c>
      <c r="C8" s="86" t="str">
        <f>IFERROR('3j'!C8/'3j'!K8*100, "na")</f>
        <v>na</v>
      </c>
      <c r="D8" s="86" t="str">
        <f>IFERROR('3j'!D8/'3j'!L8*100, "na")</f>
        <v>na</v>
      </c>
      <c r="E8" s="87" t="str">
        <f>IFERROR('3j'!E8/'3j'!M8*100, "na")</f>
        <v>na</v>
      </c>
      <c r="F8" s="85" t="str">
        <f>IFERROR('3j'!F8/'3j'!J8*100,"na")</f>
        <v>na</v>
      </c>
      <c r="G8" s="86" t="str">
        <f>IFERROR('3j'!G8/'3j'!K8*100,"na")</f>
        <v>na</v>
      </c>
      <c r="H8" s="86" t="str">
        <f>IFERROR('3j'!H8/'3j'!L8*100,"na")</f>
        <v>na</v>
      </c>
      <c r="I8" s="87" t="str">
        <f>IFERROR('3j'!I8/'3j'!M8*100,"na")</f>
        <v>na</v>
      </c>
      <c r="J8" s="85" t="str">
        <f>IFERROR('3j'!J8/'3j'!J8*100, "na")</f>
        <v>na</v>
      </c>
      <c r="K8" s="86" t="str">
        <f>IFERROR('3j'!K8/'3j'!K8*100, "na")</f>
        <v>na</v>
      </c>
      <c r="L8" s="86" t="str">
        <f>IFERROR('3j'!L8/'3j'!L8*100, "na")</f>
        <v>na</v>
      </c>
      <c r="M8" s="87" t="str">
        <f>IFERROR('3j'!M8/'3j'!M8*100, "na")</f>
        <v>na</v>
      </c>
    </row>
    <row r="9" spans="1:13">
      <c r="A9" s="185">
        <v>1984</v>
      </c>
      <c r="B9" s="85" t="str">
        <f>IFERROR('3j'!B9/'3j'!J9*100, "na")</f>
        <v>na</v>
      </c>
      <c r="C9" s="86" t="str">
        <f>IFERROR('3j'!C9/'3j'!K9*100, "na")</f>
        <v>na</v>
      </c>
      <c r="D9" s="86" t="str">
        <f>IFERROR('3j'!D9/'3j'!L9*100, "na")</f>
        <v>na</v>
      </c>
      <c r="E9" s="87" t="str">
        <f>IFERROR('3j'!E9/'3j'!M9*100, "na")</f>
        <v>na</v>
      </c>
      <c r="F9" s="85" t="str">
        <f>IFERROR('3j'!F9/'3j'!J9*100,"na")</f>
        <v>na</v>
      </c>
      <c r="G9" s="86" t="str">
        <f>IFERROR('3j'!G9/'3j'!K9*100,"na")</f>
        <v>na</v>
      </c>
      <c r="H9" s="86" t="str">
        <f>IFERROR('3j'!H9/'3j'!L9*100,"na")</f>
        <v>na</v>
      </c>
      <c r="I9" s="87" t="str">
        <f>IFERROR('3j'!I9/'3j'!M9*100,"na")</f>
        <v>na</v>
      </c>
      <c r="J9" s="85" t="str">
        <f>IFERROR('3j'!J9/'3j'!J9*100, "na")</f>
        <v>na</v>
      </c>
      <c r="K9" s="86" t="str">
        <f>IFERROR('3j'!K9/'3j'!K9*100, "na")</f>
        <v>na</v>
      </c>
      <c r="L9" s="86" t="str">
        <f>IFERROR('3j'!L9/'3j'!L9*100, "na")</f>
        <v>na</v>
      </c>
      <c r="M9" s="87" t="str">
        <f>IFERROR('3j'!M9/'3j'!M9*100, "na")</f>
        <v>na</v>
      </c>
    </row>
    <row r="10" spans="1:13">
      <c r="A10" s="185">
        <v>1985</v>
      </c>
      <c r="B10" s="85" t="str">
        <f>IFERROR('3j'!B10/'3j'!J10*100, "na")</f>
        <v>na</v>
      </c>
      <c r="C10" s="86" t="str">
        <f>IFERROR('3j'!C10/'3j'!K10*100, "na")</f>
        <v>na</v>
      </c>
      <c r="D10" s="86" t="str">
        <f>IFERROR('3j'!D10/'3j'!L10*100, "na")</f>
        <v>na</v>
      </c>
      <c r="E10" s="87" t="str">
        <f>IFERROR('3j'!E10/'3j'!M10*100, "na")</f>
        <v>na</v>
      </c>
      <c r="F10" s="85" t="str">
        <f>IFERROR('3j'!F10/'3j'!J10*100,"na")</f>
        <v>na</v>
      </c>
      <c r="G10" s="86" t="str">
        <f>IFERROR('3j'!G10/'3j'!K10*100,"na")</f>
        <v>na</v>
      </c>
      <c r="H10" s="86" t="str">
        <f>IFERROR('3j'!H10/'3j'!L10*100,"na")</f>
        <v>na</v>
      </c>
      <c r="I10" s="87" t="str">
        <f>IFERROR('3j'!I10/'3j'!M10*100,"na")</f>
        <v>na</v>
      </c>
      <c r="J10" s="85" t="str">
        <f>IFERROR('3j'!J10/'3j'!J10*100, "na")</f>
        <v>na</v>
      </c>
      <c r="K10" s="86" t="str">
        <f>IFERROR('3j'!K10/'3j'!K10*100, "na")</f>
        <v>na</v>
      </c>
      <c r="L10" s="86" t="str">
        <f>IFERROR('3j'!L10/'3j'!L10*100, "na")</f>
        <v>na</v>
      </c>
      <c r="M10" s="87" t="str">
        <f>IFERROR('3j'!M10/'3j'!M10*100, "na")</f>
        <v>na</v>
      </c>
    </row>
    <row r="11" spans="1:13">
      <c r="A11" s="185">
        <v>1986</v>
      </c>
      <c r="B11" s="85" t="str">
        <f>IFERROR('3j'!B11/'3j'!J11*100, "na")</f>
        <v>na</v>
      </c>
      <c r="C11" s="86" t="str">
        <f>IFERROR('3j'!C11/'3j'!K11*100, "na")</f>
        <v>na</v>
      </c>
      <c r="D11" s="86" t="str">
        <f>IFERROR('3j'!D11/'3j'!L11*100, "na")</f>
        <v>na</v>
      </c>
      <c r="E11" s="87" t="str">
        <f>IFERROR('3j'!E11/'3j'!M11*100, "na")</f>
        <v>na</v>
      </c>
      <c r="F11" s="85" t="str">
        <f>IFERROR('3j'!F11/'3j'!J11*100,"na")</f>
        <v>na</v>
      </c>
      <c r="G11" s="86" t="str">
        <f>IFERROR('3j'!G11/'3j'!K11*100,"na")</f>
        <v>na</v>
      </c>
      <c r="H11" s="86" t="str">
        <f>IFERROR('3j'!H11/'3j'!L11*100,"na")</f>
        <v>na</v>
      </c>
      <c r="I11" s="87" t="str">
        <f>IFERROR('3j'!I11/'3j'!M11*100,"na")</f>
        <v>na</v>
      </c>
      <c r="J11" s="85" t="str">
        <f>IFERROR('3j'!J11/'3j'!J11*100, "na")</f>
        <v>na</v>
      </c>
      <c r="K11" s="86" t="str">
        <f>IFERROR('3j'!K11/'3j'!K11*100, "na")</f>
        <v>na</v>
      </c>
      <c r="L11" s="86" t="str">
        <f>IFERROR('3j'!L11/'3j'!L11*100, "na")</f>
        <v>na</v>
      </c>
      <c r="M11" s="87" t="str">
        <f>IFERROR('3j'!M11/'3j'!M11*100, "na")</f>
        <v>na</v>
      </c>
    </row>
    <row r="12" spans="1:13">
      <c r="A12" s="185">
        <v>1987</v>
      </c>
      <c r="B12" s="85" t="str">
        <f>IFERROR('3j'!B12/'3j'!J12*100, "na")</f>
        <v>na</v>
      </c>
      <c r="C12" s="86" t="str">
        <f>IFERROR('3j'!C12/'3j'!K12*100, "na")</f>
        <v>na</v>
      </c>
      <c r="D12" s="86" t="str">
        <f>IFERROR('3j'!D12/'3j'!L12*100, "na")</f>
        <v>na</v>
      </c>
      <c r="E12" s="87" t="str">
        <f>IFERROR('3j'!E12/'3j'!M12*100, "na")</f>
        <v>na</v>
      </c>
      <c r="F12" s="85" t="str">
        <f>IFERROR('3j'!F12/'3j'!J12*100,"na")</f>
        <v>na</v>
      </c>
      <c r="G12" s="86" t="str">
        <f>IFERROR('3j'!G12/'3j'!K12*100,"na")</f>
        <v>na</v>
      </c>
      <c r="H12" s="86" t="str">
        <f>IFERROR('3j'!H12/'3j'!L12*100,"na")</f>
        <v>na</v>
      </c>
      <c r="I12" s="87" t="str">
        <f>IFERROR('3j'!I12/'3j'!M12*100,"na")</f>
        <v>na</v>
      </c>
      <c r="J12" s="85" t="str">
        <f>IFERROR('3j'!J12/'3j'!J12*100, "na")</f>
        <v>na</v>
      </c>
      <c r="K12" s="86" t="str">
        <f>IFERROR('3j'!K12/'3j'!K12*100, "na")</f>
        <v>na</v>
      </c>
      <c r="L12" s="86" t="str">
        <f>IFERROR('3j'!L12/'3j'!L12*100, "na")</f>
        <v>na</v>
      </c>
      <c r="M12" s="87" t="str">
        <f>IFERROR('3j'!M12/'3j'!M12*100, "na")</f>
        <v>na</v>
      </c>
    </row>
    <row r="13" spans="1:13">
      <c r="A13" s="185">
        <v>1988</v>
      </c>
      <c r="B13" s="85" t="str">
        <f>IFERROR('3j'!B13/'3j'!J13*100, "na")</f>
        <v>na</v>
      </c>
      <c r="C13" s="86" t="str">
        <f>IFERROR('3j'!C13/'3j'!K13*100, "na")</f>
        <v>na</v>
      </c>
      <c r="D13" s="86" t="str">
        <f>IFERROR('3j'!D13/'3j'!L13*100, "na")</f>
        <v>na</v>
      </c>
      <c r="E13" s="87" t="str">
        <f>IFERROR('3j'!E13/'3j'!M13*100, "na")</f>
        <v>na</v>
      </c>
      <c r="F13" s="85" t="str">
        <f>IFERROR('3j'!F13/'3j'!J13*100,"na")</f>
        <v>na</v>
      </c>
      <c r="G13" s="86" t="str">
        <f>IFERROR('3j'!G13/'3j'!K13*100,"na")</f>
        <v>na</v>
      </c>
      <c r="H13" s="86" t="str">
        <f>IFERROR('3j'!H13/'3j'!L13*100,"na")</f>
        <v>na</v>
      </c>
      <c r="I13" s="87" t="str">
        <f>IFERROR('3j'!I13/'3j'!M13*100,"na")</f>
        <v>na</v>
      </c>
      <c r="J13" s="85" t="str">
        <f>IFERROR('3j'!J13/'3j'!J13*100, "na")</f>
        <v>na</v>
      </c>
      <c r="K13" s="86" t="str">
        <f>IFERROR('3j'!K13/'3j'!K13*100, "na")</f>
        <v>na</v>
      </c>
      <c r="L13" s="86" t="str">
        <f>IFERROR('3j'!L13/'3j'!L13*100, "na")</f>
        <v>na</v>
      </c>
      <c r="M13" s="87" t="str">
        <f>IFERROR('3j'!M13/'3j'!M13*100, "na")</f>
        <v>na</v>
      </c>
    </row>
    <row r="14" spans="1:13">
      <c r="A14" s="185">
        <v>1989</v>
      </c>
      <c r="B14" s="85" t="str">
        <f>IFERROR('3j'!B14/'3j'!J14*100, "na")</f>
        <v>na</v>
      </c>
      <c r="C14" s="86" t="str">
        <f>IFERROR('3j'!C14/'3j'!K14*100, "na")</f>
        <v>na</v>
      </c>
      <c r="D14" s="86" t="str">
        <f>IFERROR('3j'!D14/'3j'!L14*100, "na")</f>
        <v>na</v>
      </c>
      <c r="E14" s="87" t="str">
        <f>IFERROR('3j'!E14/'3j'!M14*100, "na")</f>
        <v>na</v>
      </c>
      <c r="F14" s="85" t="str">
        <f>IFERROR('3j'!F14/'3j'!J14*100,"na")</f>
        <v>na</v>
      </c>
      <c r="G14" s="86" t="str">
        <f>IFERROR('3j'!G14/'3j'!K14*100,"na")</f>
        <v>na</v>
      </c>
      <c r="H14" s="86" t="str">
        <f>IFERROR('3j'!H14/'3j'!L14*100,"na")</f>
        <v>na</v>
      </c>
      <c r="I14" s="87" t="str">
        <f>IFERROR('3j'!I14/'3j'!M14*100,"na")</f>
        <v>na</v>
      </c>
      <c r="J14" s="85" t="str">
        <f>IFERROR('3j'!J14/'3j'!J14*100, "na")</f>
        <v>na</v>
      </c>
      <c r="K14" s="86" t="str">
        <f>IFERROR('3j'!K14/'3j'!K14*100, "na")</f>
        <v>na</v>
      </c>
      <c r="L14" s="86" t="str">
        <f>IFERROR('3j'!L14/'3j'!L14*100, "na")</f>
        <v>na</v>
      </c>
      <c r="M14" s="87" t="str">
        <f>IFERROR('3j'!M14/'3j'!M14*100, "na")</f>
        <v>na</v>
      </c>
    </row>
    <row r="15" spans="1:13">
      <c r="A15" s="185">
        <v>1990</v>
      </c>
      <c r="B15" s="85" t="str">
        <f>IFERROR('3j'!B15/'3j'!J15*100, "na")</f>
        <v>na</v>
      </c>
      <c r="C15" s="86" t="str">
        <f>IFERROR('3j'!C15/'3j'!K15*100, "na")</f>
        <v>na</v>
      </c>
      <c r="D15" s="86" t="str">
        <f>IFERROR('3j'!D15/'3j'!L15*100, "na")</f>
        <v>na</v>
      </c>
      <c r="E15" s="87" t="str">
        <f>IFERROR('3j'!E15/'3j'!M15*100, "na")</f>
        <v>na</v>
      </c>
      <c r="F15" s="85" t="str">
        <f>IFERROR('3j'!F15/'3j'!J15*100,"na")</f>
        <v>na</v>
      </c>
      <c r="G15" s="86" t="str">
        <f>IFERROR('3j'!G15/'3j'!K15*100,"na")</f>
        <v>na</v>
      </c>
      <c r="H15" s="86" t="str">
        <f>IFERROR('3j'!H15/'3j'!L15*100,"na")</f>
        <v>na</v>
      </c>
      <c r="I15" s="87" t="str">
        <f>IFERROR('3j'!I15/'3j'!M15*100,"na")</f>
        <v>na</v>
      </c>
      <c r="J15" s="85" t="str">
        <f>IFERROR('3j'!J15/'3j'!J15*100, "na")</f>
        <v>na</v>
      </c>
      <c r="K15" s="86" t="str">
        <f>IFERROR('3j'!K15/'3j'!K15*100, "na")</f>
        <v>na</v>
      </c>
      <c r="L15" s="86" t="str">
        <f>IFERROR('3j'!L15/'3j'!L15*100, "na")</f>
        <v>na</v>
      </c>
      <c r="M15" s="87" t="str">
        <f>IFERROR('3j'!M15/'3j'!M15*100, "na")</f>
        <v>na</v>
      </c>
    </row>
    <row r="16" spans="1:13">
      <c r="A16" s="185">
        <v>1991</v>
      </c>
      <c r="B16" s="85" t="str">
        <f>IFERROR('3j'!B16/'3j'!J16*100, "na")</f>
        <v>na</v>
      </c>
      <c r="C16" s="86" t="str">
        <f>IFERROR('3j'!C16/'3j'!K16*100, "na")</f>
        <v>na</v>
      </c>
      <c r="D16" s="86" t="str">
        <f>IFERROR('3j'!D16/'3j'!L16*100, "na")</f>
        <v>na</v>
      </c>
      <c r="E16" s="87" t="str">
        <f>IFERROR('3j'!E16/'3j'!M16*100, "na")</f>
        <v>na</v>
      </c>
      <c r="F16" s="85" t="str">
        <f>IFERROR('3j'!F16/'3j'!J16*100,"na")</f>
        <v>na</v>
      </c>
      <c r="G16" s="86" t="str">
        <f>IFERROR('3j'!G16/'3j'!K16*100,"na")</f>
        <v>na</v>
      </c>
      <c r="H16" s="86" t="str">
        <f>IFERROR('3j'!H16/'3j'!L16*100,"na")</f>
        <v>na</v>
      </c>
      <c r="I16" s="87" t="str">
        <f>IFERROR('3j'!I16/'3j'!M16*100,"na")</f>
        <v>na</v>
      </c>
      <c r="J16" s="85" t="str">
        <f>IFERROR('3j'!J16/'3j'!J16*100, "na")</f>
        <v>na</v>
      </c>
      <c r="K16" s="86" t="str">
        <f>IFERROR('3j'!K16/'3j'!K16*100, "na")</f>
        <v>na</v>
      </c>
      <c r="L16" s="86" t="str">
        <f>IFERROR('3j'!L16/'3j'!L16*100, "na")</f>
        <v>na</v>
      </c>
      <c r="M16" s="87" t="str">
        <f>IFERROR('3j'!M16/'3j'!M16*100, "na")</f>
        <v>na</v>
      </c>
    </row>
    <row r="17" spans="1:13">
      <c r="A17" s="185">
        <v>1992</v>
      </c>
      <c r="B17" s="85" t="str">
        <f>IFERROR('3j'!B17/'3j'!J17*100, "na")</f>
        <v>na</v>
      </c>
      <c r="C17" s="86" t="str">
        <f>IFERROR('3j'!C17/'3j'!K17*100, "na")</f>
        <v>na</v>
      </c>
      <c r="D17" s="86" t="str">
        <f>IFERROR('3j'!D17/'3j'!L17*100, "na")</f>
        <v>na</v>
      </c>
      <c r="E17" s="87" t="str">
        <f>IFERROR('3j'!E17/'3j'!M17*100, "na")</f>
        <v>na</v>
      </c>
      <c r="F17" s="85" t="str">
        <f>IFERROR('3j'!F17/'3j'!J17*100,"na")</f>
        <v>na</v>
      </c>
      <c r="G17" s="86" t="str">
        <f>IFERROR('3j'!G17/'3j'!K17*100,"na")</f>
        <v>na</v>
      </c>
      <c r="H17" s="86" t="str">
        <f>IFERROR('3j'!H17/'3j'!L17*100,"na")</f>
        <v>na</v>
      </c>
      <c r="I17" s="87" t="str">
        <f>IFERROR('3j'!I17/'3j'!M17*100,"na")</f>
        <v>na</v>
      </c>
      <c r="J17" s="85" t="str">
        <f>IFERROR('3j'!J17/'3j'!J17*100, "na")</f>
        <v>na</v>
      </c>
      <c r="K17" s="86" t="str">
        <f>IFERROR('3j'!K17/'3j'!K17*100, "na")</f>
        <v>na</v>
      </c>
      <c r="L17" s="86" t="str">
        <f>IFERROR('3j'!L17/'3j'!L17*100, "na")</f>
        <v>na</v>
      </c>
      <c r="M17" s="87" t="str">
        <f>IFERROR('3j'!M17/'3j'!M17*100, "na")</f>
        <v>na</v>
      </c>
    </row>
    <row r="18" spans="1:13">
      <c r="A18" s="185">
        <v>1993</v>
      </c>
      <c r="B18" s="85" t="str">
        <f>IFERROR('3j'!B18/'3j'!J18*100, "na")</f>
        <v>na</v>
      </c>
      <c r="C18" s="86" t="str">
        <f>IFERROR('3j'!C18/'3j'!K18*100, "na")</f>
        <v>na</v>
      </c>
      <c r="D18" s="86" t="str">
        <f>IFERROR('3j'!D18/'3j'!L18*100, "na")</f>
        <v>na</v>
      </c>
      <c r="E18" s="87" t="str">
        <f>IFERROR('3j'!E18/'3j'!M18*100, "na")</f>
        <v>na</v>
      </c>
      <c r="F18" s="85" t="str">
        <f>IFERROR('3j'!F18/'3j'!J18*100,"na")</f>
        <v>na</v>
      </c>
      <c r="G18" s="86" t="str">
        <f>IFERROR('3j'!G18/'3j'!K18*100,"na")</f>
        <v>na</v>
      </c>
      <c r="H18" s="86" t="str">
        <f>IFERROR('3j'!H18/'3j'!L18*100,"na")</f>
        <v>na</v>
      </c>
      <c r="I18" s="87" t="str">
        <f>IFERROR('3j'!I18/'3j'!M18*100,"na")</f>
        <v>na</v>
      </c>
      <c r="J18" s="85" t="str">
        <f>IFERROR('3j'!J18/'3j'!J18*100, "na")</f>
        <v>na</v>
      </c>
      <c r="K18" s="86" t="str">
        <f>IFERROR('3j'!K18/'3j'!K18*100, "na")</f>
        <v>na</v>
      </c>
      <c r="L18" s="86" t="str">
        <f>IFERROR('3j'!L18/'3j'!L18*100, "na")</f>
        <v>na</v>
      </c>
      <c r="M18" s="87" t="str">
        <f>IFERROR('3j'!M18/'3j'!M18*100, "na")</f>
        <v>na</v>
      </c>
    </row>
    <row r="19" spans="1:13">
      <c r="A19" s="185">
        <v>1994</v>
      </c>
      <c r="B19" s="85" t="str">
        <f>IFERROR('3j'!B19/'3j'!J19*100, "na")</f>
        <v>na</v>
      </c>
      <c r="C19" s="86" t="str">
        <f>IFERROR('3j'!C19/'3j'!K19*100, "na")</f>
        <v>na</v>
      </c>
      <c r="D19" s="86" t="str">
        <f>IFERROR('3j'!D19/'3j'!L19*100, "na")</f>
        <v>na</v>
      </c>
      <c r="E19" s="87" t="str">
        <f>IFERROR('3j'!E19/'3j'!M19*100, "na")</f>
        <v>na</v>
      </c>
      <c r="F19" s="85" t="str">
        <f>IFERROR('3j'!F19/'3j'!J19*100,"na")</f>
        <v>na</v>
      </c>
      <c r="G19" s="86" t="str">
        <f>IFERROR('3j'!G19/'3j'!K19*100,"na")</f>
        <v>na</v>
      </c>
      <c r="H19" s="86" t="str">
        <f>IFERROR('3j'!H19/'3j'!L19*100,"na")</f>
        <v>na</v>
      </c>
      <c r="I19" s="87" t="str">
        <f>IFERROR('3j'!I19/'3j'!M19*100,"na")</f>
        <v>na</v>
      </c>
      <c r="J19" s="85" t="str">
        <f>IFERROR('3j'!J19/'3j'!J19*100, "na")</f>
        <v>na</v>
      </c>
      <c r="K19" s="86" t="str">
        <f>IFERROR('3j'!K19/'3j'!K19*100, "na")</f>
        <v>na</v>
      </c>
      <c r="L19" s="86" t="str">
        <f>IFERROR('3j'!L19/'3j'!L19*100, "na")</f>
        <v>na</v>
      </c>
      <c r="M19" s="87" t="str">
        <f>IFERROR('3j'!M19/'3j'!M19*100, "na")</f>
        <v>na</v>
      </c>
    </row>
    <row r="20" spans="1:13">
      <c r="A20" s="185">
        <v>1995</v>
      </c>
      <c r="B20" s="85" t="str">
        <f>IFERROR('3j'!B20/'3j'!J20*100, "na")</f>
        <v>na</v>
      </c>
      <c r="C20" s="86" t="str">
        <f>IFERROR('3j'!C20/'3j'!K20*100, "na")</f>
        <v>na</v>
      </c>
      <c r="D20" s="86" t="str">
        <f>IFERROR('3j'!D20/'3j'!L20*100, "na")</f>
        <v>na</v>
      </c>
      <c r="E20" s="87" t="str">
        <f>IFERROR('3j'!E20/'3j'!M20*100, "na")</f>
        <v>na</v>
      </c>
      <c r="F20" s="85" t="str">
        <f>IFERROR('3j'!F20/'3j'!J20*100,"na")</f>
        <v>na</v>
      </c>
      <c r="G20" s="86" t="str">
        <f>IFERROR('3j'!G20/'3j'!K20*100,"na")</f>
        <v>na</v>
      </c>
      <c r="H20" s="86" t="str">
        <f>IFERROR('3j'!H20/'3j'!L20*100,"na")</f>
        <v>na</v>
      </c>
      <c r="I20" s="87" t="str">
        <f>IFERROR('3j'!I20/'3j'!M20*100,"na")</f>
        <v>na</v>
      </c>
      <c r="J20" s="85" t="str">
        <f>IFERROR('3j'!J20/'3j'!J20*100, "na")</f>
        <v>na</v>
      </c>
      <c r="K20" s="86" t="str">
        <f>IFERROR('3j'!K20/'3j'!K20*100, "na")</f>
        <v>na</v>
      </c>
      <c r="L20" s="86" t="str">
        <f>IFERROR('3j'!L20/'3j'!L20*100, "na")</f>
        <v>na</v>
      </c>
      <c r="M20" s="87" t="str">
        <f>IFERROR('3j'!M20/'3j'!M20*100, "na")</f>
        <v>na</v>
      </c>
    </row>
    <row r="21" spans="1:13">
      <c r="A21" s="185">
        <v>1996</v>
      </c>
      <c r="B21" s="85" t="str">
        <f>IFERROR('3j'!B21/'3j'!J21*100, "na")</f>
        <v>na</v>
      </c>
      <c r="C21" s="86" t="str">
        <f>IFERROR('3j'!C21/'3j'!K21*100, "na")</f>
        <v>na</v>
      </c>
      <c r="D21" s="86" t="str">
        <f>IFERROR('3j'!D21/'3j'!L21*100, "na")</f>
        <v>na</v>
      </c>
      <c r="E21" s="87" t="str">
        <f>IFERROR('3j'!E21/'3j'!M21*100, "na")</f>
        <v>na</v>
      </c>
      <c r="F21" s="85" t="str">
        <f>IFERROR('3j'!F21/'3j'!J21*100,"na")</f>
        <v>na</v>
      </c>
      <c r="G21" s="86" t="str">
        <f>IFERROR('3j'!G21/'3j'!K21*100,"na")</f>
        <v>na</v>
      </c>
      <c r="H21" s="86" t="str">
        <f>IFERROR('3j'!H21/'3j'!L21*100,"na")</f>
        <v>na</v>
      </c>
      <c r="I21" s="87" t="str">
        <f>IFERROR('3j'!I21/'3j'!M21*100,"na")</f>
        <v>na</v>
      </c>
      <c r="J21" s="85" t="str">
        <f>IFERROR('3j'!J21/'3j'!J21*100, "na")</f>
        <v>na</v>
      </c>
      <c r="K21" s="86" t="str">
        <f>IFERROR('3j'!K21/'3j'!K21*100, "na")</f>
        <v>na</v>
      </c>
      <c r="L21" s="86" t="str">
        <f>IFERROR('3j'!L21/'3j'!L21*100, "na")</f>
        <v>na</v>
      </c>
      <c r="M21" s="87" t="str">
        <f>IFERROR('3j'!M21/'3j'!M21*100, "na")</f>
        <v>na</v>
      </c>
    </row>
    <row r="22" spans="1:13">
      <c r="A22" s="185">
        <v>1997</v>
      </c>
      <c r="B22" s="85">
        <f>IFERROR('3j'!B22/'3j'!J22*100, "na")</f>
        <v>193.49361213001902</v>
      </c>
      <c r="C22" s="86">
        <f>IFERROR('3j'!C22/'3j'!K22*100, "na")</f>
        <v>216.12048071142905</v>
      </c>
      <c r="D22" s="86">
        <f>IFERROR('3j'!D22/'3j'!L22*100, "na")</f>
        <v>35.280465978942047</v>
      </c>
      <c r="E22" s="87">
        <f>IFERROR('3j'!E22/'3j'!M22*100, "na")</f>
        <v>136.25356517319773</v>
      </c>
      <c r="F22" s="85">
        <f>IFERROR('3j'!F22/'3j'!J22*100,"na")</f>
        <v>221.64824670809168</v>
      </c>
      <c r="G22" s="86">
        <f>IFERROR('3j'!G22/'3j'!K22*100,"na")</f>
        <v>138.96051932065464</v>
      </c>
      <c r="H22" s="86">
        <f>IFERROR('3j'!H22/'3j'!L22*100,"na")</f>
        <v>9.2839944836631574</v>
      </c>
      <c r="I22" s="87">
        <f>IFERROR('3j'!I22/'3j'!M22*100,"na")</f>
        <v>101.49120423516527</v>
      </c>
      <c r="J22" s="85">
        <f>IFERROR('3j'!J22/'3j'!J22*100, "na")</f>
        <v>100</v>
      </c>
      <c r="K22" s="86">
        <f>IFERROR('3j'!K22/'3j'!K22*100, "na")</f>
        <v>100</v>
      </c>
      <c r="L22" s="86">
        <f>IFERROR('3j'!L22/'3j'!L22*100, "na")</f>
        <v>100</v>
      </c>
      <c r="M22" s="87">
        <f>IFERROR('3j'!M22/'3j'!M22*100, "na")</f>
        <v>100</v>
      </c>
    </row>
    <row r="23" spans="1:13">
      <c r="A23" s="185">
        <v>1998</v>
      </c>
      <c r="B23" s="85">
        <f>IFERROR('3j'!B23/'3j'!J23*100, "na")</f>
        <v>234.92161685176583</v>
      </c>
      <c r="C23" s="86">
        <f>IFERROR('3j'!C23/'3j'!K23*100, "na")</f>
        <v>229.96718184762469</v>
      </c>
      <c r="D23" s="86">
        <f>IFERROR('3j'!D23/'3j'!L23*100, "na")</f>
        <v>30.408988729333082</v>
      </c>
      <c r="E23" s="87">
        <f>IFERROR('3j'!E23/'3j'!M23*100, "na")</f>
        <v>152.86770486883958</v>
      </c>
      <c r="F23" s="85">
        <f>IFERROR('3j'!F23/'3j'!J23*100,"na")</f>
        <v>349.24256238751809</v>
      </c>
      <c r="G23" s="86">
        <f>IFERROR('3j'!G23/'3j'!K23*100,"na")</f>
        <v>166.50329953867561</v>
      </c>
      <c r="H23" s="86">
        <f>IFERROR('3j'!H23/'3j'!L23*100,"na")</f>
        <v>13.421956617812326</v>
      </c>
      <c r="I23" s="87">
        <f>IFERROR('3j'!I23/'3j'!M23*100,"na")</f>
        <v>147.05450677107103</v>
      </c>
      <c r="J23" s="85">
        <f>IFERROR('3j'!J23/'3j'!J23*100, "na")</f>
        <v>100</v>
      </c>
      <c r="K23" s="86">
        <f>IFERROR('3j'!K23/'3j'!K23*100, "na")</f>
        <v>100</v>
      </c>
      <c r="L23" s="86">
        <f>IFERROR('3j'!L23/'3j'!L23*100, "na")</f>
        <v>100</v>
      </c>
      <c r="M23" s="87">
        <f>IFERROR('3j'!M23/'3j'!M23*100, "na")</f>
        <v>100</v>
      </c>
    </row>
    <row r="24" spans="1:13">
      <c r="A24" s="185">
        <v>1999</v>
      </c>
      <c r="B24" s="85">
        <f>IFERROR('3j'!B24/'3j'!J24*100, "na")</f>
        <v>212.64120383611299</v>
      </c>
      <c r="C24" s="86">
        <f>IFERROR('3j'!C24/'3j'!K24*100, "na")</f>
        <v>283.12791554583299</v>
      </c>
      <c r="D24" s="86">
        <f>IFERROR('3j'!D24/'3j'!L24*100, "na")</f>
        <v>28.031365893309552</v>
      </c>
      <c r="E24" s="87">
        <f>IFERROR('3j'!E24/'3j'!M24*100, "na")</f>
        <v>170.62232450295082</v>
      </c>
      <c r="F24" s="85">
        <f>IFERROR('3j'!F24/'3j'!J24*100,"na")</f>
        <v>202.29813004465345</v>
      </c>
      <c r="G24" s="86">
        <f>IFERROR('3j'!G24/'3j'!K24*100,"na")</f>
        <v>158.21989912555335</v>
      </c>
      <c r="H24" s="86">
        <f>IFERROR('3j'!H24/'3j'!L24*100,"na")</f>
        <v>11.905149890901498</v>
      </c>
      <c r="I24" s="87">
        <f>IFERROR('3j'!I24/'3j'!M24*100,"na")</f>
        <v>112.96522927052852</v>
      </c>
      <c r="J24" s="85">
        <f>IFERROR('3j'!J24/'3j'!J24*100, "na")</f>
        <v>100</v>
      </c>
      <c r="K24" s="86">
        <f>IFERROR('3j'!K24/'3j'!K24*100, "na")</f>
        <v>100</v>
      </c>
      <c r="L24" s="86">
        <f>IFERROR('3j'!L24/'3j'!L24*100, "na")</f>
        <v>100</v>
      </c>
      <c r="M24" s="87">
        <f>IFERROR('3j'!M24/'3j'!M24*100, "na")</f>
        <v>100</v>
      </c>
    </row>
    <row r="25" spans="1:13">
      <c r="A25" s="185">
        <v>2000</v>
      </c>
      <c r="B25" s="85">
        <f>IFERROR('3j'!B25/'3j'!J25*100, "na")</f>
        <v>124.19244722169142</v>
      </c>
      <c r="C25" s="86">
        <f>IFERROR('3j'!C25/'3j'!K25*100, "na")</f>
        <v>343.81059206596746</v>
      </c>
      <c r="D25" s="86">
        <f>IFERROR('3j'!D25/'3j'!L25*100, "na")</f>
        <v>22.306002343053173</v>
      </c>
      <c r="E25" s="87">
        <f>IFERROR('3j'!E25/'3j'!M25*100, "na")</f>
        <v>172.76365077865248</v>
      </c>
      <c r="F25" s="85">
        <f>IFERROR('3j'!F25/'3j'!J25*100,"na")</f>
        <v>177.77864141687527</v>
      </c>
      <c r="G25" s="86">
        <f>IFERROR('3j'!G25/'3j'!K25*100,"na")</f>
        <v>209.62632150268217</v>
      </c>
      <c r="H25" s="86">
        <f>IFERROR('3j'!H25/'3j'!L25*100,"na")</f>
        <v>23.581700473507968</v>
      </c>
      <c r="I25" s="87">
        <f>IFERROR('3j'!I25/'3j'!M25*100,"na")</f>
        <v>132.89907127639188</v>
      </c>
      <c r="J25" s="85">
        <f>IFERROR('3j'!J25/'3j'!J25*100, "na")</f>
        <v>100</v>
      </c>
      <c r="K25" s="86">
        <f>IFERROR('3j'!K25/'3j'!K25*100, "na")</f>
        <v>100</v>
      </c>
      <c r="L25" s="86">
        <f>IFERROR('3j'!L25/'3j'!L25*100, "na")</f>
        <v>100</v>
      </c>
      <c r="M25" s="87">
        <f>IFERROR('3j'!M25/'3j'!M25*100, "na")</f>
        <v>100</v>
      </c>
    </row>
    <row r="26" spans="1:13">
      <c r="A26" s="185">
        <v>2001</v>
      </c>
      <c r="B26" s="85">
        <f>IFERROR('3j'!B26/'3j'!J26*100, "na")</f>
        <v>70.633655205615824</v>
      </c>
      <c r="C26" s="86">
        <f>IFERROR('3j'!C26/'3j'!K26*100, "na")</f>
        <v>320.41697516281545</v>
      </c>
      <c r="D26" s="86">
        <f>IFERROR('3j'!D26/'3j'!L26*100, "na")</f>
        <v>15.792164887966049</v>
      </c>
      <c r="E26" s="87">
        <f>IFERROR('3j'!E26/'3j'!M26*100, "na")</f>
        <v>149.67633555292934</v>
      </c>
      <c r="F26" s="85">
        <f>IFERROR('3j'!F26/'3j'!J26*100,"na")</f>
        <v>95.661483055839511</v>
      </c>
      <c r="G26" s="86">
        <f>IFERROR('3j'!G26/'3j'!K26*100,"na")</f>
        <v>193.34673077446124</v>
      </c>
      <c r="H26" s="86">
        <f>IFERROR('3j'!H26/'3j'!L26*100,"na")</f>
        <v>17.361338080629338</v>
      </c>
      <c r="I26" s="87">
        <f>IFERROR('3j'!I26/'3j'!M26*100,"na")</f>
        <v>104.82808231118892</v>
      </c>
      <c r="J26" s="85">
        <f>IFERROR('3j'!J26/'3j'!J26*100, "na")</f>
        <v>100</v>
      </c>
      <c r="K26" s="86">
        <f>IFERROR('3j'!K26/'3j'!K26*100, "na")</f>
        <v>100</v>
      </c>
      <c r="L26" s="86">
        <f>IFERROR('3j'!L26/'3j'!L26*100, "na")</f>
        <v>100</v>
      </c>
      <c r="M26" s="87">
        <f>IFERROR('3j'!M26/'3j'!M26*100, "na")</f>
        <v>100</v>
      </c>
    </row>
    <row r="27" spans="1:13">
      <c r="A27" s="185">
        <v>2002</v>
      </c>
      <c r="B27" s="85">
        <f>IFERROR('3j'!B27/'3j'!J27*100, "na")</f>
        <v>80.013021125255079</v>
      </c>
      <c r="C27" s="86">
        <f>IFERROR('3j'!C27/'3j'!K27*100, "na")</f>
        <v>294.79414989774762</v>
      </c>
      <c r="D27" s="86">
        <f>IFERROR('3j'!D27/'3j'!L27*100, "na")</f>
        <v>15.204869219392078</v>
      </c>
      <c r="E27" s="87">
        <f>IFERROR('3j'!E27/'3j'!M27*100, "na")</f>
        <v>141.16307903745158</v>
      </c>
      <c r="F27" s="85">
        <f>IFERROR('3j'!F27/'3j'!J27*100,"na")</f>
        <v>54.479414244512917</v>
      </c>
      <c r="G27" s="86">
        <f>IFERROR('3j'!G27/'3j'!K27*100,"na")</f>
        <v>173.07511094020725</v>
      </c>
      <c r="H27" s="86">
        <f>IFERROR('3j'!H27/'3j'!L27*100,"na")</f>
        <v>15.393972210131512</v>
      </c>
      <c r="I27" s="87">
        <f>IFERROR('3j'!I27/'3j'!M27*100,"na")</f>
        <v>86.980238933108936</v>
      </c>
      <c r="J27" s="85">
        <f>IFERROR('3j'!J27/'3j'!J27*100, "na")</f>
        <v>100</v>
      </c>
      <c r="K27" s="86">
        <f>IFERROR('3j'!K27/'3j'!K27*100, "na")</f>
        <v>100</v>
      </c>
      <c r="L27" s="86">
        <f>IFERROR('3j'!L27/'3j'!L27*100, "na")</f>
        <v>100</v>
      </c>
      <c r="M27" s="87">
        <f>IFERROR('3j'!M27/'3j'!M27*100, "na")</f>
        <v>100</v>
      </c>
    </row>
    <row r="28" spans="1:13">
      <c r="A28" s="185">
        <v>2003</v>
      </c>
      <c r="B28" s="85">
        <f>IFERROR('3j'!B28/'3j'!J28*100, "na")</f>
        <v>121.00129944336521</v>
      </c>
      <c r="C28" s="86">
        <f>IFERROR('3j'!C28/'3j'!K28*100, "na")</f>
        <v>254.61720610050503</v>
      </c>
      <c r="D28" s="86">
        <f>IFERROR('3j'!D28/'3j'!L28*100, "na")</f>
        <v>21.404900271794517</v>
      </c>
      <c r="E28" s="87">
        <f>IFERROR('3j'!E28/'3j'!M28*100, "na")</f>
        <v>140.65990945435385</v>
      </c>
      <c r="F28" s="85">
        <f>IFERROR('3j'!F28/'3j'!J28*100,"na")</f>
        <v>52.31934254634151</v>
      </c>
      <c r="G28" s="86">
        <f>IFERROR('3j'!G28/'3j'!K28*100,"na")</f>
        <v>158.11816638909099</v>
      </c>
      <c r="H28" s="86">
        <f>IFERROR('3j'!H28/'3j'!L28*100,"na")</f>
        <v>15.038940934879493</v>
      </c>
      <c r="I28" s="87">
        <f>IFERROR('3j'!I28/'3j'!M28*100,"na")</f>
        <v>82.753318307291977</v>
      </c>
      <c r="J28" s="85">
        <f>IFERROR('3j'!J28/'3j'!J28*100, "na")</f>
        <v>100</v>
      </c>
      <c r="K28" s="86">
        <f>IFERROR('3j'!K28/'3j'!K28*100, "na")</f>
        <v>100</v>
      </c>
      <c r="L28" s="86">
        <f>IFERROR('3j'!L28/'3j'!L28*100, "na")</f>
        <v>100</v>
      </c>
      <c r="M28" s="87">
        <f>IFERROR('3j'!M28/'3j'!M28*100, "na")</f>
        <v>100</v>
      </c>
    </row>
    <row r="29" spans="1:13">
      <c r="A29" s="185">
        <v>2004</v>
      </c>
      <c r="B29" s="85">
        <f>IFERROR('3j'!B29/'3j'!J29*100, "na")</f>
        <v>167.9059837186214</v>
      </c>
      <c r="C29" s="86">
        <f>IFERROR('3j'!C29/'3j'!K29*100, "na")</f>
        <v>292.82638641692677</v>
      </c>
      <c r="D29" s="86">
        <f>IFERROR('3j'!D29/'3j'!L29*100, "na")</f>
        <v>32.72065835693401</v>
      </c>
      <c r="E29" s="87">
        <f>IFERROR('3j'!E29/'3j'!M29*100, "na")</f>
        <v>177.68220933776408</v>
      </c>
      <c r="F29" s="85">
        <f>IFERROR('3j'!F29/'3j'!J29*100,"na")</f>
        <v>53.787056007363091</v>
      </c>
      <c r="G29" s="86">
        <f>IFERROR('3j'!G29/'3j'!K29*100,"na")</f>
        <v>209.34925165400182</v>
      </c>
      <c r="H29" s="86">
        <f>IFERROR('3j'!H29/'3j'!L29*100,"na")</f>
        <v>17.312649871710953</v>
      </c>
      <c r="I29" s="87">
        <f>IFERROR('3j'!I29/'3j'!M29*100,"na")</f>
        <v>109.18952979917877</v>
      </c>
      <c r="J29" s="85">
        <f>IFERROR('3j'!J29/'3j'!J29*100, "na")</f>
        <v>100</v>
      </c>
      <c r="K29" s="86">
        <f>IFERROR('3j'!K29/'3j'!K29*100, "na")</f>
        <v>100</v>
      </c>
      <c r="L29" s="86">
        <f>IFERROR('3j'!L29/'3j'!L29*100, "na")</f>
        <v>100</v>
      </c>
      <c r="M29" s="87">
        <f>IFERROR('3j'!M29/'3j'!M29*100, "na")</f>
        <v>100</v>
      </c>
    </row>
    <row r="30" spans="1:13">
      <c r="A30" s="185">
        <v>2005</v>
      </c>
      <c r="B30" s="85">
        <f>IFERROR('3j'!B30/'3j'!J30*100, "na")</f>
        <v>188.01534992468027</v>
      </c>
      <c r="C30" s="86">
        <f>IFERROR('3j'!C30/'3j'!K30*100, "na")</f>
        <v>303.6839763367488</v>
      </c>
      <c r="D30" s="86">
        <f>IFERROR('3j'!D30/'3j'!L30*100, "na")</f>
        <v>35.997247434897439</v>
      </c>
      <c r="E30" s="87">
        <f>IFERROR('3j'!E30/'3j'!M30*100, "na")</f>
        <v>194.26168383217311</v>
      </c>
      <c r="F30" s="85">
        <f>IFERROR('3j'!F30/'3j'!J30*100,"na")</f>
        <v>69.105329369294779</v>
      </c>
      <c r="G30" s="86">
        <f>IFERROR('3j'!G30/'3j'!K30*100,"na")</f>
        <v>272.53510932940367</v>
      </c>
      <c r="H30" s="86">
        <f>IFERROR('3j'!H30/'3j'!L30*100,"na")</f>
        <v>25.64677896026592</v>
      </c>
      <c r="I30" s="87">
        <f>IFERROR('3j'!I30/'3j'!M30*100,"na")</f>
        <v>147.85185034176726</v>
      </c>
      <c r="J30" s="85">
        <f>IFERROR('3j'!J30/'3j'!J30*100, "na")</f>
        <v>100</v>
      </c>
      <c r="K30" s="86">
        <f>IFERROR('3j'!K30/'3j'!K30*100, "na")</f>
        <v>100</v>
      </c>
      <c r="L30" s="86">
        <f>IFERROR('3j'!L30/'3j'!L30*100, "na")</f>
        <v>100</v>
      </c>
      <c r="M30" s="87">
        <f>IFERROR('3j'!M30/'3j'!M30*100, "na")</f>
        <v>100</v>
      </c>
    </row>
    <row r="31" spans="1:13">
      <c r="A31" s="185">
        <v>2006</v>
      </c>
      <c r="B31" s="85">
        <f>IFERROR('3j'!B31/'3j'!J31*100, "na")</f>
        <v>166.79836373775743</v>
      </c>
      <c r="C31" s="86">
        <f>IFERROR('3j'!C31/'3j'!K31*100, "na")</f>
        <v>290.60189632167248</v>
      </c>
      <c r="D31" s="86">
        <f>IFERROR('3j'!D31/'3j'!L31*100, "na")</f>
        <v>43.39381119404144</v>
      </c>
      <c r="E31" s="87">
        <f>IFERROR('3j'!E31/'3j'!M31*100, "na")</f>
        <v>188.52919863550085</v>
      </c>
      <c r="F31" s="85">
        <f>IFERROR('3j'!F31/'3j'!J31*100,"na")</f>
        <v>66.351948779786653</v>
      </c>
      <c r="G31" s="86">
        <f>IFERROR('3j'!G31/'3j'!K31*100,"na")</f>
        <v>267.50482938465291</v>
      </c>
      <c r="H31" s="86">
        <f>IFERROR('3j'!H31/'3j'!L31*100,"na")</f>
        <v>28.190297877355757</v>
      </c>
      <c r="I31" s="87">
        <f>IFERROR('3j'!I31/'3j'!M31*100,"na")</f>
        <v>147.53034849057946</v>
      </c>
      <c r="J31" s="85">
        <f>IFERROR('3j'!J31/'3j'!J31*100, "na")</f>
        <v>100</v>
      </c>
      <c r="K31" s="86">
        <f>IFERROR('3j'!K31/'3j'!K31*100, "na")</f>
        <v>100</v>
      </c>
      <c r="L31" s="86">
        <f>IFERROR('3j'!L31/'3j'!L31*100, "na")</f>
        <v>100</v>
      </c>
      <c r="M31" s="87">
        <f>IFERROR('3j'!M31/'3j'!M31*100, "na")</f>
        <v>100</v>
      </c>
    </row>
    <row r="32" spans="1:13">
      <c r="A32" s="185">
        <v>2007</v>
      </c>
      <c r="B32" s="85">
        <f>IFERROR('3j'!B32/'3j'!J32*100, "na")</f>
        <v>236.77946878592158</v>
      </c>
      <c r="C32" s="86">
        <f>IFERROR('3j'!C32/'3j'!K32*100, "na")</f>
        <v>269.15022923970292</v>
      </c>
      <c r="D32" s="86">
        <f>IFERROR('3j'!D32/'3j'!L32*100, "na")</f>
        <v>79.488589586553559</v>
      </c>
      <c r="E32" s="87">
        <f>IFERROR('3j'!E32/'3j'!M32*100, "na")</f>
        <v>212.30118196626523</v>
      </c>
      <c r="F32" s="85">
        <f>IFERROR('3j'!F32/'3j'!J32*100,"na")</f>
        <v>52.645733739710195</v>
      </c>
      <c r="G32" s="86">
        <f>IFERROR('3j'!G32/'3j'!K32*100,"na")</f>
        <v>313.92900794691178</v>
      </c>
      <c r="H32" s="86">
        <f>IFERROR('3j'!H32/'3j'!L32*100,"na")</f>
        <v>28.892974452565628</v>
      </c>
      <c r="I32" s="87">
        <f>IFERROR('3j'!I32/'3j'!M32*100,"na")</f>
        <v>173.04496014053149</v>
      </c>
      <c r="J32" s="85">
        <f>IFERROR('3j'!J32/'3j'!J32*100, "na")</f>
        <v>100</v>
      </c>
      <c r="K32" s="86">
        <f>IFERROR('3j'!K32/'3j'!K32*100, "na")</f>
        <v>100</v>
      </c>
      <c r="L32" s="86">
        <f>IFERROR('3j'!L32/'3j'!L32*100, "na")</f>
        <v>100</v>
      </c>
      <c r="M32" s="87">
        <f>IFERROR('3j'!M32/'3j'!M32*100, "na")</f>
        <v>100</v>
      </c>
    </row>
    <row r="33" spans="1:13">
      <c r="A33" s="185">
        <v>2008</v>
      </c>
      <c r="B33" s="85" t="str">
        <f>IFERROR('3j'!B33/'3j'!J33*100, "na")</f>
        <v>na</v>
      </c>
      <c r="C33" s="86" t="str">
        <f>IFERROR('3j'!C33/'3j'!K33*100, "na")</f>
        <v>na</v>
      </c>
      <c r="D33" s="86" t="str">
        <f>IFERROR('3j'!D33/'3j'!L33*100, "na")</f>
        <v>na</v>
      </c>
      <c r="E33" s="87" t="str">
        <f>IFERROR('3j'!E33/'3j'!M33*100, "na")</f>
        <v>na</v>
      </c>
      <c r="F33" s="85" t="str">
        <f>IFERROR('3j'!F33/'3j'!J33*100,"na")</f>
        <v>na</v>
      </c>
      <c r="G33" s="86" t="str">
        <f>IFERROR('3j'!G33/'3j'!K33*100,"na")</f>
        <v>na</v>
      </c>
      <c r="H33" s="86" t="str">
        <f>IFERROR('3j'!H33/'3j'!L33*100,"na")</f>
        <v>na</v>
      </c>
      <c r="I33" s="87" t="str">
        <f>IFERROR('3j'!I33/'3j'!M33*100,"na")</f>
        <v>na</v>
      </c>
      <c r="J33" s="85">
        <f>IFERROR('3j'!J33/'3j'!J33*100, "na")</f>
        <v>100</v>
      </c>
      <c r="K33" s="86">
        <f>IFERROR('3j'!K33/'3j'!K33*100, "na")</f>
        <v>100</v>
      </c>
      <c r="L33" s="86">
        <f>IFERROR('3j'!L33/'3j'!L33*100, "na")</f>
        <v>100</v>
      </c>
      <c r="M33" s="87">
        <f>IFERROR('3j'!M33/'3j'!M33*100, "na")</f>
        <v>100</v>
      </c>
    </row>
    <row r="34" spans="1:13">
      <c r="A34" s="57">
        <f>A33+1</f>
        <v>2009</v>
      </c>
      <c r="B34" s="85" t="str">
        <f>IFERROR('3j'!B34/'3j'!J34*100, "na")</f>
        <v>na</v>
      </c>
      <c r="C34" s="86" t="str">
        <f>IFERROR('3j'!C34/'3j'!K34*100, "na")</f>
        <v>na</v>
      </c>
      <c r="D34" s="86" t="str">
        <f>IFERROR('3j'!D34/'3j'!L34*100, "na")</f>
        <v>na</v>
      </c>
      <c r="E34" s="87" t="str">
        <f>IFERROR('3j'!E34/'3j'!M34*100, "na")</f>
        <v>na</v>
      </c>
      <c r="F34" s="85" t="str">
        <f>IFERROR('3j'!F34/'3j'!J34*100,"na")</f>
        <v>na</v>
      </c>
      <c r="G34" s="86" t="str">
        <f>IFERROR('3j'!G34/'3j'!K34*100,"na")</f>
        <v>na</v>
      </c>
      <c r="H34" s="86" t="str">
        <f>IFERROR('3j'!H34/'3j'!L34*100,"na")</f>
        <v>na</v>
      </c>
      <c r="I34" s="87" t="str">
        <f>IFERROR('3j'!I34/'3j'!M34*100,"na")</f>
        <v>na</v>
      </c>
      <c r="J34" s="85">
        <f>IFERROR('3j'!J34/'3j'!J34*100, "na")</f>
        <v>100</v>
      </c>
      <c r="K34" s="86">
        <f>IFERROR('3j'!K34/'3j'!K34*100, "na")</f>
        <v>100</v>
      </c>
      <c r="L34" s="86">
        <f>IFERROR('3j'!L34/'3j'!L34*100, "na")</f>
        <v>100</v>
      </c>
      <c r="M34" s="87">
        <f>IFERROR('3j'!M34/'3j'!M34*100, "na")</f>
        <v>100</v>
      </c>
    </row>
    <row r="35" spans="1:13">
      <c r="A35" s="58">
        <f t="shared" ref="A35" si="0">A34+1</f>
        <v>2010</v>
      </c>
      <c r="B35" s="88" t="str">
        <f>IFERROR('3j'!B35/'3j'!J35*100, "na")</f>
        <v>na</v>
      </c>
      <c r="C35" s="89" t="str">
        <f>IFERROR('3j'!C35/'3j'!K35*100, "na")</f>
        <v>na</v>
      </c>
      <c r="D35" s="89" t="str">
        <f>IFERROR('3j'!D35/'3j'!L35*100, "na")</f>
        <v>na</v>
      </c>
      <c r="E35" s="90" t="str">
        <f>IFERROR('3j'!E35/'3j'!M35*100, "na")</f>
        <v>na</v>
      </c>
      <c r="F35" s="88" t="str">
        <f>IFERROR('3j'!F35/'3j'!J35*100,"na")</f>
        <v>na</v>
      </c>
      <c r="G35" s="89" t="str">
        <f>IFERROR('3j'!G35/'3j'!K35*100,"na")</f>
        <v>na</v>
      </c>
      <c r="H35" s="89" t="str">
        <f>IFERROR('3j'!H35/'3j'!L35*100,"na")</f>
        <v>na</v>
      </c>
      <c r="I35" s="90" t="str">
        <f>IFERROR('3j'!I35/'3j'!M35*100,"na")</f>
        <v>na</v>
      </c>
      <c r="J35" s="88">
        <f>IFERROR('3j'!J35/'3j'!J35*100, "na")</f>
        <v>100</v>
      </c>
      <c r="K35" s="89">
        <f>IFERROR('3j'!K35/'3j'!K35*100, "na")</f>
        <v>100</v>
      </c>
      <c r="L35" s="89">
        <f>IFERROR('3j'!L35/'3j'!L35*100, "na")</f>
        <v>100</v>
      </c>
      <c r="M35" s="90">
        <f>IFERROR('3j'!M35/'3j'!M35*100,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217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45"/>
  <sheetViews>
    <sheetView zoomScaleNormal="100" workbookViewId="0">
      <selection sqref="A1:F2"/>
    </sheetView>
  </sheetViews>
  <sheetFormatPr defaultRowHeight="15"/>
  <cols>
    <col min="1" max="1" width="10" style="1" customWidth="1"/>
    <col min="2" max="2" width="20.42578125" style="1" customWidth="1"/>
    <col min="3" max="3" width="17.140625" style="1" customWidth="1"/>
    <col min="4" max="4" width="14.7109375" style="1" customWidth="1"/>
    <col min="5" max="5" width="19.140625" style="1" customWidth="1"/>
    <col min="6" max="6" width="19" style="1" customWidth="1"/>
    <col min="7" max="7" width="15.28515625" style="1" customWidth="1"/>
    <col min="8" max="16384" width="9.140625" style="1"/>
  </cols>
  <sheetData>
    <row r="1" spans="1:7">
      <c r="A1" s="387" t="s">
        <v>92</v>
      </c>
      <c r="B1" s="387"/>
      <c r="C1" s="387"/>
      <c r="D1" s="387"/>
      <c r="E1" s="387"/>
      <c r="F1" s="387"/>
    </row>
    <row r="2" spans="1:7">
      <c r="A2" s="387"/>
      <c r="B2" s="387"/>
      <c r="C2" s="387"/>
      <c r="D2" s="387"/>
      <c r="E2" s="387"/>
      <c r="F2" s="387"/>
    </row>
    <row r="3" spans="1:7">
      <c r="E3" s="1" t="s">
        <v>76</v>
      </c>
    </row>
    <row r="4" spans="1:7" ht="30">
      <c r="A4" s="62"/>
      <c r="B4" s="3" t="s">
        <v>44</v>
      </c>
      <c r="C4" s="4" t="s">
        <v>45</v>
      </c>
      <c r="D4" s="5" t="s">
        <v>38</v>
      </c>
      <c r="E4" s="3" t="s">
        <v>44</v>
      </c>
      <c r="F4" s="4" t="s">
        <v>45</v>
      </c>
      <c r="G4" s="5" t="s">
        <v>38</v>
      </c>
    </row>
    <row r="5" spans="1:7">
      <c r="A5" s="64">
        <v>1981</v>
      </c>
      <c r="B5" s="116">
        <f>985000/(1000)</f>
        <v>985</v>
      </c>
      <c r="C5" s="116">
        <f>1100900/(1000)</f>
        <v>1100.9000000000001</v>
      </c>
      <c r="D5" s="116">
        <f>58006200/(1000)</f>
        <v>58006.2</v>
      </c>
      <c r="E5" s="236">
        <f>'1c'!B5/'1c'!$D5*100</f>
        <v>1.6980943416393421</v>
      </c>
      <c r="F5" s="214">
        <f>'1c'!C5/'1c'!$D5*100</f>
        <v>1.8979005692494944</v>
      </c>
      <c r="G5" s="84">
        <f>'1c'!D5/'1c'!$D5*100</f>
        <v>100</v>
      </c>
    </row>
    <row r="6" spans="1:7">
      <c r="A6" s="65">
        <v>1982</v>
      </c>
      <c r="B6" s="32">
        <f>407100/(1000)</f>
        <v>407.1</v>
      </c>
      <c r="C6" s="32">
        <f>1160700/(1000)</f>
        <v>1160.7</v>
      </c>
      <c r="D6" s="32">
        <f>54908400/(1000)</f>
        <v>54908.4</v>
      </c>
      <c r="E6" s="216">
        <f>'1c'!B6/'1c'!$D6*100</f>
        <v>0.74141661385143254</v>
      </c>
      <c r="F6" s="143">
        <f>'1c'!C6/'1c'!$D6*100</f>
        <v>2.1138842144371353</v>
      </c>
      <c r="G6" s="87">
        <f>'1c'!D6/'1c'!$D6*100</f>
        <v>100</v>
      </c>
    </row>
    <row r="7" spans="1:7">
      <c r="A7" s="65">
        <v>1983</v>
      </c>
      <c r="B7" s="32">
        <f>697400/(1000)</f>
        <v>697.4</v>
      </c>
      <c r="C7" s="32">
        <f>1261500/(1000)</f>
        <v>1261.5</v>
      </c>
      <c r="D7" s="32">
        <f>51590000/(1000)</f>
        <v>51590</v>
      </c>
      <c r="E7" s="216">
        <f>'1c'!B7/'1c'!$D7*100</f>
        <v>1.3518123667377397</v>
      </c>
      <c r="F7" s="143">
        <f>'1c'!C7/'1c'!$D7*100</f>
        <v>2.445241325838341</v>
      </c>
      <c r="G7" s="87">
        <f>'1c'!D7/'1c'!$D7*100</f>
        <v>100</v>
      </c>
    </row>
    <row r="8" spans="1:7">
      <c r="A8" s="65">
        <v>1984</v>
      </c>
      <c r="B8" s="32">
        <f>869200/(1000)</f>
        <v>869.2</v>
      </c>
      <c r="C8" s="32">
        <f>1275400/(1000)</f>
        <v>1275.4000000000001</v>
      </c>
      <c r="D8" s="32">
        <f>53884900/(1000)</f>
        <v>53884.9</v>
      </c>
      <c r="E8" s="216">
        <f>'1c'!B8/'1c'!$D8*100</f>
        <v>1.6130678538885661</v>
      </c>
      <c r="F8" s="143">
        <f>'1c'!C8/'1c'!$D8*100</f>
        <v>2.3668968486533335</v>
      </c>
      <c r="G8" s="87">
        <f>'1c'!D8/'1c'!$D8*100</f>
        <v>100</v>
      </c>
    </row>
    <row r="9" spans="1:7">
      <c r="A9" s="65">
        <v>1985</v>
      </c>
      <c r="B9" s="32">
        <f>526500/(1000)</f>
        <v>526.5</v>
      </c>
      <c r="C9" s="32">
        <f>1452900/(1000)</f>
        <v>1452.9</v>
      </c>
      <c r="D9" s="32">
        <f>59709500/(1000)</f>
        <v>59709.5</v>
      </c>
      <c r="E9" s="216">
        <f>'1c'!B9/'1c'!$D9*100</f>
        <v>0.88176923270166396</v>
      </c>
      <c r="F9" s="143">
        <f>'1c'!C9/'1c'!$D9*100</f>
        <v>2.4332811361676114</v>
      </c>
      <c r="G9" s="87">
        <f>'1c'!D9/'1c'!$D9*100</f>
        <v>100</v>
      </c>
    </row>
    <row r="10" spans="1:7">
      <c r="A10" s="65">
        <v>1986</v>
      </c>
      <c r="B10" s="32">
        <f>812900/(1000)</f>
        <v>812.9</v>
      </c>
      <c r="C10" s="32">
        <f>988800/(1000)</f>
        <v>988.8</v>
      </c>
      <c r="D10" s="32">
        <f>61919400/(1000)</f>
        <v>61919.4</v>
      </c>
      <c r="E10" s="216">
        <f>'1c'!B10/'1c'!$D10*100</f>
        <v>1.3128357186923645</v>
      </c>
      <c r="F10" s="143">
        <f>'1c'!C10/'1c'!$D10*100</f>
        <v>1.5969146987858409</v>
      </c>
      <c r="G10" s="87">
        <f>'1c'!D10/'1c'!$D10*100</f>
        <v>100</v>
      </c>
    </row>
    <row r="11" spans="1:7">
      <c r="A11" s="65">
        <v>1987</v>
      </c>
      <c r="B11" s="32">
        <f>381200/(1000)</f>
        <v>381.2</v>
      </c>
      <c r="C11" s="32">
        <f>817700/(1000)</f>
        <v>817.7</v>
      </c>
      <c r="D11" s="32">
        <f>68063200/(1000)</f>
        <v>68063.199999999997</v>
      </c>
      <c r="E11" s="216">
        <f>'1c'!B11/'1c'!$D11*100</f>
        <v>0.56006770178304877</v>
      </c>
      <c r="F11" s="143">
        <f>'1c'!C11/'1c'!$D11*100</f>
        <v>1.2013834201154223</v>
      </c>
      <c r="G11" s="87">
        <f>'1c'!D11/'1c'!$D11*100</f>
        <v>100</v>
      </c>
    </row>
    <row r="12" spans="1:7">
      <c r="A12" s="65">
        <v>1988</v>
      </c>
      <c r="B12" s="32">
        <f>1973100/(1000)</f>
        <v>1973.1</v>
      </c>
      <c r="C12" s="32">
        <f>844600/(1000)</f>
        <v>844.6</v>
      </c>
      <c r="D12" s="32">
        <f>79273100/(1000)</f>
        <v>79273.100000000006</v>
      </c>
      <c r="E12" s="216">
        <f>'1c'!B12/'1c'!$D12*100</f>
        <v>2.4889905907552494</v>
      </c>
      <c r="F12" s="143">
        <f>'1c'!C12/'1c'!$D12*100</f>
        <v>1.0654307703369743</v>
      </c>
      <c r="G12" s="87">
        <f>'1c'!D12/'1c'!$D12*100</f>
        <v>100</v>
      </c>
    </row>
    <row r="13" spans="1:7">
      <c r="A13" s="65">
        <v>1989</v>
      </c>
      <c r="B13" s="32">
        <f>1570900/(1000)</f>
        <v>1570.9</v>
      </c>
      <c r="C13" s="32">
        <f>670800/(1000)</f>
        <v>670.8</v>
      </c>
      <c r="D13" s="32">
        <f>85526600/(1000)</f>
        <v>85526.6</v>
      </c>
      <c r="E13" s="216">
        <f>'1c'!B13/'1c'!$D13*100</f>
        <v>1.8367385117612531</v>
      </c>
      <c r="F13" s="143">
        <f>'1c'!C13/'1c'!$D13*100</f>
        <v>0.78431739365296871</v>
      </c>
      <c r="G13" s="87">
        <f>'1c'!D13/'1c'!$D13*100</f>
        <v>100</v>
      </c>
    </row>
    <row r="14" spans="1:7">
      <c r="A14" s="65">
        <v>1990</v>
      </c>
      <c r="B14" s="32">
        <f>1485400/(1000)</f>
        <v>1485.4</v>
      </c>
      <c r="C14" s="32">
        <f>629500/(1000)</f>
        <v>629.5</v>
      </c>
      <c r="D14" s="32">
        <f>85062600/(1000)</f>
        <v>85062.6</v>
      </c>
      <c r="E14" s="216">
        <f>'1c'!B14/'1c'!$D14*100</f>
        <v>1.7462433548939251</v>
      </c>
      <c r="F14" s="143">
        <f>'1c'!C14/'1c'!$D14*100</f>
        <v>0.74004321523207617</v>
      </c>
      <c r="G14" s="87">
        <f>'1c'!D14/'1c'!$D14*100</f>
        <v>100</v>
      </c>
    </row>
    <row r="15" spans="1:7">
      <c r="A15" s="65">
        <v>1991</v>
      </c>
      <c r="B15" s="32">
        <f>2186500/(1000)</f>
        <v>2186.5</v>
      </c>
      <c r="C15" s="32">
        <f>448700/(1000)</f>
        <v>448.7</v>
      </c>
      <c r="D15" s="32">
        <f>79859000/(1000)</f>
        <v>79859</v>
      </c>
      <c r="E15" s="216">
        <f>'1c'!B15/'1c'!$D15*100</f>
        <v>2.7379506379994742</v>
      </c>
      <c r="F15" s="143">
        <f>'1c'!C15/'1c'!$D15*100</f>
        <v>0.56186528756934095</v>
      </c>
      <c r="G15" s="87">
        <f>'1c'!D15/'1c'!$D15*100</f>
        <v>100</v>
      </c>
    </row>
    <row r="16" spans="1:7">
      <c r="A16" s="65">
        <v>1992</v>
      </c>
      <c r="B16" s="32">
        <f>2320900/(1000)</f>
        <v>2320.9</v>
      </c>
      <c r="C16" s="32">
        <f>513000/(1000)</f>
        <v>513</v>
      </c>
      <c r="D16" s="32">
        <f>73093000/(1000)</f>
        <v>73093</v>
      </c>
      <c r="E16" s="216">
        <f>'1c'!B16/'1c'!$D16*100</f>
        <v>3.1752698616830619</v>
      </c>
      <c r="F16" s="143">
        <f>'1c'!C16/'1c'!$D16*100</f>
        <v>0.70184559396932678</v>
      </c>
      <c r="G16" s="87">
        <f>'1c'!D16/'1c'!$D16*100</f>
        <v>100</v>
      </c>
    </row>
    <row r="17" spans="1:7">
      <c r="A17" s="65">
        <v>1993</v>
      </c>
      <c r="B17" s="32">
        <f>659800/(1000)</f>
        <v>659.8</v>
      </c>
      <c r="C17" s="32">
        <f>630000/(1000)</f>
        <v>630</v>
      </c>
      <c r="D17" s="32">
        <f>73370600/(1000)</f>
        <v>73370.600000000006</v>
      </c>
      <c r="E17" s="216">
        <f>'1c'!B17/'1c'!$D17*100</f>
        <v>0.89927027992138531</v>
      </c>
      <c r="F17" s="143">
        <f>'1c'!C17/'1c'!$D17*100</f>
        <v>0.85865455645721855</v>
      </c>
      <c r="G17" s="87">
        <f>'1c'!D17/'1c'!$D17*100</f>
        <v>100</v>
      </c>
    </row>
    <row r="18" spans="1:7">
      <c r="A18" s="65">
        <v>1994</v>
      </c>
      <c r="B18" s="32">
        <f>958200/(1000)</f>
        <v>958.2</v>
      </c>
      <c r="C18" s="32">
        <f>653400/(1000)</f>
        <v>653.4</v>
      </c>
      <c r="D18" s="32">
        <f>82976500/(1000)</f>
        <v>82976.5</v>
      </c>
      <c r="E18" s="216">
        <f>'1c'!B18/'1c'!$D18*100</f>
        <v>1.1547847884642037</v>
      </c>
      <c r="F18" s="143">
        <f>'1c'!C18/'1c'!$D18*100</f>
        <v>0.78745186890264107</v>
      </c>
      <c r="G18" s="87">
        <f>'1c'!D18/'1c'!$D18*100</f>
        <v>100</v>
      </c>
    </row>
    <row r="19" spans="1:7">
      <c r="A19" s="65">
        <v>1995</v>
      </c>
      <c r="B19" s="32">
        <f>852500/(1000)</f>
        <v>852.5</v>
      </c>
      <c r="C19" s="32">
        <f>676500/(1000)</f>
        <v>676.5</v>
      </c>
      <c r="D19" s="32">
        <f>86993700/(1000)</f>
        <v>86993.7</v>
      </c>
      <c r="E19" s="216">
        <f>'1c'!B19/'1c'!$D19*100</f>
        <v>0.97995601980373304</v>
      </c>
      <c r="F19" s="143">
        <f>'1c'!C19/'1c'!$D19*100</f>
        <v>0.77764251894102676</v>
      </c>
      <c r="G19" s="87">
        <f>'1c'!D19/'1c'!$D19*100</f>
        <v>100</v>
      </c>
    </row>
    <row r="20" spans="1:7">
      <c r="A20" s="65">
        <v>1996</v>
      </c>
      <c r="B20" s="32">
        <f>1225200/(1000)</f>
        <v>1225.2</v>
      </c>
      <c r="C20" s="32">
        <f>848500/(1000)</f>
        <v>848.5</v>
      </c>
      <c r="D20" s="32">
        <f>91056700/(1000)</f>
        <v>91056.7</v>
      </c>
      <c r="E20" s="216">
        <f>'1c'!B20/'1c'!$D20*100</f>
        <v>1.3455352544074186</v>
      </c>
      <c r="F20" s="143">
        <f>'1c'!C20/'1c'!$D20*100</f>
        <v>0.93183697630157913</v>
      </c>
      <c r="G20" s="87">
        <f>'1c'!D20/'1c'!$D20*100</f>
        <v>100</v>
      </c>
    </row>
    <row r="21" spans="1:7">
      <c r="A21" s="65">
        <v>1997</v>
      </c>
      <c r="B21" s="32">
        <f>2188400/(1000)</f>
        <v>2188.4</v>
      </c>
      <c r="C21" s="32">
        <f>1269800/(1000)</f>
        <v>1269.8</v>
      </c>
      <c r="D21" s="32">
        <f>111121200/(1000)</f>
        <v>111121.2</v>
      </c>
      <c r="E21" s="216">
        <f>'1c'!B21/'1c'!$D21*100</f>
        <v>1.969381180188839</v>
      </c>
      <c r="F21" s="143">
        <f>'1c'!C21/'1c'!$D21*100</f>
        <v>1.142716241365284</v>
      </c>
      <c r="G21" s="87">
        <f>'1c'!D21/'1c'!$D21*100</f>
        <v>100</v>
      </c>
    </row>
    <row r="22" spans="1:7">
      <c r="A22" s="65">
        <v>1998</v>
      </c>
      <c r="B22" s="32">
        <f>2193700/(1000)</f>
        <v>2193.6999999999998</v>
      </c>
      <c r="C22" s="32">
        <f>1604900/(1000)</f>
        <v>1604.9</v>
      </c>
      <c r="D22" s="32">
        <f>119289200/(1000)</f>
        <v>119289.2</v>
      </c>
      <c r="E22" s="216">
        <f>'1c'!B22/'1c'!$D22*100</f>
        <v>1.8389762023720502</v>
      </c>
      <c r="F22" s="143">
        <f>'1c'!C22/'1c'!$D22*100</f>
        <v>1.3453858354318748</v>
      </c>
      <c r="G22" s="87">
        <f>'1c'!D22/'1c'!$D22*100</f>
        <v>100</v>
      </c>
    </row>
    <row r="23" spans="1:7">
      <c r="A23" s="65">
        <v>1999</v>
      </c>
      <c r="B23" s="32">
        <f>3392300/(1000)</f>
        <v>3392.3</v>
      </c>
      <c r="C23" s="32">
        <f>1375100/(1000)</f>
        <v>1375.1</v>
      </c>
      <c r="D23" s="32">
        <f>125566700/(1000)</f>
        <v>125566.7</v>
      </c>
      <c r="E23" s="216">
        <f>'1c'!B23/'1c'!$D23*100</f>
        <v>2.7015920622266894</v>
      </c>
      <c r="F23" s="143">
        <f>'1c'!C23/'1c'!$D23*100</f>
        <v>1.0951151857936856</v>
      </c>
      <c r="G23" s="87">
        <f>'1c'!D23/'1c'!$D23*100</f>
        <v>100</v>
      </c>
    </row>
    <row r="24" spans="1:7">
      <c r="A24" s="65">
        <v>2000</v>
      </c>
      <c r="B24" s="32">
        <f>2692800/(1000)</f>
        <v>2692.8</v>
      </c>
      <c r="C24" s="32">
        <f>1421300/(1000)</f>
        <v>1421.3</v>
      </c>
      <c r="D24" s="32">
        <f>132890800/(1000)</f>
        <v>132890.79999999999</v>
      </c>
      <c r="E24" s="216">
        <f>'1c'!B24/'1c'!$D24*100</f>
        <v>2.0263253739160278</v>
      </c>
      <c r="F24" s="143">
        <f>'1c'!C24/'1c'!$D24*100</f>
        <v>1.0695247526540588</v>
      </c>
      <c r="G24" s="87">
        <f>'1c'!D24/'1c'!$D24*100</f>
        <v>100</v>
      </c>
    </row>
    <row r="25" spans="1:7">
      <c r="A25" s="65">
        <v>2001</v>
      </c>
      <c r="B25" s="32">
        <f>4034400/(1000)</f>
        <v>4034.4</v>
      </c>
      <c r="C25" s="32">
        <f>1458900/(1000)</f>
        <v>1458.9</v>
      </c>
      <c r="D25" s="32">
        <f>133881500/(1000)</f>
        <v>133881.5</v>
      </c>
      <c r="E25" s="216">
        <f>'1c'!B25/'1c'!$D25*100</f>
        <v>3.0134111135593793</v>
      </c>
      <c r="F25" s="143">
        <f>'1c'!C25/'1c'!$D25*100</f>
        <v>1.0896949914663341</v>
      </c>
      <c r="G25" s="87">
        <f>'1c'!D25/'1c'!$D25*100</f>
        <v>100</v>
      </c>
    </row>
    <row r="26" spans="1:7">
      <c r="A26" s="65">
        <v>2002</v>
      </c>
      <c r="B26" s="32">
        <f>3050800/(1000)</f>
        <v>3050.8</v>
      </c>
      <c r="C26" s="32">
        <f>1124200/(1000)</f>
        <v>1124.2</v>
      </c>
      <c r="D26" s="32">
        <f>130360600/(1000)</f>
        <v>130360.6</v>
      </c>
      <c r="E26" s="216">
        <f>'1c'!B26/'1c'!$D26*100</f>
        <v>2.3402776605814948</v>
      </c>
      <c r="F26" s="143">
        <f>'1c'!C26/'1c'!$D26*100</f>
        <v>0.86237712928599586</v>
      </c>
      <c r="G26" s="87">
        <f>'1c'!D26/'1c'!$D26*100</f>
        <v>100</v>
      </c>
    </row>
    <row r="27" spans="1:7">
      <c r="A27" s="65">
        <v>2003</v>
      </c>
      <c r="B27" s="32">
        <f>1953200/(1000)</f>
        <v>1953.2</v>
      </c>
      <c r="C27" s="32">
        <f>1307900/(1000)</f>
        <v>1307.9000000000001</v>
      </c>
      <c r="D27" s="32">
        <f>134612900/(1000)</f>
        <v>134612.9</v>
      </c>
      <c r="E27" s="216">
        <f>'1c'!B27/'1c'!$D27*100</f>
        <v>1.450975352287931</v>
      </c>
      <c r="F27" s="143">
        <f>'1c'!C27/'1c'!$D27*100</f>
        <v>0.9716007901174406</v>
      </c>
      <c r="G27" s="87">
        <f>'1c'!D27/'1c'!$D27*100</f>
        <v>100</v>
      </c>
    </row>
    <row r="28" spans="1:7">
      <c r="A28" s="65">
        <v>2004</v>
      </c>
      <c r="B28" s="32">
        <f>1815100/(1000)</f>
        <v>1815.1</v>
      </c>
      <c r="C28" s="32">
        <f>1251900/(1000)</f>
        <v>1251.9000000000001</v>
      </c>
      <c r="D28" s="32">
        <f>146511700/(1000)</f>
        <v>146511.70000000001</v>
      </c>
      <c r="E28" s="216">
        <f>'1c'!B28/'1c'!$D28*100</f>
        <v>1.238877168171552</v>
      </c>
      <c r="F28" s="143">
        <f>'1c'!C28/'1c'!$D28*100</f>
        <v>0.85447100811744048</v>
      </c>
      <c r="G28" s="87">
        <f>'1c'!D28/'1c'!$D28*100</f>
        <v>100</v>
      </c>
    </row>
    <row r="29" spans="1:7">
      <c r="A29" s="65">
        <v>2005</v>
      </c>
      <c r="B29" s="32">
        <f>3609500/(1000)</f>
        <v>3609.5</v>
      </c>
      <c r="C29" s="32">
        <f>1443000/(1000)</f>
        <v>1443</v>
      </c>
      <c r="D29" s="32">
        <f>166044400/(1000)</f>
        <v>166044.4</v>
      </c>
      <c r="E29" s="216">
        <f>'1c'!B29/'1c'!$D29*100</f>
        <v>2.1738161600150319</v>
      </c>
      <c r="F29" s="143">
        <f>'1c'!C29/'1c'!$D29*100</f>
        <v>0.8690446651618482</v>
      </c>
      <c r="G29" s="87">
        <f>'1c'!D29/'1c'!$D29*100</f>
        <v>100</v>
      </c>
    </row>
    <row r="30" spans="1:7">
      <c r="A30" s="65">
        <v>2006</v>
      </c>
      <c r="B30" s="32">
        <f>2512800/(1000)</f>
        <v>2512.8000000000002</v>
      </c>
      <c r="C30" s="32">
        <f>1500500/(1000)</f>
        <v>1500.5</v>
      </c>
      <c r="D30" s="32">
        <f>185652000/(1000)</f>
        <v>185652</v>
      </c>
      <c r="E30" s="216">
        <f>'1c'!B30/'1c'!$D30*100</f>
        <v>1.3535000969555944</v>
      </c>
      <c r="F30" s="143">
        <f>'1c'!C30/'1c'!$D30*100</f>
        <v>0.80823260724366031</v>
      </c>
      <c r="G30" s="87">
        <f>'1c'!D30/'1c'!$D30*100</f>
        <v>100</v>
      </c>
    </row>
    <row r="31" spans="1:7">
      <c r="A31" s="65">
        <v>2007</v>
      </c>
      <c r="B31" s="32">
        <f>4431200/(1000)</f>
        <v>4431.2</v>
      </c>
      <c r="C31" s="32">
        <f>1435100/(1000)</f>
        <v>1435.1</v>
      </c>
      <c r="D31" s="32">
        <f>193629500/(1000)</f>
        <v>193629.5</v>
      </c>
      <c r="E31" s="216">
        <f>'1c'!B31/'1c'!$D31*100</f>
        <v>2.2884942635290595</v>
      </c>
      <c r="F31" s="143">
        <f>'1c'!C31/'1c'!$D31*100</f>
        <v>0.7411577264827931</v>
      </c>
      <c r="G31" s="87">
        <f>'1c'!D31/'1c'!$D31*100</f>
        <v>100</v>
      </c>
    </row>
    <row r="32" spans="1:7">
      <c r="A32" s="65">
        <v>2008</v>
      </c>
      <c r="B32" s="32">
        <f>3957500/(1000)</f>
        <v>3957.5</v>
      </c>
      <c r="C32" s="32">
        <f>1397600/(1000)</f>
        <v>1397.6</v>
      </c>
      <c r="D32" s="32">
        <f>207116600/(1000)</f>
        <v>207116.6</v>
      </c>
      <c r="E32" s="216">
        <f>'1c'!B32/'1c'!$D32*100</f>
        <v>1.9107594466112325</v>
      </c>
      <c r="F32" s="143">
        <f>'1c'!C32/'1c'!$D32*100</f>
        <v>0.67478898359667927</v>
      </c>
      <c r="G32" s="87">
        <f>'1c'!D32/'1c'!$D32*100</f>
        <v>100</v>
      </c>
    </row>
    <row r="33" spans="1:7">
      <c r="A33" s="65">
        <v>2009</v>
      </c>
      <c r="B33" s="32">
        <f>2208800/(1000)</f>
        <v>2208.8000000000002</v>
      </c>
      <c r="C33" s="32">
        <f>1467000/(1000)</f>
        <v>1467</v>
      </c>
      <c r="D33" s="32">
        <f>170724800/(1000)</f>
        <v>170724.8</v>
      </c>
      <c r="E33" s="216">
        <f>'1c'!B33/'1c'!$D33*100</f>
        <v>1.293778056849386</v>
      </c>
      <c r="F33" s="143">
        <f>'1c'!C33/'1c'!$D33*100</f>
        <v>0.85927762106032635</v>
      </c>
      <c r="G33" s="87">
        <f>'1c'!D33/'1c'!$D33*100</f>
        <v>100</v>
      </c>
    </row>
    <row r="34" spans="1:7">
      <c r="A34" s="65">
        <v>2010</v>
      </c>
      <c r="B34" s="32">
        <f>1687100/(1000)</f>
        <v>1687.1</v>
      </c>
      <c r="C34" s="32">
        <f>2014300/(1000)</f>
        <v>2014.3</v>
      </c>
      <c r="D34" s="32">
        <f>179702300/(1000)</f>
        <v>179702.3</v>
      </c>
      <c r="E34" s="216">
        <f>'1c'!B34/'1c'!$D34*100</f>
        <v>0.93883049910880378</v>
      </c>
      <c r="F34" s="143">
        <f>'1c'!C34/'1c'!$D34*100</f>
        <v>1.1209094151827774</v>
      </c>
      <c r="G34" s="87">
        <f>'1c'!D34/'1c'!$D34*100</f>
        <v>100</v>
      </c>
    </row>
    <row r="35" spans="1:7">
      <c r="A35" s="66">
        <v>2011</v>
      </c>
      <c r="B35" s="33">
        <f>1736000/(1000)</f>
        <v>1736</v>
      </c>
      <c r="C35" s="33">
        <f>2130200/(1000)</f>
        <v>2130.1999999999998</v>
      </c>
      <c r="D35" s="33">
        <f>192074100/(1000)</f>
        <v>192074.1</v>
      </c>
      <c r="E35" s="234">
        <f>'1c'!B35/'1c'!$D35*100</f>
        <v>0.90381784946538868</v>
      </c>
      <c r="F35" s="215">
        <f>'1c'!C35/'1c'!$D35*100</f>
        <v>1.1090511422414577</v>
      </c>
      <c r="G35" s="90">
        <f>'1c'!D35/'1c'!$D35*100</f>
        <v>100</v>
      </c>
    </row>
    <row r="37" spans="1:7">
      <c r="A37" s="384" t="s">
        <v>52</v>
      </c>
      <c r="B37" s="382"/>
      <c r="C37" s="382"/>
      <c r="D37" s="383"/>
      <c r="E37" s="389" t="s">
        <v>77</v>
      </c>
      <c r="F37" s="390"/>
    </row>
    <row r="38" spans="1:7">
      <c r="A38" s="15" t="s">
        <v>53</v>
      </c>
      <c r="B38" s="84">
        <f>(POWER(B14/B5,1/($A14-$A5))-1)*100</f>
        <v>4.6701920481664772</v>
      </c>
      <c r="C38" s="84">
        <f t="shared" ref="C38:D38" si="0">(POWER(C14/C5,1/($A14-$A5))-1)*100</f>
        <v>-6.0217096035670608</v>
      </c>
      <c r="D38" s="84">
        <f t="shared" si="0"/>
        <v>4.3455191543464</v>
      </c>
      <c r="E38" s="82">
        <f>E14-E5</f>
        <v>4.8149013254582984E-2</v>
      </c>
      <c r="F38" s="84">
        <f>F14-F5</f>
        <v>-1.1578573540174182</v>
      </c>
    </row>
    <row r="39" spans="1:7">
      <c r="A39" s="16" t="s">
        <v>71</v>
      </c>
      <c r="B39" s="38">
        <f>(POWER(B$24/B14,1/($A$24-$A$14))-1)*100</f>
        <v>6.1294877153873273</v>
      </c>
      <c r="C39" s="38">
        <f>(POWER(C$24/C14,1/($A$24-$A$14))-1)*100</f>
        <v>8.4848273504704697</v>
      </c>
      <c r="D39" s="38">
        <f>(POWER(D$24/D14,1/($A$24-$A$14))-1)*100</f>
        <v>4.5624200592301989</v>
      </c>
      <c r="E39" s="85">
        <f>E24-E14</f>
        <v>0.28008201902210272</v>
      </c>
      <c r="F39" s="87">
        <f>F24-F14</f>
        <v>0.32948153742198261</v>
      </c>
    </row>
    <row r="40" spans="1:7">
      <c r="A40" s="16" t="s">
        <v>69</v>
      </c>
      <c r="B40" s="38">
        <f>(POWER(B$34/B24,1/($A$34-$A$24))-1)*100</f>
        <v>-4.5680775455318567</v>
      </c>
      <c r="C40" s="38">
        <f t="shared" ref="C40:D40" si="1">(POWER(C$34/C24,1/($A$34-$A$24))-1)*100</f>
        <v>3.5485065733659171</v>
      </c>
      <c r="D40" s="38">
        <f t="shared" si="1"/>
        <v>3.0637337805082154</v>
      </c>
      <c r="E40" s="85">
        <f>E34-E24</f>
        <v>-1.087494874807224</v>
      </c>
      <c r="F40" s="87">
        <f>F34-F24</f>
        <v>5.138466252871865E-2</v>
      </c>
    </row>
    <row r="41" spans="1:7">
      <c r="A41" s="17" t="s">
        <v>70</v>
      </c>
      <c r="B41" s="41">
        <f>(POWER(B35/B5,1/($A$35-$A$5))-1)*100</f>
        <v>1.9069451524692527</v>
      </c>
      <c r="C41" s="41">
        <f t="shared" ref="C41:D41" si="2">(POWER(C35/C5,1/($A$35-$A$5))-1)*100</f>
        <v>2.2246777772702675</v>
      </c>
      <c r="D41" s="41">
        <f t="shared" si="2"/>
        <v>4.0718192421936417</v>
      </c>
      <c r="E41" s="88">
        <f>E34-E5</f>
        <v>-0.75926384253053836</v>
      </c>
      <c r="F41" s="90">
        <f>F34-F5</f>
        <v>-0.77699115406671693</v>
      </c>
    </row>
    <row r="43" spans="1:7">
      <c r="A43" s="1" t="s">
        <v>46</v>
      </c>
    </row>
    <row r="45" spans="1:7">
      <c r="A45" s="1" t="s">
        <v>98</v>
      </c>
    </row>
  </sheetData>
  <mergeCells count="3">
    <mergeCell ref="A37:D37"/>
    <mergeCell ref="A1:F2"/>
    <mergeCell ref="E37:F37"/>
  </mergeCells>
  <pageMargins left="0.7" right="0.7" top="0.75" bottom="0.75" header="0.3" footer="0.3"/>
  <pageSetup scale="77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M30"/>
  <sheetViews>
    <sheetView view="pageBreakPreview" zoomScale="60" zoomScaleNormal="100" workbookViewId="0">
      <selection activeCell="A30" sqref="A30"/>
    </sheetView>
  </sheetViews>
  <sheetFormatPr defaultRowHeight="15"/>
  <cols>
    <col min="1" max="1" width="10.28515625" customWidth="1"/>
    <col min="2" max="2" width="12" customWidth="1"/>
    <col min="4" max="4" width="19.7109375" customWidth="1"/>
    <col min="6" max="6" width="12.5703125" customWidth="1"/>
    <col min="8" max="8" width="18.7109375" customWidth="1"/>
    <col min="10" max="10" width="11.28515625" customWidth="1"/>
    <col min="12" max="12" width="17" customWidth="1"/>
  </cols>
  <sheetData>
    <row r="1" spans="1:13">
      <c r="A1" s="2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112">
        <f>IFERROR('1n'!$B5*'3h'!B17, "na")</f>
        <v>748.90068493150704</v>
      </c>
      <c r="C5" s="113">
        <f>IFERROR('1n'!$B5*'3h'!C17, "na")</f>
        <v>2947.2945205479455</v>
      </c>
      <c r="D5" s="113">
        <f>IFERROR('1n'!$B5*'3h'!D17, "na")</f>
        <v>385.84246575342462</v>
      </c>
      <c r="E5" s="97">
        <f>IFERROR('1n'!$B5*'3h'!E17, "na")</f>
        <v>4082.0376712328775</v>
      </c>
      <c r="F5" s="112">
        <f>IFERROR('1n'!$B5*'3h'!F17, "na")</f>
        <v>339.66132505383348</v>
      </c>
      <c r="G5" s="113">
        <f>IFERROR('1n'!$B5*'3h'!G17, "na")</f>
        <v>436.46191596975319</v>
      </c>
      <c r="H5" s="113">
        <f>IFERROR('1n'!$B5*'3h'!H17, "na")</f>
        <v>210.16165055836549</v>
      </c>
      <c r="I5" s="97">
        <f>IFERROR('1n'!$B5*'3h'!I17, "na")</f>
        <v>986.28489158195225</v>
      </c>
      <c r="J5" s="112" t="str">
        <f>IFERROR('1n'!$B5*'3h'!J17, "na")</f>
        <v>na</v>
      </c>
      <c r="K5" s="113" t="str">
        <f>IFERROR('1n'!$B5*'3h'!K17, "na")</f>
        <v>na</v>
      </c>
      <c r="L5" s="113" t="str">
        <f>IFERROR('1n'!$B5*'3h'!L17, "na")</f>
        <v>na</v>
      </c>
      <c r="M5" s="97" t="str">
        <f>IFERROR('1n'!$B5*'3h'!M17, "na")</f>
        <v>na</v>
      </c>
    </row>
    <row r="6" spans="1:13">
      <c r="A6" s="65">
        <v>1993</v>
      </c>
      <c r="B6" s="112">
        <f>IFERROR('1n'!$B6*'3h'!B18, "na")</f>
        <v>1535.2748317988671</v>
      </c>
      <c r="C6" s="113">
        <f>IFERROR('1n'!$B6*'3h'!C18, "na")</f>
        <v>2998.1670281515585</v>
      </c>
      <c r="D6" s="113">
        <f>IFERROR('1n'!$B6*'3h'!D18, "na")</f>
        <v>337.00402797450425</v>
      </c>
      <c r="E6" s="97">
        <f>IFERROR('1n'!$B6*'3h'!E18, "na")</f>
        <v>4870.4458879249296</v>
      </c>
      <c r="F6" s="112">
        <f>IFERROR('1n'!$B6*'3h'!F18, "na")</f>
        <v>271.85825945548976</v>
      </c>
      <c r="G6" s="113">
        <f>IFERROR('1n'!$B6*'3h'!G18, "na")</f>
        <v>502.78807113256062</v>
      </c>
      <c r="H6" s="113">
        <f>IFERROR('1n'!$B6*'3h'!H18, "na")</f>
        <v>185.92650684572212</v>
      </c>
      <c r="I6" s="97">
        <f>IFERROR('1n'!$B6*'3h'!I18, "na")</f>
        <v>960.57283743377241</v>
      </c>
      <c r="J6" s="112" t="str">
        <f>IFERROR('1n'!$B6*'3h'!J18, "na")</f>
        <v>na</v>
      </c>
      <c r="K6" s="113" t="str">
        <f>IFERROR('1n'!$B6*'3h'!K18, "na")</f>
        <v>na</v>
      </c>
      <c r="L6" s="113" t="str">
        <f>IFERROR('1n'!$B6*'3h'!L18, "na")</f>
        <v>na</v>
      </c>
      <c r="M6" s="97" t="str">
        <f>IFERROR('1n'!$B6*'3h'!M18, "na")</f>
        <v>na</v>
      </c>
    </row>
    <row r="7" spans="1:13">
      <c r="A7" s="65">
        <v>1994</v>
      </c>
      <c r="B7" s="112">
        <f>IFERROR('1n'!$B7*'3h'!B19, "na")</f>
        <v>825.01286817271955</v>
      </c>
      <c r="C7" s="113">
        <f>IFERROR('1n'!$B7*'3h'!C19, "na")</f>
        <v>2581.0208750357451</v>
      </c>
      <c r="D7" s="113">
        <f>IFERROR('1n'!$B7*'3h'!D19, "na")</f>
        <v>292.72862453531599</v>
      </c>
      <c r="E7" s="97">
        <f>IFERROR('1n'!$B7*'3h'!E19, "na")</f>
        <v>3698.76236774378</v>
      </c>
      <c r="F7" s="112">
        <f>IFERROR('1n'!$B7*'3h'!F19, "na")</f>
        <v>290.60316535232306</v>
      </c>
      <c r="G7" s="113">
        <f>IFERROR('1n'!$B7*'3h'!G19, "na")</f>
        <v>550.52740087784809</v>
      </c>
      <c r="H7" s="113">
        <f>IFERROR('1n'!$B7*'3h'!H19, "na")</f>
        <v>153.50829584570275</v>
      </c>
      <c r="I7" s="97">
        <f>IFERROR('1n'!$B7*'3h'!I19, "na")</f>
        <v>994.63886207587382</v>
      </c>
      <c r="J7" s="112" t="str">
        <f>IFERROR('1n'!$B7*'3h'!J19, "na")</f>
        <v>na</v>
      </c>
      <c r="K7" s="113" t="str">
        <f>IFERROR('1n'!$B7*'3h'!K19, "na")</f>
        <v>na</v>
      </c>
      <c r="L7" s="113" t="str">
        <f>IFERROR('1n'!$B7*'3h'!L19, "na")</f>
        <v>na</v>
      </c>
      <c r="M7" s="97" t="str">
        <f>IFERROR('1n'!$B7*'3h'!M19, "na")</f>
        <v>na</v>
      </c>
    </row>
    <row r="8" spans="1:13">
      <c r="A8" s="65">
        <v>1995</v>
      </c>
      <c r="B8" s="112">
        <f>IFERROR('1n'!$B8*'3h'!B20, "na")</f>
        <v>518.4625302175665</v>
      </c>
      <c r="C8" s="113">
        <f>IFERROR('1n'!$B8*'3h'!C20, "na")</f>
        <v>2201.0204756296621</v>
      </c>
      <c r="D8" s="113">
        <f>IFERROR('1n'!$B8*'3h'!D20, "na")</f>
        <v>214.56875142048392</v>
      </c>
      <c r="E8" s="97">
        <f>IFERROR('1n'!$B8*'3h'!E20, "na")</f>
        <v>2934.0517572677122</v>
      </c>
      <c r="F8" s="112">
        <f>IFERROR('1n'!$B8*'3h'!F20, "na")</f>
        <v>503.97654424999041</v>
      </c>
      <c r="G8" s="113">
        <f>IFERROR('1n'!$B8*'3h'!G20, "na")</f>
        <v>667.44636770956993</v>
      </c>
      <c r="H8" s="113">
        <f>IFERROR('1n'!$B8*'3h'!H20, "na")</f>
        <v>128.34168804809863</v>
      </c>
      <c r="I8" s="97">
        <f>IFERROR('1n'!$B8*'3h'!I20, "na")</f>
        <v>1299.7646000076591</v>
      </c>
      <c r="J8" s="112" t="str">
        <f>IFERROR('1n'!$B8*'3h'!J20, "na")</f>
        <v>na</v>
      </c>
      <c r="K8" s="113" t="str">
        <f>IFERROR('1n'!$B8*'3h'!K20, "na")</f>
        <v>na</v>
      </c>
      <c r="L8" s="113" t="str">
        <f>IFERROR('1n'!$B8*'3h'!L20, "na")</f>
        <v>na</v>
      </c>
      <c r="M8" s="97" t="str">
        <f>IFERROR('1n'!$B8*'3h'!M20, "na")</f>
        <v>na</v>
      </c>
    </row>
    <row r="9" spans="1:13">
      <c r="A9" s="65">
        <v>1996</v>
      </c>
      <c r="B9" s="112">
        <f>IFERROR('1n'!$B9*'3h'!B21, "na")</f>
        <v>493.47042530558167</v>
      </c>
      <c r="C9" s="113">
        <f>IFERROR('1n'!$B9*'3h'!C21, "na")</f>
        <v>2174.1484655681111</v>
      </c>
      <c r="D9" s="113">
        <f>IFERROR('1n'!$B9*'3h'!D21, "na")</f>
        <v>233.28420608955705</v>
      </c>
      <c r="E9" s="97">
        <f>IFERROR('1n'!$B9*'3h'!E21, "na")</f>
        <v>2900.9030969632504</v>
      </c>
      <c r="F9" s="112">
        <f>IFERROR('1n'!$B9*'3h'!F21, "na")</f>
        <v>854.81884132431821</v>
      </c>
      <c r="G9" s="113">
        <f>IFERROR('1n'!$B9*'3h'!G21, "na")</f>
        <v>942.60634209498767</v>
      </c>
      <c r="H9" s="113">
        <f>IFERROR('1n'!$B9*'3h'!H21, "na")</f>
        <v>120.58042705357693</v>
      </c>
      <c r="I9" s="97">
        <f>IFERROR('1n'!$B9*'3h'!I21, "na")</f>
        <v>1918.0056104728831</v>
      </c>
      <c r="J9" s="112" t="str">
        <f>IFERROR('1n'!$B9*'3h'!J21, "na")</f>
        <v>na</v>
      </c>
      <c r="K9" s="113" t="str">
        <f>IFERROR('1n'!$B9*'3h'!K21, "na")</f>
        <v>na</v>
      </c>
      <c r="L9" s="113" t="str">
        <f>IFERROR('1n'!$B9*'3h'!L21, "na")</f>
        <v>na</v>
      </c>
      <c r="M9" s="97" t="str">
        <f>IFERROR('1n'!$B9*'3h'!M21, "na")</f>
        <v>na</v>
      </c>
    </row>
    <row r="10" spans="1:13">
      <c r="A10" s="65">
        <v>1997</v>
      </c>
      <c r="B10" s="112">
        <f>IFERROR('1n'!$B10*'3h'!B22, "na")</f>
        <v>1243.8555599667955</v>
      </c>
      <c r="C10" s="113">
        <f>IFERROR('1n'!$B10*'3h'!C22, "na")</f>
        <v>2659.4569422889517</v>
      </c>
      <c r="D10" s="113">
        <f>IFERROR('1n'!$B10*'3h'!D22, "na")</f>
        <v>471.9616161980727</v>
      </c>
      <c r="E10" s="97">
        <f>IFERROR('1n'!$B10*'3h'!E22, "na")</f>
        <v>4375.2741184538208</v>
      </c>
      <c r="F10" s="112">
        <f>IFERROR('1n'!$B10*'3h'!F22, "na")</f>
        <v>1459.2685090782882</v>
      </c>
      <c r="G10" s="113">
        <f>IFERROR('1n'!$B10*'3h'!G22, "na")</f>
        <v>1751.2818933165579</v>
      </c>
      <c r="H10" s="113">
        <f>IFERROR('1n'!$B10*'3h'!H22, "na")</f>
        <v>127.19640339269834</v>
      </c>
      <c r="I10" s="97">
        <f>IFERROR('1n'!$B10*'3h'!I22, "na")</f>
        <v>3337.7468057875449</v>
      </c>
      <c r="J10" s="112">
        <f>IFERROR('1n'!$B10*'3h'!J22, "na")</f>
        <v>594.5023252492615</v>
      </c>
      <c r="K10" s="113">
        <f>IFERROR('1n'!$B10*'3h'!K22, "na")</f>
        <v>1138.0131392203941</v>
      </c>
      <c r="L10" s="113">
        <f>IFERROR('1n'!$B10*'3h'!L22, "na")</f>
        <v>1237.1506993599987</v>
      </c>
      <c r="M10" s="97">
        <f>IFERROR('1n'!$B10*'3h'!M22, "na")</f>
        <v>2969.6661638296546</v>
      </c>
    </row>
    <row r="11" spans="1:13">
      <c r="A11" s="65">
        <v>1998</v>
      </c>
      <c r="B11" s="112">
        <f>IFERROR('1n'!$B11*'3h'!B23, "na")</f>
        <v>1731.9606407474282</v>
      </c>
      <c r="C11" s="113">
        <f>IFERROR('1n'!$B11*'3h'!C23, "na")</f>
        <v>2952.5187271191216</v>
      </c>
      <c r="D11" s="113">
        <f>IFERROR('1n'!$B11*'3h'!D23, "na")</f>
        <v>396.02448357546353</v>
      </c>
      <c r="E11" s="97">
        <f>IFERROR('1n'!$B11*'3h'!E23, "na")</f>
        <v>5080.5038514420139</v>
      </c>
      <c r="F11" s="112">
        <f>IFERROR('1n'!$B11*'3h'!F23, "na")</f>
        <v>3096.5924055005071</v>
      </c>
      <c r="G11" s="113">
        <f>IFERROR('1n'!$B11*'3h'!G23, "na")</f>
        <v>2570.937288172182</v>
      </c>
      <c r="H11" s="113">
        <f>IFERROR('1n'!$B11*'3h'!H23, "na")</f>
        <v>210.22179047125616</v>
      </c>
      <c r="I11" s="97">
        <f>IFERROR('1n'!$B11*'3h'!I23, "na")</f>
        <v>5877.7514841439443</v>
      </c>
      <c r="J11" s="112">
        <f>IFERROR('1n'!$B11*'3h'!J23, "na")</f>
        <v>686.67001411744695</v>
      </c>
      <c r="K11" s="113">
        <f>IFERROR('1n'!$B11*'3h'!K23, "na")</f>
        <v>1195.803563950125</v>
      </c>
      <c r="L11" s="113">
        <f>IFERROR('1n'!$B11*'3h'!L23, "na")</f>
        <v>1212.9785035506268</v>
      </c>
      <c r="M11" s="97">
        <f>IFERROR('1n'!$B11*'3h'!M23, "na")</f>
        <v>3095.4520816181985</v>
      </c>
    </row>
    <row r="12" spans="1:13">
      <c r="A12" s="65">
        <v>1999</v>
      </c>
      <c r="B12" s="112">
        <f>IFERROR('1n'!$B12*'3h'!B24, "na")</f>
        <v>1740.2221794871793</v>
      </c>
      <c r="C12" s="113">
        <f>IFERROR('1n'!$B12*'3h'!C24, "na")</f>
        <v>4001.6423717948719</v>
      </c>
      <c r="D12" s="113">
        <f>IFERROR('1n'!$B12*'3h'!D24, "na")</f>
        <v>380.19608974358971</v>
      </c>
      <c r="E12" s="97">
        <f>IFERROR('1n'!$B12*'3h'!E24, "na")</f>
        <v>6122.0606410256405</v>
      </c>
      <c r="F12" s="112">
        <f>IFERROR('1n'!$B12*'3h'!F24, "na")</f>
        <v>1818.1532105503486</v>
      </c>
      <c r="G12" s="113">
        <f>IFERROR('1n'!$B12*'3h'!G24, "na")</f>
        <v>2455.8283937463307</v>
      </c>
      <c r="H12" s="113">
        <f>IFERROR('1n'!$B12*'3h'!H24, "na")</f>
        <v>177.32892648241972</v>
      </c>
      <c r="I12" s="97">
        <f>IFERROR('1n'!$B12*'3h'!I24, "na")</f>
        <v>4451.3105307790993</v>
      </c>
      <c r="J12" s="112">
        <f>IFERROR('1n'!$B12*'3h'!J24, "na")</f>
        <v>754.28748408294632</v>
      </c>
      <c r="K12" s="113">
        <f>IFERROR('1n'!$B12*'3h'!K24, "na")</f>
        <v>1302.6723817972024</v>
      </c>
      <c r="L12" s="113">
        <f>IFERROR('1n'!$B12*'3h'!L24, "na")</f>
        <v>1250.0949763127308</v>
      </c>
      <c r="M12" s="97">
        <f>IFERROR('1n'!$B12*'3h'!M24, "na")</f>
        <v>3307.0548421928793</v>
      </c>
    </row>
    <row r="13" spans="1:13">
      <c r="A13" s="65">
        <v>2000</v>
      </c>
      <c r="B13" s="112">
        <f>IFERROR('1n'!$B13*'3h'!B25, "na")</f>
        <v>1105.4201526668899</v>
      </c>
      <c r="C13" s="113">
        <f>IFERROR('1n'!$B13*'3h'!C25, "na")</f>
        <v>5159.5889945976951</v>
      </c>
      <c r="D13" s="113">
        <f>IFERROR('1n'!$B13*'3h'!D25, "na")</f>
        <v>316.46188905356087</v>
      </c>
      <c r="E13" s="97">
        <f>IFERROR('1n'!$B13*'3h'!E25, "na")</f>
        <v>6581.4710363181475</v>
      </c>
      <c r="F13" s="112">
        <f>IFERROR('1n'!$B13*'3h'!F25, "na")</f>
        <v>1535.8368693812797</v>
      </c>
      <c r="G13" s="113">
        <f>IFERROR('1n'!$B13*'3h'!G25, "na")</f>
        <v>3053.3386991010047</v>
      </c>
      <c r="H13" s="113">
        <f>IFERROR('1n'!$B13*'3h'!H25, "na")</f>
        <v>324.7193019566368</v>
      </c>
      <c r="I13" s="97">
        <f>IFERROR('1n'!$B13*'3h'!I25, "na")</f>
        <v>4913.8948704389222</v>
      </c>
      <c r="J13" s="112">
        <f>IFERROR('1n'!$B13*'3h'!J25, "na")</f>
        <v>842.15694038832351</v>
      </c>
      <c r="K13" s="113">
        <f>IFERROR('1n'!$B13*'3h'!K25, "na")</f>
        <v>1419.8965198447756</v>
      </c>
      <c r="L13" s="113">
        <f>IFERROR('1n'!$B13*'3h'!L25, "na")</f>
        <v>1342.3337569435071</v>
      </c>
      <c r="M13" s="97">
        <f>IFERROR('1n'!$B13*'3h'!M25, "na")</f>
        <v>3604.3872171766061</v>
      </c>
    </row>
    <row r="14" spans="1:13">
      <c r="A14" s="65">
        <v>2001</v>
      </c>
      <c r="B14" s="112">
        <f>IFERROR('1n'!$B14*'3h'!B26, "na")</f>
        <v>630.76765085511454</v>
      </c>
      <c r="C14" s="113">
        <f>IFERROR('1n'!$B14*'3h'!C26, "na")</f>
        <v>5277.7574056147141</v>
      </c>
      <c r="D14" s="113">
        <f>IFERROR('1n'!$B14*'3h'!D26, "na")</f>
        <v>248.46973217166831</v>
      </c>
      <c r="E14" s="97">
        <f>IFERROR('1n'!$B14*'3h'!E26, "na")</f>
        <v>6156.9947886414966</v>
      </c>
      <c r="F14" s="112">
        <f>IFERROR('1n'!$B14*'3h'!F26, "na")</f>
        <v>823.6717838436316</v>
      </c>
      <c r="G14" s="113">
        <f>IFERROR('1n'!$B14*'3h'!G26, "na")</f>
        <v>3070.6483839373163</v>
      </c>
      <c r="H14" s="113">
        <f>IFERROR('1n'!$B14*'3h'!H26, "na")</f>
        <v>263.37488821700799</v>
      </c>
      <c r="I14" s="97">
        <f>IFERROR('1n'!$B14*'3h'!I26, "na")</f>
        <v>4157.6950559979559</v>
      </c>
      <c r="J14" s="112">
        <f>IFERROR('1n'!$B14*'3h'!J26, "na")</f>
        <v>828.90689672145083</v>
      </c>
      <c r="K14" s="113">
        <f>IFERROR('1n'!$B14*'3h'!K26, "na")</f>
        <v>1528.9100289507478</v>
      </c>
      <c r="L14" s="113">
        <f>IFERROR('1n'!$B14*'3h'!L26, "na")</f>
        <v>1460.4269675993253</v>
      </c>
      <c r="M14" s="97">
        <f>IFERROR('1n'!$B14*'3h'!M26, "na")</f>
        <v>3818.243893271524</v>
      </c>
    </row>
    <row r="15" spans="1:13">
      <c r="A15" s="65">
        <v>2002</v>
      </c>
      <c r="B15" s="112">
        <f>IFERROR('1n'!$B15*'3h'!B27, "na")</f>
        <v>736.84538410757114</v>
      </c>
      <c r="C15" s="113">
        <f>IFERROR('1n'!$B15*'3h'!C27, "na")</f>
        <v>5017.8992738264833</v>
      </c>
      <c r="D15" s="113">
        <f>IFERROR('1n'!$B15*'3h'!D27, "na")</f>
        <v>247.69559779020875</v>
      </c>
      <c r="E15" s="97">
        <f>IFERROR('1n'!$B15*'3h'!E27, "na")</f>
        <v>6002.440255724262</v>
      </c>
      <c r="F15" s="112">
        <f>IFERROR('1n'!$B15*'3h'!F27, "na")</f>
        <v>482.78308391862174</v>
      </c>
      <c r="G15" s="113">
        <f>IFERROR('1n'!$B15*'3h'!G27, "na")</f>
        <v>2834.9252609781615</v>
      </c>
      <c r="H15" s="113">
        <f>IFERROR('1n'!$B15*'3h'!H27, "na")</f>
        <v>241.31827594304369</v>
      </c>
      <c r="I15" s="97">
        <f>IFERROR('1n'!$B15*'3h'!I27, "na")</f>
        <v>3559.026620839827</v>
      </c>
      <c r="J15" s="112">
        <f>IFERROR('1n'!$B15*'3h'!J27, "na")</f>
        <v>826.68798059171593</v>
      </c>
      <c r="K15" s="113">
        <f>IFERROR('1n'!$B15*'3h'!K27, "na")</f>
        <v>1528.0198756855518</v>
      </c>
      <c r="L15" s="113">
        <f>IFERROR('1n'!$B15*'3h'!L27, "na")</f>
        <v>1462.3843271109868</v>
      </c>
      <c r="M15" s="97">
        <f>IFERROR('1n'!$B15*'3h'!M27, "na")</f>
        <v>3817.0921833882544</v>
      </c>
    </row>
    <row r="16" spans="1:13">
      <c r="A16" s="65">
        <v>2003</v>
      </c>
      <c r="B16" s="112">
        <f>IFERROR('1n'!$B16*'3h'!B28, "na")</f>
        <v>1130.152813595186</v>
      </c>
      <c r="C16" s="113">
        <f>IFERROR('1n'!$B16*'3h'!C28, "na")</f>
        <v>4299.8502611915619</v>
      </c>
      <c r="D16" s="113">
        <f>IFERROR('1n'!$B16*'3h'!D28, "na")</f>
        <v>312.46131719896846</v>
      </c>
      <c r="E16" s="97">
        <f>IFERROR('1n'!$B16*'3h'!E28, "na")</f>
        <v>5742.4643919857172</v>
      </c>
      <c r="F16" s="112">
        <f>IFERROR('1n'!$B16*'3h'!F28, "na")</f>
        <v>511.415553602812</v>
      </c>
      <c r="G16" s="113">
        <f>IFERROR('1n'!$B16*'3h'!G28, "na")</f>
        <v>2794.5499121265384</v>
      </c>
      <c r="H16" s="113">
        <f>IFERROR('1n'!$B16*'3h'!H28, "na")</f>
        <v>229.75492091388389</v>
      </c>
      <c r="I16" s="97">
        <f>IFERROR('1n'!$B16*'3h'!I28, "na")</f>
        <v>3535.7203866432342</v>
      </c>
      <c r="J16" s="112">
        <f>IFERROR('1n'!$B16*'3h'!J28, "na")</f>
        <v>864.01085482529425</v>
      </c>
      <c r="K16" s="113">
        <f>IFERROR('1n'!$B16*'3h'!K28, "na")</f>
        <v>1562.2036418906371</v>
      </c>
      <c r="L16" s="113">
        <f>IFERROR('1n'!$B16*'3h'!L28, "na")</f>
        <v>1350.3772504334281</v>
      </c>
      <c r="M16" s="97">
        <f>IFERROR('1n'!$B16*'3h'!M28, "na")</f>
        <v>3776.5917471493594</v>
      </c>
    </row>
    <row r="17" spans="1:13">
      <c r="A17" s="65">
        <v>2004</v>
      </c>
      <c r="B17" s="112">
        <f>IFERROR('1n'!$B17*'3h'!B29, "na")</f>
        <v>1420.9861481891905</v>
      </c>
      <c r="C17" s="113">
        <f>IFERROR('1n'!$B17*'3h'!C29, "na")</f>
        <v>4486.2835171846409</v>
      </c>
      <c r="D17" s="113">
        <f>IFERROR('1n'!$B17*'3h'!D29, "na")</f>
        <v>379.5124162595074</v>
      </c>
      <c r="E17" s="97">
        <f>IFERROR('1n'!$B17*'3h'!E29, "na")</f>
        <v>6286.7820816333397</v>
      </c>
      <c r="F17" s="112">
        <f>IFERROR('1n'!$B17*'3h'!F29, "na")</f>
        <v>544.48721756414056</v>
      </c>
      <c r="G17" s="113">
        <f>IFERROR('1n'!$B17*'3h'!G29, "na")</f>
        <v>3836.4908272600583</v>
      </c>
      <c r="H17" s="113">
        <f>IFERROR('1n'!$B17*'3h'!H29, "na")</f>
        <v>240.18934911242604</v>
      </c>
      <c r="I17" s="97">
        <f>IFERROR('1n'!$B17*'3h'!I29, "na")</f>
        <v>4621.1673939366256</v>
      </c>
      <c r="J17" s="112">
        <f>IFERROR('1n'!$B17*'3h'!J29, "na")</f>
        <v>930.47070880349418</v>
      </c>
      <c r="K17" s="113">
        <f>IFERROR('1n'!$B17*'3h'!K29, "na")</f>
        <v>1684.4399884409636</v>
      </c>
      <c r="L17" s="113">
        <f>IFERROR('1n'!$B17*'3h'!L29, "na")</f>
        <v>1275.2137616922184</v>
      </c>
      <c r="M17" s="97">
        <f>IFERROR('1n'!$B17*'3h'!M29, "na")</f>
        <v>3890.1244589366765</v>
      </c>
    </row>
    <row r="18" spans="1:13">
      <c r="A18" s="65">
        <v>2005</v>
      </c>
      <c r="B18" s="112">
        <f>IFERROR('1n'!$B18*'3h'!B30, "na")</f>
        <v>1795.8079146434116</v>
      </c>
      <c r="C18" s="113">
        <f>IFERROR('1n'!$B18*'3h'!C30, "na")</f>
        <v>5334.9506986423548</v>
      </c>
      <c r="D18" s="113">
        <f>IFERROR('1n'!$B18*'3h'!D30, "na")</f>
        <v>423.65034849535897</v>
      </c>
      <c r="E18" s="97">
        <f>IFERROR('1n'!$B18*'3h'!E30, "na")</f>
        <v>7554.4089617811233</v>
      </c>
      <c r="F18" s="112">
        <f>IFERROR('1n'!$B18*'3h'!F30, "na")</f>
        <v>707.380253071026</v>
      </c>
      <c r="G18" s="113">
        <f>IFERROR('1n'!$B18*'3h'!G30, "na")</f>
        <v>5131.0448185092828</v>
      </c>
      <c r="H18" s="113">
        <f>IFERROR('1n'!$B18*'3h'!H30, "na")</f>
        <v>323.47887226378498</v>
      </c>
      <c r="I18" s="97">
        <f>IFERROR('1n'!$B18*'3h'!I30, "na")</f>
        <v>6161.9039438440932</v>
      </c>
      <c r="J18" s="112">
        <f>IFERROR('1n'!$B18*'3h'!J30, "na")</f>
        <v>1006.93495709769</v>
      </c>
      <c r="K18" s="113">
        <f>IFERROR('1n'!$B18*'3h'!K30, "na")</f>
        <v>1852.0102132702225</v>
      </c>
      <c r="L18" s="113">
        <f>IFERROR('1n'!$B18*'3h'!L30, "na")</f>
        <v>1240.7181030857089</v>
      </c>
      <c r="M18" s="97">
        <f>IFERROR('1n'!$B18*'3h'!M30, "na")</f>
        <v>4099.6632734536215</v>
      </c>
    </row>
    <row r="19" spans="1:13">
      <c r="A19" s="65">
        <v>2006</v>
      </c>
      <c r="B19" s="112">
        <f>IFERROR('1n'!$B19*'3h'!B31, "na")</f>
        <v>1750.8821942004809</v>
      </c>
      <c r="C19" s="113">
        <f>IFERROR('1n'!$B19*'3h'!C31, "na")</f>
        <v>5358.0697708650214</v>
      </c>
      <c r="D19" s="113">
        <f>IFERROR('1n'!$B19*'3h'!D31, "na")</f>
        <v>494.49438202247194</v>
      </c>
      <c r="E19" s="97">
        <f>IFERROR('1n'!$B19*'3h'!E31, "na")</f>
        <v>7603.4463470879728</v>
      </c>
      <c r="F19" s="112">
        <f>IFERROR('1n'!$B19*'3h'!F31, "na")</f>
        <v>798.15537424618651</v>
      </c>
      <c r="G19" s="113">
        <f>IFERROR('1n'!$B19*'3h'!G31, "na")</f>
        <v>5652.1042923022342</v>
      </c>
      <c r="H19" s="113">
        <f>IFERROR('1n'!$B19*'3h'!H31, "na")</f>
        <v>368.13054274565451</v>
      </c>
      <c r="I19" s="97">
        <f>IFERROR('1n'!$B19*'3h'!I31, "na")</f>
        <v>6818.3902092940752</v>
      </c>
      <c r="J19" s="112">
        <f>IFERROR('1n'!$B19*'3h'!J31, "na")</f>
        <v>1116.4175970946974</v>
      </c>
      <c r="K19" s="113">
        <f>IFERROR('1n'!$B19*'3h'!K31, "na")</f>
        <v>1960.9722758876385</v>
      </c>
      <c r="L19" s="113">
        <f>IFERROR('1n'!$B19*'3h'!L31, "na")</f>
        <v>1211.9790142785989</v>
      </c>
      <c r="M19" s="97">
        <f>IFERROR('1n'!$B19*'3h'!M31, "na")</f>
        <v>4289.3688872609355</v>
      </c>
    </row>
    <row r="20" spans="1:13">
      <c r="A20" s="65">
        <v>2007</v>
      </c>
      <c r="B20" s="112">
        <f>IFERROR('1n'!$B20*'3h'!B32, "na")</f>
        <v>2368.2193582325094</v>
      </c>
      <c r="C20" s="113">
        <f>IFERROR('1n'!$B20*'3h'!C32, "na")</f>
        <v>4996.5610205155172</v>
      </c>
      <c r="D20" s="113">
        <f>IFERROR('1n'!$B20*'3h'!D32, "na")</f>
        <v>778.16280904786947</v>
      </c>
      <c r="E20" s="97">
        <f>IFERROR('1n'!$B20*'3h'!E32, "na")</f>
        <v>8142.9431877958987</v>
      </c>
      <c r="F20" s="112">
        <f>IFERROR('1n'!$B20*'3h'!F32, "na")</f>
        <v>618.27616152844109</v>
      </c>
      <c r="G20" s="113">
        <f>IFERROR('1n'!$B20*'3h'!G32, "na")</f>
        <v>6843.0438558402102</v>
      </c>
      <c r="H20" s="113">
        <f>IFERROR('1n'!$B20*'3h'!H32, "na")</f>
        <v>332.12331741207129</v>
      </c>
      <c r="I20" s="97">
        <f>IFERROR('1n'!$B20*'3h'!I32, "na")</f>
        <v>7793.4433347807208</v>
      </c>
      <c r="J20" s="112">
        <f>IFERROR('1n'!$B20*'3h'!J32, "na")</f>
        <v>1153.002105174166</v>
      </c>
      <c r="K20" s="113">
        <f>IFERROR('1n'!$B20*'3h'!K32, "na")</f>
        <v>2140.0733403760892</v>
      </c>
      <c r="L20" s="113">
        <f>IFERROR('1n'!$B20*'3h'!L32, "na")</f>
        <v>1128.5424374615325</v>
      </c>
      <c r="M20" s="97">
        <f>IFERROR('1n'!$B20*'3h'!M32, "na")</f>
        <v>4421.6178830117879</v>
      </c>
    </row>
    <row r="21" spans="1:13">
      <c r="A21" s="65">
        <v>2008</v>
      </c>
      <c r="B21" s="112">
        <f>IFERROR('1n'!$B21*'3h'!B33, "na")</f>
        <v>1864.4862414530241</v>
      </c>
      <c r="C21" s="113">
        <f>IFERROR('1n'!$B21*'3h'!C33, "na")</f>
        <v>5270.9156900498792</v>
      </c>
      <c r="D21" s="113">
        <f>IFERROR('1n'!$B21*'3h'!D33, "na")</f>
        <v>701.78529086250546</v>
      </c>
      <c r="E21" s="97">
        <f>IFERROR('1n'!$B21*'3h'!E33, "na")</f>
        <v>7837.1872223654054</v>
      </c>
      <c r="F21" s="112">
        <f>IFERROR('1n'!$B21*'3h'!F33, "na")</f>
        <v>514.46234936150847</v>
      </c>
      <c r="G21" s="113">
        <f>IFERROR('1n'!$B21*'3h'!G33, "na")</f>
        <v>7524.3236301780125</v>
      </c>
      <c r="H21" s="113">
        <f>IFERROR('1n'!$B21*'3h'!H33, "na")</f>
        <v>334.69896260092474</v>
      </c>
      <c r="I21" s="97">
        <f>IFERROR('1n'!$B21*'3h'!I33, "na")</f>
        <v>8373.4849421404451</v>
      </c>
      <c r="J21" s="112">
        <f>IFERROR('1n'!$B21*'3h'!J33, "na")</f>
        <v>1169.5004933101236</v>
      </c>
      <c r="K21" s="113">
        <f>IFERROR('1n'!$B21*'3h'!K33, "na")</f>
        <v>2273.1274852502615</v>
      </c>
      <c r="L21" s="113">
        <f>IFERROR('1n'!$B21*'3h'!L33, "na")</f>
        <v>1127.3295250344524</v>
      </c>
      <c r="M21" s="97">
        <f>IFERROR('1n'!$B21*'3h'!M33, "na")</f>
        <v>4569.9575035948383</v>
      </c>
    </row>
    <row r="22" spans="1:13">
      <c r="A22" s="20">
        <f>A21+1</f>
        <v>2009</v>
      </c>
      <c r="B22" s="112">
        <f>IFERROR('1n'!$B22*'3h'!B34, "na")</f>
        <v>1734.8065056663677</v>
      </c>
      <c r="C22" s="113">
        <f>IFERROR('1n'!$B22*'3h'!C34, "na")</f>
        <v>4980.6343980127285</v>
      </c>
      <c r="D22" s="113">
        <f>IFERROR('1n'!$B22*'3h'!D34, "na")</f>
        <v>688.63660282509977</v>
      </c>
      <c r="E22" s="97">
        <f>IFERROR('1n'!$B22*'3h'!E34, "na")</f>
        <v>7404.0775065041953</v>
      </c>
      <c r="F22" s="112">
        <f>IFERROR('1n'!$B22*'3h'!F34, "na")</f>
        <v>632.38748205725426</v>
      </c>
      <c r="G22" s="113">
        <f>IFERROR('1n'!$B22*'3h'!G34, "na")</f>
        <v>8719.9184519134415</v>
      </c>
      <c r="H22" s="113">
        <f>IFERROR('1n'!$B22*'3h'!H34, "na")</f>
        <v>329.88920185250379</v>
      </c>
      <c r="I22" s="97">
        <f>IFERROR('1n'!$B22*'3h'!I34, "na")</f>
        <v>9682.1951358231981</v>
      </c>
      <c r="J22" s="112">
        <f>IFERROR('1n'!$B22*'3h'!J34, "na")</f>
        <v>1156.9563334196637</v>
      </c>
      <c r="K22" s="113">
        <f>IFERROR('1n'!$B22*'3h'!K34, "na")</f>
        <v>2334.7631597570739</v>
      </c>
      <c r="L22" s="113">
        <f>IFERROR('1n'!$B22*'3h'!L34, "na")</f>
        <v>1154.0040512366202</v>
      </c>
      <c r="M22" s="97">
        <f>IFERROR('1n'!$B22*'3h'!M34, "na")</f>
        <v>4645.7235444133576</v>
      </c>
    </row>
    <row r="23" spans="1:13">
      <c r="A23" s="21">
        <f t="shared" ref="A23" si="0">A22+1</f>
        <v>2010</v>
      </c>
      <c r="B23" s="114">
        <f>IFERROR('1n'!$B23*'3h'!B35, "na")</f>
        <v>1645.3736768823078</v>
      </c>
      <c r="C23" s="115">
        <f>IFERROR('1n'!$B23*'3h'!C35, "na")</f>
        <v>4840.8564669950447</v>
      </c>
      <c r="D23" s="115">
        <f>IFERROR('1n'!$B23*'3h'!D35, "na")</f>
        <v>733.61841809770476</v>
      </c>
      <c r="E23" s="98">
        <f>IFERROR('1n'!$B23*'3h'!E35, "na")</f>
        <v>7219.8485619750563</v>
      </c>
      <c r="F23" s="114">
        <f>IFERROR('1n'!$B23*'3h'!F35, "na")</f>
        <v>857.31104350820806</v>
      </c>
      <c r="G23" s="115">
        <f>IFERROR('1n'!$B23*'3h'!G35, "na")</f>
        <v>10185.14722764321</v>
      </c>
      <c r="H23" s="115">
        <f>IFERROR('1n'!$B23*'3h'!H35, "na")</f>
        <v>359.9623751578464</v>
      </c>
      <c r="I23" s="98">
        <f>IFERROR('1n'!$B23*'3h'!I35, "na")</f>
        <v>11402.420646309265</v>
      </c>
      <c r="J23" s="114">
        <f>IFERROR('1n'!$B23*'3h'!J35, "na")</f>
        <v>1128.7733752530569</v>
      </c>
      <c r="K23" s="115">
        <f>IFERROR('1n'!$B23*'3h'!K35, "na")</f>
        <v>2456.3690312950325</v>
      </c>
      <c r="L23" s="115">
        <f>IFERROR('1n'!$B23*'3h'!L35, "na")</f>
        <v>1147.4050532083211</v>
      </c>
      <c r="M23" s="98">
        <f>IFERROR('1n'!$B23*'3h'!M35, "na")</f>
        <v>4732.5474597564098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4.9875723993201726</v>
      </c>
      <c r="C26" s="86">
        <f t="shared" ref="C26:M26" si="1">IFERROR((POWER(C$13/C5,1/($A$13-$A5))-1)*100,"na")</f>
        <v>7.2504063667591989</v>
      </c>
      <c r="D26" s="86">
        <f t="shared" si="1"/>
        <v>-2.4473831178486671</v>
      </c>
      <c r="E26" s="87">
        <f t="shared" si="1"/>
        <v>6.1526268714285681</v>
      </c>
      <c r="F26" s="85">
        <f t="shared" si="1"/>
        <v>20.757016269284769</v>
      </c>
      <c r="G26" s="86">
        <f t="shared" si="1"/>
        <v>27.5274214189579</v>
      </c>
      <c r="H26" s="86">
        <f t="shared" si="1"/>
        <v>5.5891586232113211</v>
      </c>
      <c r="I26" s="87">
        <f t="shared" si="1"/>
        <v>22.230034697930058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>
        <f>IFERROR((POWER(B$23/B13,1/($A$23-$A$13))-1)*100,"na")</f>
        <v>4.0575788383397482</v>
      </c>
      <c r="C27" s="86">
        <f t="shared" ref="C27:M27" si="2">IFERROR((POWER(C$23/C13,1/($A$23-$A$13))-1)*100,"na")</f>
        <v>-0.63562394037247616</v>
      </c>
      <c r="D27" s="86">
        <f t="shared" si="2"/>
        <v>8.7714407259210869</v>
      </c>
      <c r="E27" s="87">
        <f t="shared" si="2"/>
        <v>0.93005534155707892</v>
      </c>
      <c r="F27" s="85">
        <f t="shared" si="2"/>
        <v>-5.6635926307247564</v>
      </c>
      <c r="G27" s="86">
        <f t="shared" si="2"/>
        <v>12.80263195692195</v>
      </c>
      <c r="H27" s="86">
        <f t="shared" si="2"/>
        <v>1.0357106312983477</v>
      </c>
      <c r="I27" s="87">
        <f t="shared" si="2"/>
        <v>8.782020174371663</v>
      </c>
      <c r="J27" s="85">
        <f t="shared" si="2"/>
        <v>2.9725274276097613</v>
      </c>
      <c r="K27" s="86">
        <f t="shared" si="2"/>
        <v>5.6339918538354405</v>
      </c>
      <c r="L27" s="86">
        <f t="shared" si="2"/>
        <v>-1.5568221765434931</v>
      </c>
      <c r="M27" s="87">
        <f t="shared" si="2"/>
        <v>2.7605343026984475</v>
      </c>
    </row>
    <row r="28" spans="1:13">
      <c r="A28" s="29" t="s">
        <v>126</v>
      </c>
      <c r="B28" s="39">
        <f>IFERROR((POWER(B23/B5,1/($A$23-$A5))-1)*100, "na")</f>
        <v>4.4698879110603773</v>
      </c>
      <c r="C28" s="89">
        <f t="shared" ref="C28:M28" si="3">IFERROR((POWER(C23/C5,1/($A$23-$A5))-1)*100, "na")</f>
        <v>2.795037259054145</v>
      </c>
      <c r="D28" s="89">
        <f t="shared" si="3"/>
        <v>3.6342585377528547</v>
      </c>
      <c r="E28" s="90">
        <f t="shared" si="3"/>
        <v>3.2187019807507156</v>
      </c>
      <c r="F28" s="88">
        <f t="shared" si="3"/>
        <v>5.2782027122939112</v>
      </c>
      <c r="G28" s="89">
        <f t="shared" si="3"/>
        <v>19.124520147651847</v>
      </c>
      <c r="H28" s="89">
        <f t="shared" si="3"/>
        <v>3.0347058191694032</v>
      </c>
      <c r="I28" s="90">
        <f t="shared" si="3"/>
        <v>14.565870648018088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63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M30"/>
  <sheetViews>
    <sheetView zoomScaleNormal="100" workbookViewId="0">
      <selection activeCell="B15" sqref="B15"/>
    </sheetView>
  </sheetViews>
  <sheetFormatPr defaultRowHeight="15"/>
  <cols>
    <col min="1" max="2" width="11.140625" customWidth="1"/>
    <col min="4" max="4" width="19.140625" customWidth="1"/>
    <col min="6" max="6" width="10.140625" customWidth="1"/>
    <col min="8" max="8" width="18.42578125" customWidth="1"/>
    <col min="10" max="10" width="11" customWidth="1"/>
    <col min="12" max="12" width="17.7109375" customWidth="1"/>
  </cols>
  <sheetData>
    <row r="1" spans="1:13">
      <c r="A1" s="2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292">
        <f>IFERROR('1n'!$B5*'3j'!B17,"na")</f>
        <v>0.36126269610122624</v>
      </c>
      <c r="C5" s="293">
        <f>IFERROR('1n'!$B5*'3j'!C17,"na")</f>
        <v>1.4217473506449012</v>
      </c>
      <c r="D5" s="293">
        <f>IFERROR('1n'!$B5*'3j'!D17,"na")</f>
        <v>0.18612680192858366</v>
      </c>
      <c r="E5" s="294">
        <f>IFERROR('1n'!$B5*'3j'!E17,"na")</f>
        <v>1.9691368486747109</v>
      </c>
      <c r="F5" s="292">
        <f>IFERROR('1n'!$B5*'3j'!F17,"na")</f>
        <v>0.15760177305074399</v>
      </c>
      <c r="G5" s="293">
        <f>IFERROR('1n'!$B5*'3j'!G17,"na")</f>
        <v>0.20251693893926773</v>
      </c>
      <c r="H5" s="293">
        <f>IFERROR('1n'!$B5*'3j'!H17,"na")</f>
        <v>9.7514336523358225E-2</v>
      </c>
      <c r="I5" s="294">
        <f>IFERROR('1n'!$B5*'3j'!I17,"na")</f>
        <v>0.45763304851336989</v>
      </c>
      <c r="J5" s="292" t="str">
        <f>IFERROR('1n'!$B5*'3j'!J17,"na")</f>
        <v>na</v>
      </c>
      <c r="K5" s="293" t="str">
        <f>IFERROR('1n'!$B5*'3j'!K17,"na")</f>
        <v>na</v>
      </c>
      <c r="L5" s="293" t="str">
        <f>IFERROR('1n'!$B5*'3j'!L17,"na")</f>
        <v>na</v>
      </c>
      <c r="M5" s="294" t="str">
        <f>IFERROR('1n'!$B5*'3j'!M17,"na")</f>
        <v>na</v>
      </c>
    </row>
    <row r="6" spans="1:13">
      <c r="A6" s="65">
        <v>1993</v>
      </c>
      <c r="B6" s="292">
        <f>IFERROR('1n'!$B6*'3j'!B18,"na")</f>
        <v>0.70876406905176426</v>
      </c>
      <c r="C6" s="293">
        <f>IFERROR('1n'!$B6*'3j'!C18,"na")</f>
        <v>1.3841124849807509</v>
      </c>
      <c r="D6" s="293">
        <f>IFERROR('1n'!$B6*'3j'!D18,"na")</f>
        <v>0.15557888477477255</v>
      </c>
      <c r="E6" s="294">
        <f>IFERROR('1n'!$B6*'3j'!E18,"na")</f>
        <v>2.2484554388072873</v>
      </c>
      <c r="F6" s="292">
        <f>IFERROR('1n'!$B6*'3j'!F18,"na")</f>
        <v>0.12775020377844684</v>
      </c>
      <c r="G6" s="293">
        <f>IFERROR('1n'!$B6*'3j'!G18,"na")</f>
        <v>0.2362675265898006</v>
      </c>
      <c r="H6" s="293">
        <f>IFERROR('1n'!$B6*'3j'!H18,"na")</f>
        <v>8.7369606444657716E-2</v>
      </c>
      <c r="I6" s="294">
        <f>IFERROR('1n'!$B6*'3j'!I18,"na")</f>
        <v>0.4513873368129051</v>
      </c>
      <c r="J6" s="292" t="str">
        <f>IFERROR('1n'!$B6*'3j'!J18,"na")</f>
        <v>na</v>
      </c>
      <c r="K6" s="293" t="str">
        <f>IFERROR('1n'!$B6*'3j'!K18,"na")</f>
        <v>na</v>
      </c>
      <c r="L6" s="293" t="str">
        <f>IFERROR('1n'!$B6*'3j'!L18,"na")</f>
        <v>na</v>
      </c>
      <c r="M6" s="294" t="str">
        <f>IFERROR('1n'!$B6*'3j'!M18,"na")</f>
        <v>na</v>
      </c>
    </row>
    <row r="7" spans="1:13">
      <c r="A7" s="65">
        <v>1994</v>
      </c>
      <c r="B7" s="292">
        <f>IFERROR('1n'!$B7*'3j'!B19,"na")</f>
        <v>0.34436261637622345</v>
      </c>
      <c r="C7" s="293">
        <f>IFERROR('1n'!$B7*'3j'!C19,"na")</f>
        <v>1.0773251372642636</v>
      </c>
      <c r="D7" s="293">
        <f>IFERROR('1n'!$B7*'3j'!D19,"na")</f>
        <v>0.12218572451659106</v>
      </c>
      <c r="E7" s="294">
        <f>IFERROR('1n'!$B7*'3j'!E19,"na")</f>
        <v>1.5438734781570778</v>
      </c>
      <c r="F7" s="292">
        <f>IFERROR('1n'!$B7*'3j'!F19,"na")</f>
        <v>0.12001290675844804</v>
      </c>
      <c r="G7" s="293">
        <f>IFERROR('1n'!$B7*'3j'!G19,"na")</f>
        <v>0.2273560700876095</v>
      </c>
      <c r="H7" s="293">
        <f>IFERROR('1n'!$B7*'3j'!H19,"na")</f>
        <v>6.3395650813516891E-2</v>
      </c>
      <c r="I7" s="294">
        <f>IFERROR('1n'!$B7*'3j'!I19,"na")</f>
        <v>0.41076462765957444</v>
      </c>
      <c r="J7" s="292" t="str">
        <f>IFERROR('1n'!$B7*'3j'!J19,"na")</f>
        <v>na</v>
      </c>
      <c r="K7" s="293" t="str">
        <f>IFERROR('1n'!$B7*'3j'!K19,"na")</f>
        <v>na</v>
      </c>
      <c r="L7" s="293" t="str">
        <f>IFERROR('1n'!$B7*'3j'!L19,"na")</f>
        <v>na</v>
      </c>
      <c r="M7" s="294" t="str">
        <f>IFERROR('1n'!$B7*'3j'!M19,"na")</f>
        <v>na</v>
      </c>
    </row>
    <row r="8" spans="1:13">
      <c r="A8" s="65">
        <v>1995</v>
      </c>
      <c r="B8" s="292">
        <f>IFERROR('1n'!$B8*'3j'!B20,"na")</f>
        <v>0.26458986731001205</v>
      </c>
      <c r="C8" s="293">
        <f>IFERROR('1n'!$B8*'3j'!C20,"na")</f>
        <v>1.1232590238470819</v>
      </c>
      <c r="D8" s="293">
        <f>IFERROR('1n'!$B8*'3j'!D20,"na")</f>
        <v>0.10950206458198017</v>
      </c>
      <c r="E8" s="294">
        <f>IFERROR('1n'!$B8*'3j'!E20,"na")</f>
        <v>1.4973509557390741</v>
      </c>
      <c r="F8" s="292">
        <f>IFERROR('1n'!$B8*'3j'!F20,"na")</f>
        <v>0.22652356403945126</v>
      </c>
      <c r="G8" s="293">
        <f>IFERROR('1n'!$B8*'3j'!G20,"na")</f>
        <v>0.29999874348073052</v>
      </c>
      <c r="H8" s="293">
        <f>IFERROR('1n'!$B8*'3j'!H20,"na")</f>
        <v>5.768605091484931E-2</v>
      </c>
      <c r="I8" s="294">
        <f>IFERROR('1n'!$B8*'3j'!I20,"na")</f>
        <v>0.58420835843503105</v>
      </c>
      <c r="J8" s="292" t="str">
        <f>IFERROR('1n'!$B8*'3j'!J20,"na")</f>
        <v>na</v>
      </c>
      <c r="K8" s="293" t="str">
        <f>IFERROR('1n'!$B8*'3j'!K20,"na")</f>
        <v>na</v>
      </c>
      <c r="L8" s="293" t="str">
        <f>IFERROR('1n'!$B8*'3j'!L20,"na")</f>
        <v>na</v>
      </c>
      <c r="M8" s="294" t="str">
        <f>IFERROR('1n'!$B8*'3j'!M20,"na")</f>
        <v>na</v>
      </c>
    </row>
    <row r="9" spans="1:13">
      <c r="A9" s="65">
        <v>1996</v>
      </c>
      <c r="B9" s="292">
        <f>IFERROR('1n'!$B9*'3j'!B21,"na")</f>
        <v>0.23087606628929444</v>
      </c>
      <c r="C9" s="293">
        <f>IFERROR('1n'!$B9*'3j'!C21,"na")</f>
        <v>1.0172014765594777</v>
      </c>
      <c r="D9" s="293">
        <f>IFERROR('1n'!$B9*'3j'!D21,"na")</f>
        <v>0.10914481814391479</v>
      </c>
      <c r="E9" s="294">
        <f>IFERROR('1n'!$B9*'3j'!E21,"na")</f>
        <v>1.3572223609926868</v>
      </c>
      <c r="F9" s="292">
        <f>IFERROR('1n'!$B9*'3j'!F21,"na")</f>
        <v>0.40064950201313843</v>
      </c>
      <c r="G9" s="293">
        <f>IFERROR('1n'!$B9*'3j'!G21,"na")</f>
        <v>0.4417950837041747</v>
      </c>
      <c r="H9" s="293">
        <f>IFERROR('1n'!$B9*'3j'!H21,"na")</f>
        <v>5.6515469379105746E-2</v>
      </c>
      <c r="I9" s="294">
        <f>IFERROR('1n'!$B9*'3j'!I21,"na")</f>
        <v>0.89896005509641885</v>
      </c>
      <c r="J9" s="292" t="str">
        <f>IFERROR('1n'!$B9*'3j'!J21,"na")</f>
        <v>na</v>
      </c>
      <c r="K9" s="293" t="str">
        <f>IFERROR('1n'!$B9*'3j'!K21,"na")</f>
        <v>na</v>
      </c>
      <c r="L9" s="293" t="str">
        <f>IFERROR('1n'!$B9*'3j'!L21,"na")</f>
        <v>na</v>
      </c>
      <c r="M9" s="294" t="str">
        <f>IFERROR('1n'!$B9*'3j'!M21,"na")</f>
        <v>na</v>
      </c>
    </row>
    <row r="10" spans="1:13">
      <c r="A10" s="65">
        <v>1997</v>
      </c>
      <c r="B10" s="292">
        <f>IFERROR('1n'!$B10*'3j'!B22,"na")</f>
        <v>0.63119974358974362</v>
      </c>
      <c r="C10" s="293">
        <f>IFERROR('1n'!$B10*'3j'!C22,"na")</f>
        <v>1.349552628205128</v>
      </c>
      <c r="D10" s="293">
        <f>IFERROR('1n'!$B10*'3j'!D22,"na")</f>
        <v>0.23949891025641026</v>
      </c>
      <c r="E10" s="294">
        <f>IFERROR('1n'!$B10*'3j'!E22,"na")</f>
        <v>2.2202512820512821</v>
      </c>
      <c r="F10" s="292">
        <f>IFERROR('1n'!$B10*'3j'!F22,"na")</f>
        <v>0.72304359275309971</v>
      </c>
      <c r="G10" s="293">
        <f>IFERROR('1n'!$B10*'3j'!G22,"na")</f>
        <v>0.86773143132298058</v>
      </c>
      <c r="H10" s="293">
        <f>IFERROR('1n'!$B10*'3j'!H22,"na")</f>
        <v>6.3023729986758148E-2</v>
      </c>
      <c r="I10" s="294">
        <f>IFERROR('1n'!$B10*'3j'!I22,"na")</f>
        <v>1.6537987540628385</v>
      </c>
      <c r="J10" s="292">
        <f>IFERROR('1n'!$B10*'3j'!J22,"na")</f>
        <v>0.32621218687343839</v>
      </c>
      <c r="K10" s="293">
        <f>IFERROR('1n'!$B10*'3j'!K22,"na")</f>
        <v>0.62444458006138426</v>
      </c>
      <c r="L10" s="293">
        <f>IFERROR('1n'!$B10*'3j'!L22,"na")</f>
        <v>0.67884282027159359</v>
      </c>
      <c r="M10" s="294">
        <f>IFERROR('1n'!$B10*'3j'!M22,"na")</f>
        <v>1.629499587206416</v>
      </c>
    </row>
    <row r="11" spans="1:13">
      <c r="A11" s="65">
        <v>1998</v>
      </c>
      <c r="B11" s="292">
        <f>IFERROR('1n'!$B11*'3j'!B23,"na")</f>
        <v>0.8867209566618609</v>
      </c>
      <c r="C11" s="293">
        <f>IFERROR('1n'!$B11*'3j'!C23,"na")</f>
        <v>1.5116164701891273</v>
      </c>
      <c r="D11" s="293">
        <f>IFERROR('1n'!$B11*'3j'!D23,"na")</f>
        <v>0.20275472818251214</v>
      </c>
      <c r="E11" s="294">
        <f>IFERROR('1n'!$B11*'3j'!E23,"na")</f>
        <v>2.6010921550335007</v>
      </c>
      <c r="F11" s="292">
        <f>IFERROR('1n'!$B11*'3j'!F23,"na")</f>
        <v>1.3182298980289515</v>
      </c>
      <c r="G11" s="293">
        <f>IFERROR('1n'!$B11*'3j'!G23,"na")</f>
        <v>1.0944567303097361</v>
      </c>
      <c r="H11" s="293">
        <f>IFERROR('1n'!$B11*'3j'!H23,"na")</f>
        <v>8.9492129775987181E-2</v>
      </c>
      <c r="I11" s="294">
        <f>IFERROR('1n'!$B11*'3j'!I23,"na")</f>
        <v>2.5021787581146748</v>
      </c>
      <c r="J11" s="292">
        <f>IFERROR('1n'!$B11*'3j'!J23,"na")</f>
        <v>0.37745396466489362</v>
      </c>
      <c r="K11" s="293">
        <f>IFERROR('1n'!$B11*'3j'!K23,"na")</f>
        <v>0.65731834344550877</v>
      </c>
      <c r="L11" s="293">
        <f>IFERROR('1n'!$B11*'3j'!L23,"na")</f>
        <v>0.66675919408964457</v>
      </c>
      <c r="M11" s="294">
        <f>IFERROR('1n'!$B11*'3j'!M23,"na")</f>
        <v>1.701531502200047</v>
      </c>
    </row>
    <row r="12" spans="1:13">
      <c r="A12" s="65">
        <v>1999</v>
      </c>
      <c r="B12" s="292">
        <f>IFERROR('1n'!$B12*'3j'!B24,"na")</f>
        <v>0.88362316057403434</v>
      </c>
      <c r="C12" s="293">
        <f>IFERROR('1n'!$B12*'3j'!C24,"na")</f>
        <v>2.031892204186454</v>
      </c>
      <c r="D12" s="293">
        <f>IFERROR('1n'!$B12*'3j'!D24,"na")</f>
        <v>0.19305010269212866</v>
      </c>
      <c r="E12" s="294">
        <f>IFERROR('1n'!$B12*'3j'!E24,"na")</f>
        <v>3.1085654674526166</v>
      </c>
      <c r="F12" s="292">
        <f>IFERROR('1n'!$B12*'3j'!F24,"na")</f>
        <v>0.84064287552681516</v>
      </c>
      <c r="G12" s="293">
        <f>IFERROR('1n'!$B12*'3j'!G24,"na")</f>
        <v>1.1354789193449795</v>
      </c>
      <c r="H12" s="293">
        <f>IFERROR('1n'!$B12*'3j'!H24,"na")</f>
        <v>8.1989954315863992E-2</v>
      </c>
      <c r="I12" s="294">
        <f>IFERROR('1n'!$B12*'3j'!I24,"na")</f>
        <v>2.0581117491876588</v>
      </c>
      <c r="J12" s="292">
        <f>IFERROR('1n'!$B12*'3j'!J24,"na")</f>
        <v>0.41554653784553486</v>
      </c>
      <c r="K12" s="293">
        <f>IFERROR('1n'!$B12*'3j'!K24,"na")</f>
        <v>0.71765873042551664</v>
      </c>
      <c r="L12" s="293">
        <f>IFERROR('1n'!$B12*'3j'!L24,"na")</f>
        <v>0.6886931711672506</v>
      </c>
      <c r="M12" s="294">
        <f>IFERROR('1n'!$B12*'3j'!M24,"na")</f>
        <v>1.821898439438302</v>
      </c>
    </row>
    <row r="13" spans="1:13">
      <c r="A13" s="65">
        <v>2000</v>
      </c>
      <c r="B13" s="292">
        <f>IFERROR('1n'!$B13*'3j'!B25,"na")</f>
        <v>0.57709961896204598</v>
      </c>
      <c r="C13" s="293">
        <f>IFERROR('1n'!$B13*'3j'!C25,"na")</f>
        <v>2.6936335795936706</v>
      </c>
      <c r="D13" s="293">
        <f>IFERROR('1n'!$B13*'3j'!D25,"na")</f>
        <v>0.16521323150135606</v>
      </c>
      <c r="E13" s="294">
        <f>IFERROR('1n'!$B13*'3j'!E25,"na")</f>
        <v>3.4359464300570726</v>
      </c>
      <c r="F13" s="292">
        <f>IFERROR('1n'!$B13*'3j'!F25,"na")</f>
        <v>0.82610487607292704</v>
      </c>
      <c r="G13" s="293">
        <f>IFERROR('1n'!$B13*'3j'!G25,"na")</f>
        <v>1.6423475942765076</v>
      </c>
      <c r="H13" s="293">
        <f>IFERROR('1n'!$B13*'3j'!H25,"na")</f>
        <v>0.17466190846781901</v>
      </c>
      <c r="I13" s="294">
        <f>IFERROR('1n'!$B13*'3j'!I25,"na")</f>
        <v>2.6431143788172542</v>
      </c>
      <c r="J13" s="292">
        <f>IFERROR('1n'!$B13*'3j'!J25,"na")</f>
        <v>0.464681735381127</v>
      </c>
      <c r="K13" s="293">
        <f>IFERROR('1n'!$B13*'3j'!K25,"na")</f>
        <v>0.78346439631413067</v>
      </c>
      <c r="L13" s="293">
        <f>IFERROR('1n'!$B13*'3j'!L25,"na")</f>
        <v>0.74066714851219817</v>
      </c>
      <c r="M13" s="294">
        <f>IFERROR('1n'!$B13*'3j'!M25,"na")</f>
        <v>1.9888132802074563</v>
      </c>
    </row>
    <row r="14" spans="1:13">
      <c r="A14" s="65">
        <v>2001</v>
      </c>
      <c r="B14" s="292">
        <f>IFERROR('1n'!$B14*'3j'!B26,"na")</f>
        <v>0.32487534319884598</v>
      </c>
      <c r="C14" s="293">
        <f>IFERROR('1n'!$B14*'3j'!C26,"na")</f>
        <v>2.7182961049839451</v>
      </c>
      <c r="D14" s="293">
        <f>IFERROR('1n'!$B14*'3j'!D26,"na")</f>
        <v>0.12797373074596305</v>
      </c>
      <c r="E14" s="294">
        <f>IFERROR('1n'!$B14*'3j'!E26,"na")</f>
        <v>3.1711451789287541</v>
      </c>
      <c r="F14" s="292">
        <f>IFERROR('1n'!$B14*'3j'!F26,"na")</f>
        <v>0.43998936552565027</v>
      </c>
      <c r="G14" s="293">
        <f>IFERROR('1n'!$B14*'3j'!G26,"na")</f>
        <v>1.64028034066714</v>
      </c>
      <c r="H14" s="293">
        <f>IFERROR('1n'!$B14*'3j'!H26,"na")</f>
        <v>0.14068971674764791</v>
      </c>
      <c r="I14" s="294">
        <f>IFERROR('1n'!$B14*'3j'!I26,"na")</f>
        <v>2.2209594229404384</v>
      </c>
      <c r="J14" s="292">
        <f>IFERROR('1n'!$B14*'3j'!J26,"na")</f>
        <v>0.45994411906495292</v>
      </c>
      <c r="K14" s="293">
        <f>IFERROR('1n'!$B14*'3j'!K26,"na")</f>
        <v>0.84836207682276532</v>
      </c>
      <c r="L14" s="293">
        <f>IFERROR('1n'!$B14*'3j'!L26,"na")</f>
        <v>0.81036217424174484</v>
      </c>
      <c r="M14" s="294">
        <f>IFERROR('1n'!$B14*'3j'!M26,"na")</f>
        <v>2.1186683701294631</v>
      </c>
    </row>
    <row r="15" spans="1:13">
      <c r="A15" s="65">
        <v>2002</v>
      </c>
      <c r="B15" s="292">
        <f>IFERROR('1n'!$B15*'3j'!B27,"na")</f>
        <v>0.37153115605356657</v>
      </c>
      <c r="C15" s="293">
        <f>IFERROR('1n'!$B15*'3j'!C27,"na")</f>
        <v>2.5301182016944517</v>
      </c>
      <c r="D15" s="293">
        <f>IFERROR('1n'!$B15*'3j'!D27,"na")</f>
        <v>0.12489273025416778</v>
      </c>
      <c r="E15" s="294">
        <f>IFERROR('1n'!$B15*'3j'!E27,"na")</f>
        <v>3.026542088002186</v>
      </c>
      <c r="F15" s="292">
        <f>IFERROR('1n'!$B15*'3j'!F27,"na")</f>
        <v>0.2529688227082364</v>
      </c>
      <c r="G15" s="293">
        <f>IFERROR('1n'!$B15*'3j'!G27,"na")</f>
        <v>1.4854449744067011</v>
      </c>
      <c r="H15" s="293">
        <f>IFERROR('1n'!$B15*'3j'!H27,"na")</f>
        <v>0.12644602140530475</v>
      </c>
      <c r="I15" s="294">
        <f>IFERROR('1n'!$B15*'3j'!I27,"na")</f>
        <v>1.8648598185202421</v>
      </c>
      <c r="J15" s="292">
        <f>IFERROR('1n'!$B15*'3j'!J27,"na")</f>
        <v>0.46433836746641421</v>
      </c>
      <c r="K15" s="293">
        <f>IFERROR('1n'!$B15*'3j'!K27,"na")</f>
        <v>0.85826608247553393</v>
      </c>
      <c r="L15" s="293">
        <f>IFERROR('1n'!$B15*'3j'!L27,"na")</f>
        <v>0.82139956912540446</v>
      </c>
      <c r="M15" s="294">
        <f>IFERROR('1n'!$B15*'3j'!M27,"na")</f>
        <v>2.1440040190673533</v>
      </c>
    </row>
    <row r="16" spans="1:13">
      <c r="A16" s="65">
        <v>2003</v>
      </c>
      <c r="B16" s="292">
        <f>IFERROR('1n'!$B16*'3j'!B28,"na")</f>
        <v>0.590432236735286</v>
      </c>
      <c r="C16" s="293">
        <f>IFERROR('1n'!$B16*'3j'!C28,"na")</f>
        <v>2.246395511122012</v>
      </c>
      <c r="D16" s="293">
        <f>IFERROR('1n'!$B16*'3j'!D28,"na")</f>
        <v>0.16324096368893604</v>
      </c>
      <c r="E16" s="294">
        <f>IFERROR('1n'!$B16*'3j'!E28,"na")</f>
        <v>3.0000687115462341</v>
      </c>
      <c r="F16" s="292">
        <f>IFERROR('1n'!$B16*'3j'!F28,"na")</f>
        <v>0.25529499754351487</v>
      </c>
      <c r="G16" s="293">
        <f>IFERROR('1n'!$B16*'3j'!G28,"na")</f>
        <v>1.3950193886861317</v>
      </c>
      <c r="H16" s="293">
        <f>IFERROR('1n'!$B16*'3j'!H28,"na")</f>
        <v>0.11469201817798988</v>
      </c>
      <c r="I16" s="294">
        <f>IFERROR('1n'!$B16*'3j'!I28,"na")</f>
        <v>1.7650064044076368</v>
      </c>
      <c r="J16" s="292">
        <f>IFERROR('1n'!$B16*'3j'!J28,"na")</f>
        <v>0.4879552859774357</v>
      </c>
      <c r="K16" s="293">
        <f>IFERROR('1n'!$B16*'3j'!K28,"na")</f>
        <v>0.88226382871992259</v>
      </c>
      <c r="L16" s="293">
        <f>IFERROR('1n'!$B16*'3j'!L28,"na")</f>
        <v>0.76263361013664954</v>
      </c>
      <c r="M16" s="294">
        <f>IFERROR('1n'!$B16*'3j'!M28,"na")</f>
        <v>2.1328527248340077</v>
      </c>
    </row>
    <row r="17" spans="1:13">
      <c r="A17" s="65">
        <v>2004</v>
      </c>
      <c r="B17" s="292">
        <f>IFERROR('1n'!$B17*'3j'!B29,"na")</f>
        <v>0.87239941367594664</v>
      </c>
      <c r="C17" s="293">
        <f>IFERROR('1n'!$B17*'3j'!C29,"na")</f>
        <v>2.7543063069006468</v>
      </c>
      <c r="D17" s="293">
        <f>IFERROR('1n'!$B17*'3j'!D29,"na")</f>
        <v>0.23299763326296349</v>
      </c>
      <c r="E17" s="294">
        <f>IFERROR('1n'!$B17*'3j'!E29,"na")</f>
        <v>3.8597033538395573</v>
      </c>
      <c r="F17" s="292">
        <f>IFERROR('1n'!$B17*'3j'!F29,"na")</f>
        <v>0.27946470450281424</v>
      </c>
      <c r="G17" s="293">
        <f>IFERROR('1n'!$B17*'3j'!G29,"na")</f>
        <v>1.9691257035647285</v>
      </c>
      <c r="H17" s="293">
        <f>IFERROR('1n'!$B17*'3j'!H29,"na")</f>
        <v>0.1232801125703565</v>
      </c>
      <c r="I17" s="294">
        <f>IFERROR('1n'!$B17*'3j'!I29,"na")</f>
        <v>2.3718705206378989</v>
      </c>
      <c r="J17" s="292">
        <f>IFERROR('1n'!$B17*'3j'!J29,"na")</f>
        <v>0.519576130853039</v>
      </c>
      <c r="K17" s="293">
        <f>IFERROR('1n'!$B17*'3j'!K29,"na")</f>
        <v>0.94059361951728637</v>
      </c>
      <c r="L17" s="293">
        <f>IFERROR('1n'!$B17*'3j'!L29,"na")</f>
        <v>0.71208112844583926</v>
      </c>
      <c r="M17" s="294">
        <f>IFERROR('1n'!$B17*'3j'!M29,"na")</f>
        <v>2.1722508788161647</v>
      </c>
    </row>
    <row r="18" spans="1:13">
      <c r="A18" s="65">
        <v>2005</v>
      </c>
      <c r="B18" s="292">
        <f>IFERROR('1n'!$B18*'3j'!B30,"na")</f>
        <v>1.0658826724073704</v>
      </c>
      <c r="C18" s="293">
        <f>IFERROR('1n'!$B18*'3j'!C30,"na")</f>
        <v>3.1665031997364923</v>
      </c>
      <c r="D18" s="293">
        <f>IFERROR('1n'!$B18*'3j'!D30,"na")</f>
        <v>0.251453154838229</v>
      </c>
      <c r="E18" s="294">
        <f>IFERROR('1n'!$B18*'3j'!E30,"na")</f>
        <v>4.4838390269820909</v>
      </c>
      <c r="F18" s="292">
        <f>IFERROR('1n'!$B18*'3j'!F30,"na")</f>
        <v>0.39176680614238801</v>
      </c>
      <c r="G18" s="293">
        <f>IFERROR('1n'!$B18*'3j'!G30,"na")</f>
        <v>2.8417149503309571</v>
      </c>
      <c r="H18" s="293">
        <f>IFERROR('1n'!$B18*'3j'!H30,"na")</f>
        <v>0.17915157242677529</v>
      </c>
      <c r="I18" s="294">
        <f>IFERROR('1n'!$B18*'3j'!I30,"na")</f>
        <v>3.4126333289001201</v>
      </c>
      <c r="J18" s="292">
        <f>IFERROR('1n'!$B18*'3j'!J30,"na")</f>
        <v>0.56691258071980155</v>
      </c>
      <c r="K18" s="293">
        <f>IFERROR('1n'!$B18*'3j'!K30,"na")</f>
        <v>1.0426968317305039</v>
      </c>
      <c r="L18" s="293">
        <f>IFERROR('1n'!$B18*'3j'!L30,"na")</f>
        <v>0.69853439570065123</v>
      </c>
      <c r="M18" s="294">
        <f>IFERROR('1n'!$B18*'3j'!M30,"na")</f>
        <v>2.3081438081509567</v>
      </c>
    </row>
    <row r="19" spans="1:13">
      <c r="A19" s="65">
        <v>2006</v>
      </c>
      <c r="B19" s="292">
        <f>IFERROR('1n'!$B19*'3j'!B31,"na")</f>
        <v>1.0495179562994101</v>
      </c>
      <c r="C19" s="293">
        <f>IFERROR('1n'!$B19*'3j'!C31,"na")</f>
        <v>3.2117468863721923</v>
      </c>
      <c r="D19" s="293">
        <f>IFERROR('1n'!$B19*'3j'!D31,"na")</f>
        <v>0.29641099494917811</v>
      </c>
      <c r="E19" s="294">
        <f>IFERROR('1n'!$B19*'3j'!E31,"na")</f>
        <v>4.5576758376207804</v>
      </c>
      <c r="F19" s="292">
        <f>IFERROR('1n'!$B19*'3j'!F31,"na")</f>
        <v>0.41749547249354269</v>
      </c>
      <c r="G19" s="293">
        <f>IFERROR('1n'!$B19*'3j'!G31,"na")</f>
        <v>2.9564769319834934</v>
      </c>
      <c r="H19" s="293">
        <f>IFERROR('1n'!$B19*'3j'!H31,"na")</f>
        <v>0.19256004512662175</v>
      </c>
      <c r="I19" s="294">
        <f>IFERROR('1n'!$B19*'3j'!I31,"na")</f>
        <v>3.5665324496036575</v>
      </c>
      <c r="J19" s="292">
        <f>IFERROR('1n'!$B19*'3j'!J31,"na")</f>
        <v>0.62921358026597674</v>
      </c>
      <c r="K19" s="293">
        <f>IFERROR('1n'!$B19*'3j'!K31,"na")</f>
        <v>1.10520506817927</v>
      </c>
      <c r="L19" s="293">
        <f>IFERROR('1n'!$B19*'3j'!L31,"na")</f>
        <v>0.68307204827834833</v>
      </c>
      <c r="M19" s="294">
        <f>IFERROR('1n'!$B19*'3j'!M31,"na")</f>
        <v>2.4174906967235952</v>
      </c>
    </row>
    <row r="20" spans="1:13">
      <c r="A20" s="65">
        <v>2007</v>
      </c>
      <c r="B20" s="292">
        <f>IFERROR('1n'!$B20*'3j'!B32,"na")</f>
        <v>1.5394442586949753</v>
      </c>
      <c r="C20" s="293">
        <f>IFERROR('1n'!$B20*'3j'!C32,"na")</f>
        <v>3.2479791829725153</v>
      </c>
      <c r="D20" s="293">
        <f>IFERROR('1n'!$B20*'3j'!D32,"na")</f>
        <v>0.50583923510057072</v>
      </c>
      <c r="E20" s="294">
        <f>IFERROR('1n'!$B20*'3j'!E32,"na")</f>
        <v>5.2932626767680615</v>
      </c>
      <c r="F20" s="292">
        <f>IFERROR('1n'!$B20*'3j'!F32,"na")</f>
        <v>0.34228124999999998</v>
      </c>
      <c r="G20" s="293">
        <f>IFERROR('1n'!$B20*'3j'!G32,"na")</f>
        <v>3.7883485576923088</v>
      </c>
      <c r="H20" s="293">
        <f>IFERROR('1n'!$B20*'3j'!H32,"na")</f>
        <v>0.18386538461538465</v>
      </c>
      <c r="I20" s="294">
        <f>IFERROR('1n'!$B20*'3j'!I32,"na")</f>
        <v>4.3144951923076933</v>
      </c>
      <c r="J20" s="292">
        <f>IFERROR('1n'!$B20*'3j'!J32,"na")</f>
        <v>0.65015952041299085</v>
      </c>
      <c r="K20" s="293">
        <f>IFERROR('1n'!$B20*'3j'!K32,"na")</f>
        <v>1.2067532664368985</v>
      </c>
      <c r="L20" s="293">
        <f>IFERROR('1n'!$B20*'3j'!L32,"na")</f>
        <v>0.63636710341900382</v>
      </c>
      <c r="M20" s="294">
        <f>IFERROR('1n'!$B20*'3j'!M32,"na")</f>
        <v>2.4932798902688935</v>
      </c>
    </row>
    <row r="21" spans="1:13">
      <c r="A21" s="65">
        <v>2008</v>
      </c>
      <c r="B21" s="292" t="str">
        <f>IFERROR('1n'!$B21*'3j'!B33,"na")</f>
        <v>na</v>
      </c>
      <c r="C21" s="293" t="str">
        <f>IFERROR('1n'!$B21*'3j'!C33,"na")</f>
        <v>na</v>
      </c>
      <c r="D21" s="293" t="str">
        <f>IFERROR('1n'!$B21*'3j'!D33,"na")</f>
        <v>na</v>
      </c>
      <c r="E21" s="294" t="str">
        <f>IFERROR('1n'!$B21*'3j'!E33,"na")</f>
        <v>na</v>
      </c>
      <c r="F21" s="292" t="str">
        <f>IFERROR('1n'!$B21*'3j'!F33,"na")</f>
        <v>na</v>
      </c>
      <c r="G21" s="293" t="str">
        <f>IFERROR('1n'!$B21*'3j'!G33,"na")</f>
        <v>na</v>
      </c>
      <c r="H21" s="293" t="str">
        <f>IFERROR('1n'!$B21*'3j'!H33,"na")</f>
        <v>na</v>
      </c>
      <c r="I21" s="294" t="str">
        <f>IFERROR('1n'!$B21*'3j'!I33,"na")</f>
        <v>na</v>
      </c>
      <c r="J21" s="292">
        <f>IFERROR('1n'!$B21*'3j'!J33,"na")</f>
        <v>0.66325776619271337</v>
      </c>
      <c r="K21" s="293">
        <f>IFERROR('1n'!$B21*'3j'!K33,"na")</f>
        <v>1.28915675261588</v>
      </c>
      <c r="L21" s="293">
        <f>IFERROR('1n'!$B21*'3j'!L33,"na")</f>
        <v>0.6393413827651705</v>
      </c>
      <c r="M21" s="294">
        <f>IFERROR('1n'!$B21*'3j'!M33,"na")</f>
        <v>2.5917559015737641</v>
      </c>
    </row>
    <row r="22" spans="1:13">
      <c r="A22" s="20">
        <f>A21+1</f>
        <v>2009</v>
      </c>
      <c r="B22" s="292" t="str">
        <f>IFERROR('1n'!$B22*'3j'!B34,"na")</f>
        <v>na</v>
      </c>
      <c r="C22" s="293" t="str">
        <f>IFERROR('1n'!$B22*'3j'!C34,"na")</f>
        <v>na</v>
      </c>
      <c r="D22" s="293" t="str">
        <f>IFERROR('1n'!$B22*'3j'!D34,"na")</f>
        <v>na</v>
      </c>
      <c r="E22" s="294" t="str">
        <f>IFERROR('1n'!$B22*'3j'!E34,"na")</f>
        <v>na</v>
      </c>
      <c r="F22" s="292" t="str">
        <f>IFERROR('1n'!$B22*'3j'!F34,"na")</f>
        <v>na</v>
      </c>
      <c r="G22" s="293" t="str">
        <f>IFERROR('1n'!$B22*'3j'!G34,"na")</f>
        <v>na</v>
      </c>
      <c r="H22" s="293" t="str">
        <f>IFERROR('1n'!$B22*'3j'!H34,"na")</f>
        <v>na</v>
      </c>
      <c r="I22" s="294" t="str">
        <f>IFERROR('1n'!$B22*'3j'!I34,"na")</f>
        <v>na</v>
      </c>
      <c r="J22" s="292">
        <f>IFERROR('1n'!$B22*'3j'!J34,"na")</f>
        <v>0.66818590826559721</v>
      </c>
      <c r="K22" s="293">
        <f>IFERROR('1n'!$B22*'3j'!K34,"na")</f>
        <v>1.3484137624072763</v>
      </c>
      <c r="L22" s="293">
        <f>IFERROR('1n'!$B22*'3j'!L34,"na")</f>
        <v>0.66648085398225831</v>
      </c>
      <c r="M22" s="294">
        <f>IFERROR('1n'!$B22*'3j'!M34,"na")</f>
        <v>2.6830805246551317</v>
      </c>
    </row>
    <row r="23" spans="1:13">
      <c r="A23" s="21">
        <f t="shared" ref="A23" si="0">A22+1</f>
        <v>2010</v>
      </c>
      <c r="B23" s="295" t="str">
        <f>IFERROR('1n'!$B23*'3j'!B35,"na")</f>
        <v>na</v>
      </c>
      <c r="C23" s="296" t="str">
        <f>IFERROR('1n'!$B23*'3j'!C35,"na")</f>
        <v>na</v>
      </c>
      <c r="D23" s="296" t="str">
        <f>IFERROR('1n'!$B23*'3j'!D35,"na")</f>
        <v>na</v>
      </c>
      <c r="E23" s="297" t="str">
        <f>IFERROR('1n'!$B23*'3j'!E35,"na")</f>
        <v>na</v>
      </c>
      <c r="F23" s="295" t="str">
        <f>IFERROR('1n'!$B23*'3j'!F35,"na")</f>
        <v>na</v>
      </c>
      <c r="G23" s="296" t="str">
        <f>IFERROR('1n'!$B23*'3j'!G35,"na")</f>
        <v>na</v>
      </c>
      <c r="H23" s="296" t="str">
        <f>IFERROR('1n'!$B23*'3j'!H35,"na")</f>
        <v>na</v>
      </c>
      <c r="I23" s="297" t="str">
        <f>IFERROR('1n'!$B23*'3j'!I35,"na")</f>
        <v>na</v>
      </c>
      <c r="J23" s="295">
        <f>IFERROR('1n'!$B23*'3j'!J35,"na")</f>
        <v>0.65164428712142186</v>
      </c>
      <c r="K23" s="296">
        <f>IFERROR('1n'!$B23*'3j'!K35,"na")</f>
        <v>1.4180692789166269</v>
      </c>
      <c r="L23" s="296">
        <f>IFERROR('1n'!$B23*'3j'!L35,"na")</f>
        <v>0.66240041121613857</v>
      </c>
      <c r="M23" s="297">
        <f>IFERROR('1n'!$B23*'3j'!M35,"na")</f>
        <v>2.7321139772541869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6.0299260723380099</v>
      </c>
      <c r="C26" s="86">
        <f t="shared" ref="C26:M26" si="1">IFERROR((POWER(C$13/C5,1/($A$13-$A5))-1)*100,"na")</f>
        <v>8.3152262540487456</v>
      </c>
      <c r="D26" s="86">
        <f t="shared" si="1"/>
        <v>-1.4788463072930802</v>
      </c>
      <c r="E26" s="87">
        <f t="shared" si="1"/>
        <v>7.2065476164389741</v>
      </c>
      <c r="F26" s="85">
        <f t="shared" si="1"/>
        <v>23.008255903534124</v>
      </c>
      <c r="G26" s="86">
        <f t="shared" si="1"/>
        <v>29.904879842671871</v>
      </c>
      <c r="H26" s="86">
        <f t="shared" si="1"/>
        <v>7.5576280851392008</v>
      </c>
      <c r="I26" s="87">
        <f t="shared" si="1"/>
        <v>24.508735407080007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 t="str">
        <f>IFERROR((POWER(B$23/B13,1/($A$23-$A$13))-1)*100,"na")</f>
        <v>na</v>
      </c>
      <c r="C27" s="86" t="str">
        <f t="shared" ref="C27:M27" si="2">IFERROR((POWER(C$23/C13,1/($A$23-$A$13))-1)*100,"na")</f>
        <v>na</v>
      </c>
      <c r="D27" s="86" t="str">
        <f t="shared" si="2"/>
        <v>na</v>
      </c>
      <c r="E27" s="87" t="str">
        <f t="shared" si="2"/>
        <v>na</v>
      </c>
      <c r="F27" s="85" t="str">
        <f t="shared" si="2"/>
        <v>na</v>
      </c>
      <c r="G27" s="86" t="str">
        <f t="shared" si="2"/>
        <v>na</v>
      </c>
      <c r="H27" s="86" t="str">
        <f t="shared" si="2"/>
        <v>na</v>
      </c>
      <c r="I27" s="87" t="str">
        <f t="shared" si="2"/>
        <v>na</v>
      </c>
      <c r="J27" s="85">
        <f t="shared" si="2"/>
        <v>3.4392823893783619</v>
      </c>
      <c r="K27" s="86">
        <f t="shared" si="2"/>
        <v>6.112810729713436</v>
      </c>
      <c r="L27" s="86">
        <f t="shared" si="2"/>
        <v>-1.1105978985809117</v>
      </c>
      <c r="M27" s="87">
        <f t="shared" si="2"/>
        <v>3.2263283397875764</v>
      </c>
    </row>
    <row r="28" spans="1:13">
      <c r="A28" s="29" t="s">
        <v>126</v>
      </c>
      <c r="B28" s="39" t="str">
        <f>IFERROR((POWER(B23/B5,1/($A$23-$A5))-1)*100, "na")</f>
        <v>na</v>
      </c>
      <c r="C28" s="89" t="str">
        <f t="shared" ref="C28:M28" si="3">IFERROR((POWER(C23/C5,1/($A$23-$A5))-1)*100, "na")</f>
        <v>na</v>
      </c>
      <c r="D28" s="89" t="str">
        <f t="shared" si="3"/>
        <v>na</v>
      </c>
      <c r="E28" s="90" t="str">
        <f t="shared" si="3"/>
        <v>na</v>
      </c>
      <c r="F28" s="88" t="str">
        <f t="shared" si="3"/>
        <v>na</v>
      </c>
      <c r="G28" s="89" t="str">
        <f t="shared" si="3"/>
        <v>na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72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/>
  <dimension ref="A1:M45"/>
  <sheetViews>
    <sheetView zoomScaleNormal="100" workbookViewId="0">
      <selection activeCell="B15" sqref="B15"/>
    </sheetView>
  </sheetViews>
  <sheetFormatPr defaultRowHeight="15"/>
  <cols>
    <col min="1" max="1" width="10" style="18" customWidth="1"/>
    <col min="2" max="2" width="11" style="18" customWidth="1"/>
    <col min="3" max="3" width="9.28515625" style="18" bestFit="1" customWidth="1"/>
    <col min="4" max="5" width="19.42578125" style="18" customWidth="1"/>
    <col min="6" max="6" width="11.5703125" style="18" customWidth="1"/>
    <col min="7" max="7" width="9.28515625" style="18" bestFit="1" customWidth="1"/>
    <col min="8" max="9" width="21.140625" style="18" customWidth="1"/>
    <col min="10" max="10" width="14.42578125" style="18" bestFit="1" customWidth="1"/>
    <col min="11" max="11" width="25.140625" style="18" customWidth="1"/>
    <col min="12" max="12" width="19.42578125" style="18" customWidth="1"/>
    <col min="13" max="13" width="12.7109375" style="18" bestFit="1" customWidth="1"/>
    <col min="14" max="16384" width="9.140625" style="18"/>
  </cols>
  <sheetData>
    <row r="1" spans="1:13">
      <c r="A1" s="392" t="s">
        <v>189</v>
      </c>
      <c r="B1" s="392"/>
      <c r="C1" s="392"/>
      <c r="D1" s="392"/>
      <c r="E1" s="392"/>
      <c r="F1" s="392"/>
      <c r="G1" s="392"/>
      <c r="H1" s="392"/>
      <c r="I1" s="81"/>
    </row>
    <row r="2" spans="1:13">
      <c r="A2" s="392"/>
      <c r="B2" s="392"/>
      <c r="C2" s="392"/>
      <c r="D2" s="392"/>
      <c r="E2" s="392"/>
      <c r="F2" s="392"/>
      <c r="G2" s="392"/>
      <c r="H2" s="392"/>
      <c r="I2" s="81"/>
    </row>
    <row r="4" spans="1:13"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99" t="s">
        <v>38</v>
      </c>
      <c r="K4" s="400"/>
      <c r="L4" s="400"/>
      <c r="M4" s="401"/>
    </row>
    <row r="5" spans="1:13" ht="30"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3" t="s">
        <v>39</v>
      </c>
      <c r="K5" s="4" t="s">
        <v>41</v>
      </c>
      <c r="L5" s="4" t="s">
        <v>40</v>
      </c>
      <c r="M5" s="5" t="s">
        <v>72</v>
      </c>
    </row>
    <row r="6" spans="1:13">
      <c r="A6" s="15">
        <v>1981</v>
      </c>
      <c r="B6" s="35">
        <v>1.0592000000000001</v>
      </c>
      <c r="C6" s="30">
        <v>24.647299999999998</v>
      </c>
      <c r="D6" s="30">
        <v>13.0974</v>
      </c>
      <c r="E6" s="36">
        <f>(SUM(B6:D6))</f>
        <v>38.803899999999999</v>
      </c>
      <c r="F6" s="35">
        <v>1.8945000000000001</v>
      </c>
      <c r="G6" s="30">
        <v>14.6439</v>
      </c>
      <c r="H6" s="30">
        <v>19.897200000000002</v>
      </c>
      <c r="I6" s="36">
        <f t="shared" ref="I6:I36" si="0">(SUM(F6:H6))</f>
        <v>36.435600000000001</v>
      </c>
      <c r="J6" s="6">
        <f>(105100000/(1000))/1000</f>
        <v>105.1</v>
      </c>
      <c r="K6" s="7">
        <f>(1367700000/(1000))/1000</f>
        <v>1367.7</v>
      </c>
      <c r="L6" s="7">
        <f>(12376800000/(1000))/1000</f>
        <v>12376.8</v>
      </c>
      <c r="M6" s="8">
        <f t="shared" ref="M6:M36" si="1">(SUM(J6:L6))</f>
        <v>13849.599999999999</v>
      </c>
    </row>
    <row r="7" spans="1:13">
      <c r="A7" s="16">
        <v>1982</v>
      </c>
      <c r="B7" s="37">
        <v>0.99420000000000008</v>
      </c>
      <c r="C7" s="34">
        <v>25.409400000000002</v>
      </c>
      <c r="D7" s="34">
        <v>12.6128</v>
      </c>
      <c r="E7" s="38">
        <f t="shared" ref="E7:E36" si="2">(SUM(B7:D7))</f>
        <v>39.016400000000004</v>
      </c>
      <c r="F7" s="37">
        <v>2.1684999999999999</v>
      </c>
      <c r="G7" s="34">
        <v>19.095299999999998</v>
      </c>
      <c r="H7" s="34">
        <v>20.5366</v>
      </c>
      <c r="I7" s="38">
        <f t="shared" si="0"/>
        <v>41.800399999999996</v>
      </c>
      <c r="J7" s="9">
        <f>(130700000/(1000))/1000</f>
        <v>130.69999999999999</v>
      </c>
      <c r="K7" s="10">
        <f>(1664000000/(1000))/1000</f>
        <v>1664</v>
      </c>
      <c r="L7" s="10">
        <f>(12697900000/(1000))/1000</f>
        <v>12697.9</v>
      </c>
      <c r="M7" s="11">
        <f t="shared" si="1"/>
        <v>14492.6</v>
      </c>
    </row>
    <row r="8" spans="1:13">
      <c r="A8" s="16">
        <v>1983</v>
      </c>
      <c r="B8" s="37">
        <v>1.3494999999999999</v>
      </c>
      <c r="C8" s="34">
        <v>31.729500000000002</v>
      </c>
      <c r="D8" s="34">
        <v>13.166600000000001</v>
      </c>
      <c r="E8" s="38">
        <f t="shared" si="2"/>
        <v>46.245600000000003</v>
      </c>
      <c r="F8" s="37">
        <v>2.6718000000000002</v>
      </c>
      <c r="G8" s="34">
        <v>22.678900000000002</v>
      </c>
      <c r="H8" s="34">
        <v>20.771999999999998</v>
      </c>
      <c r="I8" s="38">
        <f t="shared" si="0"/>
        <v>46.122700000000002</v>
      </c>
      <c r="J8" s="9">
        <f>(186000000/(1000))/1000</f>
        <v>186</v>
      </c>
      <c r="K8" s="10">
        <f>(1989500000/(1000))/1000</f>
        <v>1989.5</v>
      </c>
      <c r="L8" s="10">
        <f>(12561200000/(1000))/1000</f>
        <v>12561.2</v>
      </c>
      <c r="M8" s="11">
        <f t="shared" si="1"/>
        <v>14736.7</v>
      </c>
    </row>
    <row r="9" spans="1:13">
      <c r="A9" s="16">
        <v>1984</v>
      </c>
      <c r="B9" s="37">
        <v>1.8368</v>
      </c>
      <c r="C9" s="34">
        <v>45.377199999999995</v>
      </c>
      <c r="D9" s="34">
        <v>14.094700000000001</v>
      </c>
      <c r="E9" s="38">
        <f t="shared" si="2"/>
        <v>61.308699999999995</v>
      </c>
      <c r="F9" s="37">
        <v>3.1164000000000001</v>
      </c>
      <c r="G9" s="34">
        <v>25.9498</v>
      </c>
      <c r="H9" s="34">
        <v>20.813599999999997</v>
      </c>
      <c r="I9" s="38">
        <f t="shared" si="0"/>
        <v>49.879799999999996</v>
      </c>
      <c r="J9" s="9">
        <f>(245300000/(1000))/1000</f>
        <v>245.3</v>
      </c>
      <c r="K9" s="10">
        <f>(2404400000/(1000))/1000</f>
        <v>2404.4</v>
      </c>
      <c r="L9" s="10">
        <f>(12522900000/(1000))/1000</f>
        <v>12522.9</v>
      </c>
      <c r="M9" s="11">
        <f t="shared" si="1"/>
        <v>15172.6</v>
      </c>
    </row>
    <row r="10" spans="1:13">
      <c r="A10" s="16">
        <v>1985</v>
      </c>
      <c r="B10" s="37">
        <v>4.1126000000000005</v>
      </c>
      <c r="C10" s="34">
        <v>50.118199999999995</v>
      </c>
      <c r="D10" s="34">
        <v>30.905900000000003</v>
      </c>
      <c r="E10" s="38">
        <f t="shared" si="2"/>
        <v>85.13669999999999</v>
      </c>
      <c r="F10" s="37">
        <v>3.65</v>
      </c>
      <c r="G10" s="34">
        <v>34.687400000000004</v>
      </c>
      <c r="H10" s="34">
        <v>27.922099999999997</v>
      </c>
      <c r="I10" s="38">
        <f t="shared" si="0"/>
        <v>66.259500000000003</v>
      </c>
      <c r="J10" s="9">
        <f>(315300000/(1000))/1000</f>
        <v>315.3</v>
      </c>
      <c r="K10" s="10">
        <f>(2848800000/(1000))/1000</f>
        <v>2848.8</v>
      </c>
      <c r="L10" s="10">
        <f>(12481200000/(1000))/1000</f>
        <v>12481.2</v>
      </c>
      <c r="M10" s="11">
        <f t="shared" si="1"/>
        <v>15645.300000000001</v>
      </c>
    </row>
    <row r="11" spans="1:13">
      <c r="A11" s="16">
        <v>1986</v>
      </c>
      <c r="B11" s="37">
        <v>4.8628999999999998</v>
      </c>
      <c r="C11" s="34">
        <v>63.781500000000001</v>
      </c>
      <c r="D11" s="34">
        <v>31.715299999999999</v>
      </c>
      <c r="E11" s="38">
        <f t="shared" si="2"/>
        <v>100.3597</v>
      </c>
      <c r="F11" s="37">
        <v>3.5834000000000001</v>
      </c>
      <c r="G11" s="34">
        <v>34.207999999999998</v>
      </c>
      <c r="H11" s="34">
        <v>28.7179</v>
      </c>
      <c r="I11" s="38">
        <f t="shared" si="0"/>
        <v>66.509299999999996</v>
      </c>
      <c r="J11" s="9">
        <f>(399800000/(1000))/1000</f>
        <v>399.8</v>
      </c>
      <c r="K11" s="10">
        <f>(3464600000/(1000))/1000</f>
        <v>3464.6</v>
      </c>
      <c r="L11" s="10">
        <f>(12578400000/(1000))/1000</f>
        <v>12578.4</v>
      </c>
      <c r="M11" s="11">
        <f t="shared" si="1"/>
        <v>16442.8</v>
      </c>
    </row>
    <row r="12" spans="1:13">
      <c r="A12" s="16">
        <v>1987</v>
      </c>
      <c r="B12" s="37">
        <v>4.4093999999999998</v>
      </c>
      <c r="C12" s="34">
        <v>62.292900000000003</v>
      </c>
      <c r="D12" s="34">
        <v>28.692799999999998</v>
      </c>
      <c r="E12" s="38">
        <f t="shared" si="2"/>
        <v>95.395100000000014</v>
      </c>
      <c r="F12" s="37">
        <v>4.4157000000000002</v>
      </c>
      <c r="G12" s="34">
        <v>35.887500000000003</v>
      </c>
      <c r="H12" s="34">
        <v>27.337599999999998</v>
      </c>
      <c r="I12" s="38">
        <f t="shared" si="0"/>
        <v>67.640799999999999</v>
      </c>
      <c r="J12" s="9">
        <f>(589200000/(1000))/1000</f>
        <v>589.20000000000005</v>
      </c>
      <c r="K12" s="10">
        <f>(4139100000/(1000))/1000</f>
        <v>4139.1000000000004</v>
      </c>
      <c r="L12" s="10">
        <f>(13138400000/(1000))/1000</f>
        <v>13138.4</v>
      </c>
      <c r="M12" s="11">
        <f t="shared" si="1"/>
        <v>17866.7</v>
      </c>
    </row>
    <row r="13" spans="1:13">
      <c r="A13" s="16">
        <v>1988</v>
      </c>
      <c r="B13" s="37">
        <v>4.7122000000000002</v>
      </c>
      <c r="C13" s="34">
        <v>88.803200000000004</v>
      </c>
      <c r="D13" s="34">
        <v>25.2242</v>
      </c>
      <c r="E13" s="38">
        <f t="shared" si="2"/>
        <v>118.7396</v>
      </c>
      <c r="F13" s="37">
        <v>4.7458999999999998</v>
      </c>
      <c r="G13" s="34">
        <v>34.9343</v>
      </c>
      <c r="H13" s="34">
        <v>24.171799999999998</v>
      </c>
      <c r="I13" s="38">
        <f t="shared" si="0"/>
        <v>63.851999999999997</v>
      </c>
      <c r="J13" s="9">
        <f>(689200000/(1000))/1000</f>
        <v>689.2</v>
      </c>
      <c r="K13" s="10">
        <f>(5085000000/(1000))/1000</f>
        <v>5085</v>
      </c>
      <c r="L13" s="10">
        <f>(14050800000/(1000))/1000</f>
        <v>14050.8</v>
      </c>
      <c r="M13" s="11">
        <f t="shared" si="1"/>
        <v>19825</v>
      </c>
    </row>
    <row r="14" spans="1:13">
      <c r="A14" s="16">
        <v>1989</v>
      </c>
      <c r="B14" s="37">
        <v>6.2123999999999997</v>
      </c>
      <c r="C14" s="34">
        <v>103.54589999999999</v>
      </c>
      <c r="D14" s="34">
        <v>25.107700000000001</v>
      </c>
      <c r="E14" s="38">
        <f t="shared" si="2"/>
        <v>134.86599999999999</v>
      </c>
      <c r="F14" s="37">
        <v>4.8338000000000001</v>
      </c>
      <c r="G14" s="34">
        <v>35.728900000000003</v>
      </c>
      <c r="H14" s="34">
        <v>28.452999999999999</v>
      </c>
      <c r="I14" s="38">
        <f t="shared" si="0"/>
        <v>69.01570000000001</v>
      </c>
      <c r="J14" s="9">
        <f>(858000000/(1000))/1000</f>
        <v>858</v>
      </c>
      <c r="K14" s="10">
        <f>(6125600000/(1000))/1000</f>
        <v>6125.6</v>
      </c>
      <c r="L14" s="10">
        <f>(15171700000/(1000))/1000</f>
        <v>15171.7</v>
      </c>
      <c r="M14" s="11">
        <f t="shared" si="1"/>
        <v>22155.300000000003</v>
      </c>
    </row>
    <row r="15" spans="1:13">
      <c r="A15" s="16">
        <v>1990</v>
      </c>
      <c r="B15" s="37">
        <v>4.1189999999999998</v>
      </c>
      <c r="C15" s="34">
        <v>120.6901</v>
      </c>
      <c r="D15" s="34">
        <v>23.0411</v>
      </c>
      <c r="E15" s="38">
        <f t="shared" si="2"/>
        <v>147.8502</v>
      </c>
      <c r="F15" s="37">
        <v>4.8141999999999996</v>
      </c>
      <c r="G15" s="34">
        <v>36.161000000000001</v>
      </c>
      <c r="H15" s="34">
        <v>24.964200000000002</v>
      </c>
      <c r="I15" s="38">
        <f t="shared" si="0"/>
        <v>65.939400000000006</v>
      </c>
      <c r="J15" s="9">
        <f>(971500000/(1000))/1000</f>
        <v>971.5</v>
      </c>
      <c r="K15" s="10">
        <f>(7261800000/(1000))/1000</f>
        <v>7261.8</v>
      </c>
      <c r="L15" s="10">
        <f>(16282300000/(1000))/1000</f>
        <v>16282.3</v>
      </c>
      <c r="M15" s="11">
        <f t="shared" si="1"/>
        <v>24515.599999999999</v>
      </c>
    </row>
    <row r="16" spans="1:13">
      <c r="A16" s="16">
        <v>1991</v>
      </c>
      <c r="B16" s="37">
        <v>5.4446000000000003</v>
      </c>
      <c r="C16" s="34">
        <v>147.23009999999999</v>
      </c>
      <c r="D16" s="34">
        <v>29.125599999999999</v>
      </c>
      <c r="E16" s="38">
        <f t="shared" si="2"/>
        <v>181.80029999999999</v>
      </c>
      <c r="F16" s="37">
        <v>5.6353999999999997</v>
      </c>
      <c r="G16" s="34">
        <v>34.092800000000004</v>
      </c>
      <c r="H16" s="34">
        <v>22.031200000000002</v>
      </c>
      <c r="I16" s="38">
        <f t="shared" si="0"/>
        <v>61.759399999999999</v>
      </c>
      <c r="J16" s="9">
        <f>(1154100000/(1000))/1000</f>
        <v>1154.0999999999999</v>
      </c>
      <c r="K16" s="10">
        <f>(8224900000/(1000))/1000</f>
        <v>8224.9</v>
      </c>
      <c r="L16" s="10">
        <f>(17109600000/(1000))/1000</f>
        <v>17109.599999999999</v>
      </c>
      <c r="M16" s="11">
        <f t="shared" si="1"/>
        <v>26488.6</v>
      </c>
    </row>
    <row r="17" spans="1:13">
      <c r="A17" s="16">
        <v>1992</v>
      </c>
      <c r="B17" s="37">
        <v>10.785200000000001</v>
      </c>
      <c r="C17" s="34">
        <v>172.34950000000001</v>
      </c>
      <c r="D17" s="34">
        <v>24.1449</v>
      </c>
      <c r="E17" s="38">
        <f t="shared" si="2"/>
        <v>207.27960000000002</v>
      </c>
      <c r="F17" s="37">
        <v>6.1923999999999992</v>
      </c>
      <c r="G17" s="34">
        <v>31.3658</v>
      </c>
      <c r="H17" s="34">
        <v>18.494199999999999</v>
      </c>
      <c r="I17" s="38">
        <f t="shared" si="0"/>
        <v>56.052399999999999</v>
      </c>
      <c r="J17" s="9">
        <f>(1461200000/(1000))/1000</f>
        <v>1461.2</v>
      </c>
      <c r="K17" s="10">
        <f>(9210900000/(1000))/1000</f>
        <v>9210.9</v>
      </c>
      <c r="L17" s="10">
        <f>(18006900000/(1000))/1000</f>
        <v>18006.900000000001</v>
      </c>
      <c r="M17" s="11">
        <f t="shared" si="1"/>
        <v>28679</v>
      </c>
    </row>
    <row r="18" spans="1:13">
      <c r="A18" s="16">
        <v>1993</v>
      </c>
      <c r="B18" s="37">
        <v>22.087700000000002</v>
      </c>
      <c r="C18" s="34">
        <v>168.5402</v>
      </c>
      <c r="D18" s="34">
        <v>20.027099999999997</v>
      </c>
      <c r="E18" s="38">
        <f t="shared" si="2"/>
        <v>210.655</v>
      </c>
      <c r="F18" s="37">
        <v>4.9501999999999997</v>
      </c>
      <c r="G18" s="34">
        <v>34.7072</v>
      </c>
      <c r="H18" s="34">
        <v>15.529500000000001</v>
      </c>
      <c r="I18" s="38">
        <f t="shared" si="0"/>
        <v>55.186900000000001</v>
      </c>
      <c r="J18" s="9">
        <f>(1618100000/(1000))/1000</f>
        <v>1618.1</v>
      </c>
      <c r="K18" s="10">
        <f>(10681100000/(1000))/1000</f>
        <v>10681.1</v>
      </c>
      <c r="L18" s="10">
        <f>(18300100000/(1000))/1000</f>
        <v>18300.099999999999</v>
      </c>
      <c r="M18" s="11">
        <f t="shared" si="1"/>
        <v>30599.3</v>
      </c>
    </row>
    <row r="19" spans="1:13">
      <c r="A19" s="16">
        <v>1994</v>
      </c>
      <c r="B19" s="37">
        <v>13.5268</v>
      </c>
      <c r="C19" s="34">
        <v>151.72739999999999</v>
      </c>
      <c r="D19" s="34">
        <v>18.547099999999997</v>
      </c>
      <c r="E19" s="38">
        <f t="shared" si="2"/>
        <v>183.8013</v>
      </c>
      <c r="F19" s="37">
        <v>5.7556000000000003</v>
      </c>
      <c r="G19" s="34">
        <v>37.9529</v>
      </c>
      <c r="H19" s="34">
        <v>13.0434</v>
      </c>
      <c r="I19" s="38">
        <f t="shared" si="0"/>
        <v>56.751899999999999</v>
      </c>
      <c r="J19" s="9">
        <f>(1954800000/(1000))/1000</f>
        <v>1954.8</v>
      </c>
      <c r="K19" s="10">
        <f>(12405800000/(1000))/1000</f>
        <v>12405.8</v>
      </c>
      <c r="L19" s="10">
        <f>(18259000000/(1000))/1000</f>
        <v>18259</v>
      </c>
      <c r="M19" s="11">
        <f t="shared" si="1"/>
        <v>32619.599999999999</v>
      </c>
    </row>
    <row r="20" spans="1:13">
      <c r="A20" s="16">
        <v>1995</v>
      </c>
      <c r="B20" s="37">
        <v>10.5892</v>
      </c>
      <c r="C20" s="34">
        <v>142.36720000000003</v>
      </c>
      <c r="D20" s="34">
        <v>15.2898</v>
      </c>
      <c r="E20" s="38">
        <f t="shared" si="2"/>
        <v>168.24620000000004</v>
      </c>
      <c r="F20" s="37">
        <v>11.1105</v>
      </c>
      <c r="G20" s="34">
        <v>45.311300000000003</v>
      </c>
      <c r="H20" s="34">
        <v>10.9581</v>
      </c>
      <c r="I20" s="38">
        <f t="shared" si="0"/>
        <v>67.379900000000006</v>
      </c>
      <c r="J20" s="9">
        <f>(2451700000/(1000))/1000</f>
        <v>2451.6999999999998</v>
      </c>
      <c r="K20" s="10">
        <f>(13593300000/(1000))/1000</f>
        <v>13593.3</v>
      </c>
      <c r="L20" s="10">
        <f>(18174600000/(1000))/1000</f>
        <v>18174.599999999999</v>
      </c>
      <c r="M20" s="11">
        <f t="shared" si="1"/>
        <v>34219.599999999999</v>
      </c>
    </row>
    <row r="21" spans="1:13">
      <c r="A21" s="16">
        <v>1996</v>
      </c>
      <c r="B21" s="37">
        <v>13.2713</v>
      </c>
      <c r="C21" s="34">
        <v>144.36679999999998</v>
      </c>
      <c r="D21" s="34">
        <v>16.426400000000001</v>
      </c>
      <c r="E21" s="38">
        <f t="shared" si="2"/>
        <v>174.06449999999998</v>
      </c>
      <c r="F21" s="37">
        <v>22.459599999999998</v>
      </c>
      <c r="G21" s="34">
        <v>59.774699999999996</v>
      </c>
      <c r="H21" s="34">
        <v>9.2083999999999993</v>
      </c>
      <c r="I21" s="38">
        <f t="shared" si="0"/>
        <v>91.442699999999988</v>
      </c>
      <c r="J21" s="9">
        <f>(3140200000/(1000))/1000</f>
        <v>3140.2</v>
      </c>
      <c r="K21" s="10">
        <f>(15116800000/(1000))/1000</f>
        <v>15116.8</v>
      </c>
      <c r="L21" s="10">
        <f>(18061700000/(1000))/1000</f>
        <v>18061.7</v>
      </c>
      <c r="M21" s="11">
        <f t="shared" si="1"/>
        <v>36318.699999999997</v>
      </c>
    </row>
    <row r="22" spans="1:13">
      <c r="A22" s="16">
        <v>1997</v>
      </c>
      <c r="B22" s="37">
        <v>42.014699999999998</v>
      </c>
      <c r="C22" s="34">
        <v>197.57379999999998</v>
      </c>
      <c r="D22" s="34">
        <v>35.873100000000001</v>
      </c>
      <c r="E22" s="38">
        <f t="shared" si="2"/>
        <v>275.46159999999998</v>
      </c>
      <c r="F22" s="37">
        <v>40.462199999999996</v>
      </c>
      <c r="G22" s="34">
        <v>106.25210000000001</v>
      </c>
      <c r="H22" s="34">
        <v>8.02</v>
      </c>
      <c r="I22" s="38">
        <f t="shared" si="0"/>
        <v>154.73430000000002</v>
      </c>
      <c r="J22" s="9">
        <f>(4075600000/(1000))/1000</f>
        <v>4075.6</v>
      </c>
      <c r="K22" s="10">
        <f>(17055300000/(1000))/1000</f>
        <v>17055.3</v>
      </c>
      <c r="L22" s="10">
        <f>(18902400000/(1000))/1000</f>
        <v>18902.400000000001</v>
      </c>
      <c r="M22" s="11">
        <f t="shared" si="1"/>
        <v>40033.300000000003</v>
      </c>
    </row>
    <row r="23" spans="1:13">
      <c r="A23" s="16">
        <v>1998</v>
      </c>
      <c r="B23" s="37">
        <v>78.851100000000002</v>
      </c>
      <c r="C23" s="34">
        <v>251.00149999999999</v>
      </c>
      <c r="D23" s="34">
        <v>32.874300000000005</v>
      </c>
      <c r="E23" s="38">
        <f t="shared" si="2"/>
        <v>362.7269</v>
      </c>
      <c r="F23" s="37">
        <v>110.553</v>
      </c>
      <c r="G23" s="34">
        <v>169.04560000000001</v>
      </c>
      <c r="H23" s="34">
        <v>13.3369</v>
      </c>
      <c r="I23" s="38">
        <f t="shared" si="0"/>
        <v>292.93550000000005</v>
      </c>
      <c r="J23" s="9">
        <f>(5974000000/(1000))/1000</f>
        <v>5974</v>
      </c>
      <c r="K23" s="10">
        <f>(19435500000/(1000))/1000</f>
        <v>19435.5</v>
      </c>
      <c r="L23" s="10">
        <f>(19055400000/(1000))/1000</f>
        <v>19055.400000000001</v>
      </c>
      <c r="M23" s="11">
        <f t="shared" si="1"/>
        <v>44464.9</v>
      </c>
    </row>
    <row r="24" spans="1:13">
      <c r="A24" s="16">
        <v>1999</v>
      </c>
      <c r="B24" s="37">
        <v>100.18180000000001</v>
      </c>
      <c r="C24" s="34">
        <v>343.75479999999999</v>
      </c>
      <c r="D24" s="34">
        <v>32.127900000000004</v>
      </c>
      <c r="E24" s="38">
        <f t="shared" si="2"/>
        <v>476.06450000000001</v>
      </c>
      <c r="F24" s="37">
        <v>78.457599999999999</v>
      </c>
      <c r="G24" s="34">
        <v>157.02029999999999</v>
      </c>
      <c r="H24" s="34">
        <v>10.9979</v>
      </c>
      <c r="I24" s="38">
        <f t="shared" si="0"/>
        <v>246.47579999999996</v>
      </c>
      <c r="J24" s="9">
        <f>(8265700000/(1000))/1000</f>
        <v>8265.7000000000007</v>
      </c>
      <c r="K24" s="10">
        <f>(21339900000/(1000))/1000</f>
        <v>21339.9</v>
      </c>
      <c r="L24" s="10">
        <f>(19931100000/(1000))/1000</f>
        <v>19931.099999999999</v>
      </c>
      <c r="M24" s="11">
        <f t="shared" si="1"/>
        <v>49536.7</v>
      </c>
    </row>
    <row r="25" spans="1:13">
      <c r="A25" s="16">
        <v>2000</v>
      </c>
      <c r="B25" s="37">
        <v>72.778600000000012</v>
      </c>
      <c r="C25" s="34">
        <v>426.8501</v>
      </c>
      <c r="D25" s="34">
        <v>26.8157</v>
      </c>
      <c r="E25" s="38">
        <f t="shared" si="2"/>
        <v>526.44439999999997</v>
      </c>
      <c r="F25" s="37">
        <v>76.589399999999998</v>
      </c>
      <c r="G25" s="34">
        <v>192.22279999999998</v>
      </c>
      <c r="H25" s="34">
        <v>20.643799999999999</v>
      </c>
      <c r="I25" s="38">
        <f t="shared" si="0"/>
        <v>289.45599999999996</v>
      </c>
      <c r="J25" s="9">
        <f>(10729400000/(1000))/1000</f>
        <v>10729.4</v>
      </c>
      <c r="K25" s="10">
        <f>(22808600000/(1000))/1000</f>
        <v>22808.6</v>
      </c>
      <c r="L25" s="10">
        <f>(21885400000/(1000))/1000</f>
        <v>21885.4</v>
      </c>
      <c r="M25" s="11">
        <f t="shared" si="1"/>
        <v>55423.4</v>
      </c>
    </row>
    <row r="26" spans="1:13">
      <c r="A26" s="16">
        <v>2001</v>
      </c>
      <c r="B26" s="37">
        <v>45.776300000000006</v>
      </c>
      <c r="C26" s="34">
        <v>422.53709999999995</v>
      </c>
      <c r="D26" s="34">
        <v>20.171099999999999</v>
      </c>
      <c r="E26" s="38">
        <f t="shared" si="2"/>
        <v>488.48449999999997</v>
      </c>
      <c r="F26" s="37">
        <v>45.490900000000003</v>
      </c>
      <c r="G26" s="34">
        <v>188.10760000000002</v>
      </c>
      <c r="H26" s="34">
        <v>16.1356</v>
      </c>
      <c r="I26" s="38">
        <f t="shared" si="0"/>
        <v>249.73410000000004</v>
      </c>
      <c r="J26" s="9">
        <f>(11873100000/(1000))/1000</f>
        <v>11873.1</v>
      </c>
      <c r="K26" s="10">
        <f>(24216500000/(1000))/1000</f>
        <v>24216.5</v>
      </c>
      <c r="L26" s="10">
        <f>(23298100000/(1000))/1000</f>
        <v>23298.1</v>
      </c>
      <c r="M26" s="11">
        <f t="shared" si="1"/>
        <v>59387.7</v>
      </c>
    </row>
    <row r="27" spans="1:13">
      <c r="A27" s="16">
        <v>2002</v>
      </c>
      <c r="B27" s="37">
        <v>54.377300000000005</v>
      </c>
      <c r="C27" s="34">
        <v>370.30809999999997</v>
      </c>
      <c r="D27" s="34">
        <v>18.279299999999999</v>
      </c>
      <c r="E27" s="38">
        <f t="shared" si="2"/>
        <v>442.96469999999994</v>
      </c>
      <c r="F27" s="37">
        <v>28.993599999999997</v>
      </c>
      <c r="G27" s="34">
        <v>170.25179999999997</v>
      </c>
      <c r="H27" s="34">
        <v>14.4924</v>
      </c>
      <c r="I27" s="38">
        <f t="shared" si="0"/>
        <v>213.73779999999996</v>
      </c>
      <c r="J27" s="9">
        <f>(13333200000/(1000))/1000</f>
        <v>13333.2</v>
      </c>
      <c r="K27" s="10">
        <f>(24644600000/(1000))/1000</f>
        <v>24644.6</v>
      </c>
      <c r="L27" s="10">
        <f>(23586000000/(1000))/1000</f>
        <v>23586</v>
      </c>
      <c r="M27" s="11">
        <f t="shared" si="1"/>
        <v>61563.8</v>
      </c>
    </row>
    <row r="28" spans="1:13">
      <c r="A28" s="16">
        <v>2003</v>
      </c>
      <c r="B28" s="37">
        <v>96.494600000000005</v>
      </c>
      <c r="C28" s="34">
        <v>337.06370000000004</v>
      </c>
      <c r="D28" s="34">
        <v>26.170500000000001</v>
      </c>
      <c r="E28" s="38">
        <f t="shared" si="2"/>
        <v>459.72880000000004</v>
      </c>
      <c r="F28" s="37">
        <v>32.562400000000004</v>
      </c>
      <c r="G28" s="34">
        <v>168.01229999999998</v>
      </c>
      <c r="H28" s="34">
        <v>14.337</v>
      </c>
      <c r="I28" s="38">
        <f t="shared" si="0"/>
        <v>214.91169999999997</v>
      </c>
      <c r="J28" s="9">
        <f>(15373500000/(1000))/1000</f>
        <v>15373.5</v>
      </c>
      <c r="K28" s="10">
        <f>(25480200000/(1000))/1000</f>
        <v>25480.2</v>
      </c>
      <c r="L28" s="10">
        <f>(23692400000/(1000))/1000</f>
        <v>23692.400000000001</v>
      </c>
      <c r="M28" s="11">
        <f t="shared" si="1"/>
        <v>64546.1</v>
      </c>
    </row>
    <row r="29" spans="1:13">
      <c r="A29" s="16">
        <v>2004</v>
      </c>
      <c r="B29" s="37">
        <v>135.00310000000002</v>
      </c>
      <c r="C29" s="34">
        <v>341.62849999999997</v>
      </c>
      <c r="D29" s="34">
        <v>33.185499999999998</v>
      </c>
      <c r="E29" s="38">
        <f t="shared" si="2"/>
        <v>509.81709999999998</v>
      </c>
      <c r="F29" s="37">
        <v>37.777500000000003</v>
      </c>
      <c r="G29" s="34">
        <v>218.92239999999998</v>
      </c>
      <c r="H29" s="34">
        <v>15.2759</v>
      </c>
      <c r="I29" s="38">
        <f t="shared" si="0"/>
        <v>271.97579999999994</v>
      </c>
      <c r="J29" s="9">
        <f>(19108700000/(1000))/1000</f>
        <v>19108.7</v>
      </c>
      <c r="K29" s="10">
        <f>(27393700000/(1000))/1000</f>
        <v>27393.7</v>
      </c>
      <c r="L29" s="10">
        <f>(24139500000/(1000))/1000</f>
        <v>24139.5</v>
      </c>
      <c r="M29" s="11">
        <f t="shared" si="1"/>
        <v>70641.899999999994</v>
      </c>
    </row>
    <row r="30" spans="1:13">
      <c r="A30" s="16">
        <v>2005</v>
      </c>
      <c r="B30" s="37">
        <v>196.44579999999999</v>
      </c>
      <c r="C30" s="34">
        <v>410.80170000000004</v>
      </c>
      <c r="D30" s="34">
        <v>38.9208</v>
      </c>
      <c r="E30" s="38">
        <f t="shared" si="2"/>
        <v>646.16830000000004</v>
      </c>
      <c r="F30" s="37">
        <v>55.304400000000001</v>
      </c>
      <c r="G30" s="34">
        <v>288.15879999999999</v>
      </c>
      <c r="H30" s="34">
        <v>21.043400000000002</v>
      </c>
      <c r="I30" s="38">
        <f t="shared" si="0"/>
        <v>364.50659999999999</v>
      </c>
      <c r="J30" s="9">
        <f>(23773100000/(1000))/1000</f>
        <v>23773.1</v>
      </c>
      <c r="K30" s="10">
        <f>(30340100000/(1000))/1000</f>
        <v>30340.1</v>
      </c>
      <c r="L30" s="10">
        <f>(24627800000/(1000))/1000</f>
        <v>24627.8</v>
      </c>
      <c r="M30" s="11">
        <f t="shared" si="1"/>
        <v>78741</v>
      </c>
    </row>
    <row r="31" spans="1:13">
      <c r="A31" s="16">
        <v>2006</v>
      </c>
      <c r="B31" s="37">
        <v>216.31</v>
      </c>
      <c r="C31" s="34">
        <v>426.0247</v>
      </c>
      <c r="D31" s="34">
        <v>47.794899999999998</v>
      </c>
      <c r="E31" s="38">
        <f t="shared" si="2"/>
        <v>690.12959999999998</v>
      </c>
      <c r="F31" s="37">
        <v>68.252399999999994</v>
      </c>
      <c r="G31" s="34">
        <v>315.35590000000002</v>
      </c>
      <c r="H31" s="34">
        <v>24.355700000000002</v>
      </c>
      <c r="I31" s="38">
        <f t="shared" si="0"/>
        <v>407.964</v>
      </c>
      <c r="J31" s="9">
        <f>(29981700000/(1000))/1000</f>
        <v>29981.7</v>
      </c>
      <c r="K31" s="10">
        <f>(32858900000/(1000))/1000</f>
        <v>32858.9</v>
      </c>
      <c r="L31" s="10">
        <f>(25438400000/(1000))/1000</f>
        <v>25438.400000000001</v>
      </c>
      <c r="M31" s="11">
        <f t="shared" si="1"/>
        <v>88279</v>
      </c>
    </row>
    <row r="32" spans="1:13">
      <c r="A32" s="16">
        <v>2007</v>
      </c>
      <c r="B32" s="37">
        <v>357.55529999999999</v>
      </c>
      <c r="C32" s="34">
        <v>449.05340000000001</v>
      </c>
      <c r="D32" s="34">
        <v>89.169800000000009</v>
      </c>
      <c r="E32" s="38">
        <f t="shared" si="2"/>
        <v>895.77850000000001</v>
      </c>
      <c r="F32" s="37">
        <v>56.936599999999999</v>
      </c>
      <c r="G32" s="34">
        <v>373.55490000000003</v>
      </c>
      <c r="H32" s="34">
        <v>22.815900000000003</v>
      </c>
      <c r="I32" s="38">
        <f t="shared" si="0"/>
        <v>453.30740000000003</v>
      </c>
      <c r="J32" s="9">
        <f>(34745300000/(1000))/1000</f>
        <v>34745.300000000003</v>
      </c>
      <c r="K32" s="10">
        <f>(36675300000/(1000))/1000</f>
        <v>36675.300000000003</v>
      </c>
      <c r="L32" s="10">
        <f>(25627900000/(1000))/1000</f>
        <v>25627.9</v>
      </c>
      <c r="M32" s="11">
        <f t="shared" si="1"/>
        <v>97048.5</v>
      </c>
    </row>
    <row r="33" spans="1:13">
      <c r="A33" s="16">
        <v>2008</v>
      </c>
      <c r="B33" s="37">
        <v>299.34890000000001</v>
      </c>
      <c r="C33" s="34">
        <v>455.33009999999996</v>
      </c>
      <c r="D33" s="34">
        <v>79.94189999999999</v>
      </c>
      <c r="E33" s="38">
        <f t="shared" si="2"/>
        <v>834.62090000000001</v>
      </c>
      <c r="F33" s="37">
        <v>52.636300000000006</v>
      </c>
      <c r="G33" s="34">
        <v>409.8691</v>
      </c>
      <c r="H33" s="34">
        <v>23.882099999999998</v>
      </c>
      <c r="I33" s="38">
        <f t="shared" si="0"/>
        <v>486.38749999999999</v>
      </c>
      <c r="J33" s="9">
        <f>(39311500000/(1000))/1000</f>
        <v>39311.5</v>
      </c>
      <c r="K33" s="10">
        <f>(39133600000/(1000))/1000</f>
        <v>39133.599999999999</v>
      </c>
      <c r="L33" s="10">
        <f>(26697400000/(1000))/1000</f>
        <v>26697.4</v>
      </c>
      <c r="M33" s="11">
        <f t="shared" si="1"/>
        <v>105142.5</v>
      </c>
    </row>
    <row r="34" spans="1:13">
      <c r="A34" s="16">
        <v>2009</v>
      </c>
      <c r="B34" s="37">
        <v>295.3322</v>
      </c>
      <c r="C34" s="34">
        <v>453.7441</v>
      </c>
      <c r="D34" s="34">
        <v>81.627399999999994</v>
      </c>
      <c r="E34" s="38">
        <f t="shared" si="2"/>
        <v>830.70369999999991</v>
      </c>
      <c r="F34" s="37">
        <v>58.798499999999997</v>
      </c>
      <c r="G34" s="34">
        <v>430.48509999999999</v>
      </c>
      <c r="H34" s="34">
        <v>21.004999999999999</v>
      </c>
      <c r="I34" s="38">
        <f t="shared" si="0"/>
        <v>510.28859999999997</v>
      </c>
      <c r="J34" s="9">
        <f>(39014200000/(1000))/1000</f>
        <v>39014.199999999997</v>
      </c>
      <c r="K34" s="10">
        <f>(40044700000/(1000))/1000</f>
        <v>40044.699999999997</v>
      </c>
      <c r="L34" s="10">
        <f>(26824800000/(1000))/1000</f>
        <v>26824.799999999999</v>
      </c>
      <c r="M34" s="11">
        <f t="shared" si="1"/>
        <v>105883.7</v>
      </c>
    </row>
    <row r="35" spans="1:13">
      <c r="A35" s="16">
        <v>2010</v>
      </c>
      <c r="B35" s="37">
        <v>299.97040000000004</v>
      </c>
      <c r="C35" s="34">
        <v>421.83800000000002</v>
      </c>
      <c r="D35" s="34">
        <v>88.587199999999996</v>
      </c>
      <c r="E35" s="38">
        <f t="shared" si="2"/>
        <v>810.39560000000006</v>
      </c>
      <c r="F35" s="37">
        <v>81.911199999999994</v>
      </c>
      <c r="G35" s="34">
        <v>452.5317</v>
      </c>
      <c r="H35" s="34">
        <v>22.4434</v>
      </c>
      <c r="I35" s="38">
        <f t="shared" si="0"/>
        <v>556.88630000000001</v>
      </c>
      <c r="J35" s="9">
        <f>(42417400000/(1000))/1000</f>
        <v>42417.4</v>
      </c>
      <c r="K35" s="10">
        <f>(41284300000/(1000))/1000</f>
        <v>41284.300000000003</v>
      </c>
      <c r="L35" s="10">
        <f>(28195700000/(1000))/1000</f>
        <v>28195.7</v>
      </c>
      <c r="M35" s="11">
        <f t="shared" si="1"/>
        <v>111897.40000000001</v>
      </c>
    </row>
    <row r="36" spans="1:13">
      <c r="A36" s="17">
        <v>2011</v>
      </c>
      <c r="B36" s="39">
        <v>331.09300000000002</v>
      </c>
      <c r="C36" s="40">
        <v>407.87099999999998</v>
      </c>
      <c r="D36" s="40">
        <v>97.081500000000005</v>
      </c>
      <c r="E36" s="41">
        <f t="shared" si="2"/>
        <v>836.04549999999995</v>
      </c>
      <c r="F36" s="39">
        <v>114.4355</v>
      </c>
      <c r="G36" s="40">
        <v>470.6635</v>
      </c>
      <c r="H36" s="40">
        <v>24.978999999999999</v>
      </c>
      <c r="I36" s="41">
        <f t="shared" si="0"/>
        <v>610.07800000000009</v>
      </c>
      <c r="J36" s="12">
        <f>(49586400000/(1000))/1000</f>
        <v>49586.400000000001</v>
      </c>
      <c r="K36" s="13">
        <f>(42692200000/(1000))/1000</f>
        <v>42692.2</v>
      </c>
      <c r="L36" s="13">
        <f>(30177400000/(1000))/1000</f>
        <v>30177.4</v>
      </c>
      <c r="M36" s="14">
        <f t="shared" si="1"/>
        <v>122456</v>
      </c>
    </row>
    <row r="38" spans="1:13">
      <c r="A38" s="384" t="s">
        <v>52</v>
      </c>
      <c r="B38" s="385"/>
      <c r="C38" s="385"/>
      <c r="D38" s="385"/>
      <c r="E38" s="385"/>
      <c r="F38" s="382"/>
      <c r="G38" s="382"/>
      <c r="H38" s="382"/>
      <c r="I38" s="382"/>
      <c r="J38" s="385"/>
      <c r="K38" s="385"/>
      <c r="L38" s="385"/>
      <c r="M38" s="386"/>
    </row>
    <row r="39" spans="1:13">
      <c r="A39" s="15" t="s">
        <v>53</v>
      </c>
      <c r="B39" s="82">
        <f>(POWER(B15/B6,1/($A15-$A6))-1)*100</f>
        <v>16.287991319524984</v>
      </c>
      <c r="C39" s="83">
        <f t="shared" ref="C39:G39" si="3">(POWER(C15/C6,1/($A15-$A6))-1)*100</f>
        <v>19.304221361169805</v>
      </c>
      <c r="D39" s="83">
        <f t="shared" si="3"/>
        <v>6.4774320602409619</v>
      </c>
      <c r="E39" s="84">
        <f t="shared" si="3"/>
        <v>16.024475951398422</v>
      </c>
      <c r="F39" s="82">
        <f t="shared" si="3"/>
        <v>10.918319201036963</v>
      </c>
      <c r="G39" s="83">
        <f t="shared" si="3"/>
        <v>10.565697146685649</v>
      </c>
      <c r="H39" s="83">
        <f t="shared" ref="H39:M39" si="4">(POWER(H15/H6,1/($A15-$A6))-1)*100</f>
        <v>2.5527471631783261</v>
      </c>
      <c r="I39" s="84">
        <f t="shared" si="4"/>
        <v>6.8130559695626314</v>
      </c>
      <c r="J39" s="82">
        <f t="shared" si="4"/>
        <v>28.031126124179529</v>
      </c>
      <c r="K39" s="83">
        <f t="shared" si="4"/>
        <v>20.381982994625815</v>
      </c>
      <c r="L39" s="83">
        <f t="shared" si="4"/>
        <v>3.0941810913955869</v>
      </c>
      <c r="M39" s="84">
        <f t="shared" si="4"/>
        <v>6.5506599639399976</v>
      </c>
    </row>
    <row r="40" spans="1:13">
      <c r="A40" s="16" t="s">
        <v>71</v>
      </c>
      <c r="B40" s="37">
        <f>(POWER(B$25/B15,1/($A$25-$A$15))-1)*100</f>
        <v>33.266560938135449</v>
      </c>
      <c r="C40" s="34">
        <f t="shared" ref="C40:G40" si="5">(POWER(C$25/C15,1/($A$25-$A$15))-1)*100</f>
        <v>13.46459675969005</v>
      </c>
      <c r="D40" s="34">
        <f>(POWER(D$25/D15,1/($A$25-$A$15))-1)*100</f>
        <v>1.5286456586573571</v>
      </c>
      <c r="E40" s="38">
        <f t="shared" si="5"/>
        <v>13.541090061828843</v>
      </c>
      <c r="F40" s="37">
        <f t="shared" si="5"/>
        <v>31.875601609284665</v>
      </c>
      <c r="G40" s="34">
        <f t="shared" si="5"/>
        <v>18.183390947539714</v>
      </c>
      <c r="H40" s="43">
        <f t="shared" ref="H40:M40" si="6">(POWER(H$25/H15,1/($A$25-$A$15))-1)*100</f>
        <v>-1.8823362133482346</v>
      </c>
      <c r="I40" s="47">
        <f t="shared" si="6"/>
        <v>15.942792583286348</v>
      </c>
      <c r="J40" s="46">
        <f t="shared" si="6"/>
        <v>27.149092005465892</v>
      </c>
      <c r="K40" s="43">
        <f t="shared" si="6"/>
        <v>12.125768977463069</v>
      </c>
      <c r="L40" s="43">
        <f t="shared" si="6"/>
        <v>3.0015769130495418</v>
      </c>
      <c r="M40" s="47">
        <f t="shared" si="6"/>
        <v>8.4988321959057025</v>
      </c>
    </row>
    <row r="41" spans="1:13">
      <c r="A41" s="16" t="s">
        <v>69</v>
      </c>
      <c r="B41" s="37">
        <f>(POWER(B$35/B25,1/($A$35-$A$25))-1)*100</f>
        <v>15.214587829097148</v>
      </c>
      <c r="C41" s="34">
        <f t="shared" ref="C41:G41" si="7">(POWER(C$35/C25,1/($A$35-$A$25))-1)*100</f>
        <v>-0.11804570771173362</v>
      </c>
      <c r="D41" s="34">
        <f t="shared" si="7"/>
        <v>12.693322612215653</v>
      </c>
      <c r="E41" s="38">
        <f t="shared" si="7"/>
        <v>4.4081634171501349</v>
      </c>
      <c r="F41" s="37">
        <f t="shared" si="7"/>
        <v>0.67403191568533583</v>
      </c>
      <c r="G41" s="34">
        <f t="shared" si="7"/>
        <v>8.9392574710750914</v>
      </c>
      <c r="H41" s="43">
        <f t="shared" ref="H41:M41" si="8">(POWER(H$35/H25,1/($A$35-$A$25))-1)*100</f>
        <v>0.83931821114426874</v>
      </c>
      <c r="I41" s="47">
        <f t="shared" si="8"/>
        <v>6.7624171278356071</v>
      </c>
      <c r="J41" s="46">
        <f>(POWER(J$35/J25,1/($A$35-$A$25))-1)*100</f>
        <v>14.735248559694746</v>
      </c>
      <c r="K41" s="43">
        <f t="shared" si="8"/>
        <v>6.1130089574285895</v>
      </c>
      <c r="L41" s="43">
        <f t="shared" si="8"/>
        <v>2.5658631573704183</v>
      </c>
      <c r="M41" s="47">
        <f t="shared" si="8"/>
        <v>7.2784976926933753</v>
      </c>
    </row>
    <row r="42" spans="1:13">
      <c r="A42" s="17" t="s">
        <v>70</v>
      </c>
      <c r="B42" s="39">
        <f>(POWER(B35/B6,1/($A$35-$A$6))-1)*100</f>
        <v>21.49409972594114</v>
      </c>
      <c r="C42" s="40">
        <f t="shared" ref="C42:D42" si="9">(POWER(C35/C6,1/($A$35-$A$6))-1)*100</f>
        <v>10.288497166323317</v>
      </c>
      <c r="D42" s="40">
        <f t="shared" si="9"/>
        <v>6.8137344969424474</v>
      </c>
      <c r="E42" s="41">
        <f>(POWER(E35/E6,1/($A$35-$A$6))-1)*100</f>
        <v>11.048089957354446</v>
      </c>
      <c r="F42" s="39">
        <f t="shared" ref="F42:G42" si="10">(POWER(F35/F6,1/($A$35-$A$6))-1)*100</f>
        <v>13.86980452845712</v>
      </c>
      <c r="G42" s="40">
        <f t="shared" si="10"/>
        <v>12.55869342551199</v>
      </c>
      <c r="H42" s="49">
        <f t="shared" ref="H42:M42" si="11">(POWER(H35/H6,1/($A$35-$A$6))-1)*100</f>
        <v>0.41609627289498352</v>
      </c>
      <c r="I42" s="50">
        <f t="shared" si="11"/>
        <v>9.859061099888077</v>
      </c>
      <c r="J42" s="48">
        <f t="shared" si="11"/>
        <v>22.987237267614134</v>
      </c>
      <c r="K42" s="49">
        <f t="shared" si="11"/>
        <v>12.467588188550426</v>
      </c>
      <c r="L42" s="49">
        <f t="shared" si="11"/>
        <v>2.8798104565101568</v>
      </c>
      <c r="M42" s="50">
        <f t="shared" si="11"/>
        <v>7.4704483938756949</v>
      </c>
    </row>
    <row r="44" spans="1:13">
      <c r="A44" s="1" t="s">
        <v>67</v>
      </c>
    </row>
    <row r="45" spans="1:13">
      <c r="A45" s="1" t="s">
        <v>98</v>
      </c>
    </row>
  </sheetData>
  <mergeCells count="5">
    <mergeCell ref="A1:H2"/>
    <mergeCell ref="B4:E4"/>
    <mergeCell ref="F4:I4"/>
    <mergeCell ref="J4:M4"/>
    <mergeCell ref="A38:M38"/>
  </mergeCells>
  <pageMargins left="0.7" right="0.7" top="0.75" bottom="0.75" header="0.3" footer="0.3"/>
  <pageSetup scale="61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3"/>
  <dimension ref="A1:H46"/>
  <sheetViews>
    <sheetView zoomScaleNormal="100" workbookViewId="0">
      <selection sqref="A1:H1"/>
    </sheetView>
  </sheetViews>
  <sheetFormatPr defaultRowHeight="15"/>
  <cols>
    <col min="1" max="1" width="10.140625" style="1" customWidth="1"/>
    <col min="2" max="2" width="18.140625" style="1" customWidth="1"/>
    <col min="3" max="3" width="15.7109375" style="1" customWidth="1"/>
    <col min="4" max="4" width="16.42578125" style="1" customWidth="1"/>
    <col min="5" max="5" width="13.85546875" style="1" customWidth="1"/>
    <col min="6" max="6" width="22.140625" style="1" customWidth="1"/>
    <col min="7" max="7" width="17.28515625" style="1" customWidth="1"/>
    <col min="8" max="16384" width="9.140625" style="1"/>
  </cols>
  <sheetData>
    <row r="1" spans="1:8" ht="36" customHeight="1">
      <c r="A1" s="387" t="s">
        <v>103</v>
      </c>
      <c r="B1" s="387"/>
      <c r="C1" s="387"/>
      <c r="D1" s="387"/>
      <c r="E1" s="387"/>
      <c r="F1" s="387"/>
      <c r="G1" s="387"/>
      <c r="H1" s="387"/>
    </row>
    <row r="2" spans="1:8" ht="36" customHeight="1">
      <c r="A2" s="222"/>
      <c r="B2" s="222"/>
      <c r="C2" s="222"/>
      <c r="D2" s="222"/>
      <c r="E2" s="222"/>
      <c r="F2" s="222"/>
      <c r="G2" s="222"/>
      <c r="H2" s="222"/>
    </row>
    <row r="3" spans="1:8">
      <c r="E3" s="389" t="s">
        <v>76</v>
      </c>
      <c r="F3" s="391"/>
      <c r="G3" s="390"/>
    </row>
    <row r="4" spans="1:8" ht="45">
      <c r="A4" s="62"/>
      <c r="B4" s="3" t="s">
        <v>44</v>
      </c>
      <c r="C4" s="4" t="s">
        <v>45</v>
      </c>
      <c r="D4" s="5" t="s">
        <v>38</v>
      </c>
      <c r="E4" s="3" t="s">
        <v>44</v>
      </c>
      <c r="F4" s="4" t="s">
        <v>45</v>
      </c>
      <c r="G4" s="5" t="s">
        <v>38</v>
      </c>
    </row>
    <row r="5" spans="1:8">
      <c r="A5" s="64">
        <v>1981</v>
      </c>
      <c r="B5" s="7">
        <v>6366.1</v>
      </c>
      <c r="C5" s="7">
        <v>21435.1</v>
      </c>
      <c r="D5" s="8">
        <v>570979.30000000005</v>
      </c>
      <c r="E5" s="236">
        <f>B5/$D5*100</f>
        <v>1.114944096922603</v>
      </c>
      <c r="F5" s="214">
        <f t="shared" ref="F5:F35" si="0">C5/$D5*100</f>
        <v>3.7540940626043704</v>
      </c>
      <c r="G5" s="84">
        <f t="shared" ref="G5:G35" si="1">D5/$D5*100</f>
        <v>100</v>
      </c>
    </row>
    <row r="6" spans="1:8">
      <c r="A6" s="65">
        <v>1982</v>
      </c>
      <c r="B6" s="10">
        <v>6125.7</v>
      </c>
      <c r="C6" s="10">
        <v>21782.799999999999</v>
      </c>
      <c r="D6" s="11">
        <v>588342.1</v>
      </c>
      <c r="E6" s="216">
        <f t="shared" ref="E6:E35" si="2">B6/$D6*100</f>
        <v>1.0411799529559418</v>
      </c>
      <c r="F6" s="143">
        <f t="shared" si="0"/>
        <v>3.7024037545502861</v>
      </c>
      <c r="G6" s="87">
        <f t="shared" si="1"/>
        <v>100</v>
      </c>
    </row>
    <row r="7" spans="1:8">
      <c r="A7" s="65">
        <v>1983</v>
      </c>
      <c r="B7" s="10">
        <v>6374.8</v>
      </c>
      <c r="C7" s="10">
        <v>22204.400000000001</v>
      </c>
      <c r="D7" s="11">
        <v>597574.6</v>
      </c>
      <c r="E7" s="216">
        <f t="shared" si="2"/>
        <v>1.066778942746228</v>
      </c>
      <c r="F7" s="143">
        <f t="shared" si="0"/>
        <v>3.7157536481637612</v>
      </c>
      <c r="G7" s="87">
        <f t="shared" si="1"/>
        <v>100</v>
      </c>
    </row>
    <row r="8" spans="1:8">
      <c r="A8" s="65">
        <v>1984</v>
      </c>
      <c r="B8" s="10">
        <v>6761.6</v>
      </c>
      <c r="C8" s="10">
        <v>22564</v>
      </c>
      <c r="D8" s="11">
        <v>605732.80000000005</v>
      </c>
      <c r="E8" s="216">
        <f t="shared" si="2"/>
        <v>1.1162677669097663</v>
      </c>
      <c r="F8" s="143">
        <f t="shared" si="0"/>
        <v>3.7250748184678129</v>
      </c>
      <c r="G8" s="87">
        <f t="shared" si="1"/>
        <v>100</v>
      </c>
    </row>
    <row r="9" spans="1:8">
      <c r="A9" s="65">
        <v>1985</v>
      </c>
      <c r="B9" s="10">
        <v>6472.4</v>
      </c>
      <c r="C9" s="10">
        <v>23060</v>
      </c>
      <c r="D9" s="11">
        <v>617504.5</v>
      </c>
      <c r="E9" s="216">
        <f t="shared" si="2"/>
        <v>1.0481543049483848</v>
      </c>
      <c r="F9" s="143">
        <f t="shared" si="0"/>
        <v>3.734385741318484</v>
      </c>
      <c r="G9" s="87">
        <f t="shared" si="1"/>
        <v>100</v>
      </c>
    </row>
    <row r="10" spans="1:8">
      <c r="A10" s="65">
        <v>1986</v>
      </c>
      <c r="B10" s="10">
        <v>6623.1</v>
      </c>
      <c r="C10" s="10">
        <v>22834.5</v>
      </c>
      <c r="D10" s="11">
        <v>627966.4</v>
      </c>
      <c r="E10" s="216">
        <f t="shared" si="2"/>
        <v>1.0546901872456871</v>
      </c>
      <c r="F10" s="143">
        <f t="shared" si="0"/>
        <v>3.6362614305478762</v>
      </c>
      <c r="G10" s="87">
        <f t="shared" si="1"/>
        <v>100</v>
      </c>
    </row>
    <row r="11" spans="1:8">
      <c r="A11" s="65">
        <v>1987</v>
      </c>
      <c r="B11" s="10">
        <v>6127.2</v>
      </c>
      <c r="C11" s="10">
        <v>22392.5</v>
      </c>
      <c r="D11" s="11">
        <v>643155.1</v>
      </c>
      <c r="E11" s="216">
        <f t="shared" si="2"/>
        <v>0.95267844412646341</v>
      </c>
      <c r="F11" s="143">
        <f t="shared" si="0"/>
        <v>3.4816640651687285</v>
      </c>
      <c r="G11" s="87">
        <f t="shared" si="1"/>
        <v>100</v>
      </c>
    </row>
    <row r="12" spans="1:8">
      <c r="A12" s="65">
        <v>1988</v>
      </c>
      <c r="B12" s="10">
        <v>8161.9</v>
      </c>
      <c r="C12" s="10">
        <v>21988.2</v>
      </c>
      <c r="D12" s="11">
        <v>667373.9</v>
      </c>
      <c r="E12" s="216">
        <f t="shared" si="2"/>
        <v>1.2229875936113173</v>
      </c>
      <c r="F12" s="143">
        <f t="shared" si="0"/>
        <v>3.2947347806079921</v>
      </c>
      <c r="G12" s="87">
        <f t="shared" si="1"/>
        <v>100</v>
      </c>
    </row>
    <row r="13" spans="1:8">
      <c r="A13" s="65">
        <v>1989</v>
      </c>
      <c r="B13" s="10">
        <v>9257.1</v>
      </c>
      <c r="C13" s="10">
        <v>21348.1</v>
      </c>
      <c r="D13" s="11">
        <v>692159.4</v>
      </c>
      <c r="E13" s="216">
        <f t="shared" si="2"/>
        <v>1.3374231427038339</v>
      </c>
      <c r="F13" s="143">
        <f t="shared" si="0"/>
        <v>3.0842750961700438</v>
      </c>
      <c r="G13" s="87">
        <f t="shared" si="1"/>
        <v>100</v>
      </c>
    </row>
    <row r="14" spans="1:8">
      <c r="A14" s="65">
        <v>1990</v>
      </c>
      <c r="B14" s="10">
        <v>9970.5</v>
      </c>
      <c r="C14" s="10">
        <v>20679.900000000001</v>
      </c>
      <c r="D14" s="11">
        <v>710532.2</v>
      </c>
      <c r="E14" s="216">
        <f t="shared" si="2"/>
        <v>1.403243934616897</v>
      </c>
      <c r="F14" s="143">
        <f t="shared" si="0"/>
        <v>2.9104803413553957</v>
      </c>
      <c r="G14" s="87">
        <f t="shared" si="1"/>
        <v>100</v>
      </c>
    </row>
    <row r="15" spans="1:8">
      <c r="A15" s="65">
        <v>1991</v>
      </c>
      <c r="B15" s="10">
        <v>11632.3</v>
      </c>
      <c r="C15" s="10">
        <v>19850.2</v>
      </c>
      <c r="D15" s="11">
        <v>723789.1</v>
      </c>
      <c r="E15" s="216">
        <f t="shared" si="2"/>
        <v>1.6071394277697744</v>
      </c>
      <c r="F15" s="143">
        <f t="shared" si="0"/>
        <v>2.7425392286233659</v>
      </c>
      <c r="G15" s="87">
        <f t="shared" si="1"/>
        <v>100</v>
      </c>
    </row>
    <row r="16" spans="1:8">
      <c r="A16" s="65">
        <v>1992</v>
      </c>
      <c r="B16" s="10">
        <v>12576.5</v>
      </c>
      <c r="C16" s="10">
        <v>19147.8</v>
      </c>
      <c r="D16" s="11">
        <v>726408.8</v>
      </c>
      <c r="E16" s="216">
        <f t="shared" si="2"/>
        <v>1.7313253914324824</v>
      </c>
      <c r="F16" s="143">
        <f t="shared" si="0"/>
        <v>2.6359537494589818</v>
      </c>
      <c r="G16" s="87">
        <f t="shared" si="1"/>
        <v>100</v>
      </c>
    </row>
    <row r="17" spans="1:7">
      <c r="A17" s="65">
        <v>1993</v>
      </c>
      <c r="B17" s="10">
        <v>11329.5</v>
      </c>
      <c r="C17" s="10">
        <v>18621.900000000001</v>
      </c>
      <c r="D17" s="11">
        <v>726478.3</v>
      </c>
      <c r="E17" s="216">
        <f t="shared" si="2"/>
        <v>1.5595097609935491</v>
      </c>
      <c r="F17" s="143">
        <f t="shared" si="0"/>
        <v>2.5633112510036433</v>
      </c>
      <c r="G17" s="87">
        <f t="shared" si="1"/>
        <v>100</v>
      </c>
    </row>
    <row r="18" spans="1:7">
      <c r="A18" s="65">
        <v>1994</v>
      </c>
      <c r="B18" s="10">
        <v>10573.9</v>
      </c>
      <c r="C18" s="10">
        <v>18135.5</v>
      </c>
      <c r="D18" s="11">
        <v>732992</v>
      </c>
      <c r="E18" s="216">
        <f t="shared" si="2"/>
        <v>1.4425669038679823</v>
      </c>
      <c r="F18" s="143">
        <f t="shared" si="0"/>
        <v>2.4741743429669083</v>
      </c>
      <c r="G18" s="87">
        <f t="shared" si="1"/>
        <v>100</v>
      </c>
    </row>
    <row r="19" spans="1:7">
      <c r="A19" s="65">
        <v>1995</v>
      </c>
      <c r="B19" s="10">
        <v>9799.5</v>
      </c>
      <c r="C19" s="10">
        <v>17671.7</v>
      </c>
      <c r="D19" s="11">
        <v>738858.3</v>
      </c>
      <c r="E19" s="216">
        <f t="shared" si="2"/>
        <v>1.3263030272516394</v>
      </c>
      <c r="F19" s="143">
        <f t="shared" si="0"/>
        <v>2.391757661787111</v>
      </c>
      <c r="G19" s="87">
        <f t="shared" si="1"/>
        <v>100</v>
      </c>
    </row>
    <row r="20" spans="1:7">
      <c r="A20" s="65">
        <v>1996</v>
      </c>
      <c r="B20" s="10">
        <v>9563.2000000000007</v>
      </c>
      <c r="C20" s="10">
        <v>17375.2</v>
      </c>
      <c r="D20" s="11">
        <v>745005.2</v>
      </c>
      <c r="E20" s="216">
        <f t="shared" si="2"/>
        <v>1.2836420470622218</v>
      </c>
      <c r="F20" s="143">
        <f t="shared" si="0"/>
        <v>2.3322253321184876</v>
      </c>
      <c r="G20" s="87">
        <f t="shared" si="1"/>
        <v>100</v>
      </c>
    </row>
    <row r="21" spans="1:7">
      <c r="A21" s="65">
        <v>1997</v>
      </c>
      <c r="B21" s="10">
        <v>10355.799999999999</v>
      </c>
      <c r="C21" s="10">
        <v>17465.3</v>
      </c>
      <c r="D21" s="11">
        <v>766716</v>
      </c>
      <c r="E21" s="216">
        <f t="shared" si="2"/>
        <v>1.350669609086024</v>
      </c>
      <c r="F21" s="143">
        <f t="shared" si="0"/>
        <v>2.2779360284642549</v>
      </c>
      <c r="G21" s="87">
        <f t="shared" si="1"/>
        <v>100</v>
      </c>
    </row>
    <row r="22" spans="1:7">
      <c r="A22" s="65">
        <v>1998</v>
      </c>
      <c r="B22" s="10">
        <v>10856.7</v>
      </c>
      <c r="C22" s="10">
        <v>17808.400000000001</v>
      </c>
      <c r="D22" s="11">
        <v>788077</v>
      </c>
      <c r="E22" s="216">
        <f t="shared" si="2"/>
        <v>1.3776191920332659</v>
      </c>
      <c r="F22" s="143">
        <f t="shared" si="0"/>
        <v>2.2597284275521301</v>
      </c>
      <c r="G22" s="87">
        <f t="shared" si="1"/>
        <v>100</v>
      </c>
    </row>
    <row r="23" spans="1:7">
      <c r="A23" s="65">
        <v>1999</v>
      </c>
      <c r="B23" s="10">
        <v>12419</v>
      </c>
      <c r="C23" s="10">
        <v>17827.8</v>
      </c>
      <c r="D23" s="11">
        <v>809883.6</v>
      </c>
      <c r="E23" s="216">
        <f t="shared" si="2"/>
        <v>1.5334302361475156</v>
      </c>
      <c r="F23" s="143">
        <f t="shared" si="0"/>
        <v>2.2012792949505333</v>
      </c>
      <c r="G23" s="87">
        <f t="shared" si="1"/>
        <v>100</v>
      </c>
    </row>
    <row r="24" spans="1:7">
      <c r="A24" s="65">
        <v>2000</v>
      </c>
      <c r="B24" s="10">
        <v>12865.3</v>
      </c>
      <c r="C24" s="10">
        <v>17881</v>
      </c>
      <c r="D24" s="11">
        <v>829739.8</v>
      </c>
      <c r="E24" s="216">
        <f t="shared" si="2"/>
        <v>1.5505222239550276</v>
      </c>
      <c r="F24" s="143">
        <f t="shared" si="0"/>
        <v>2.1550129329700707</v>
      </c>
      <c r="G24" s="87">
        <f t="shared" si="1"/>
        <v>100</v>
      </c>
    </row>
    <row r="25" spans="1:7">
      <c r="A25" s="65">
        <v>2001</v>
      </c>
      <c r="B25" s="10">
        <v>14342.6</v>
      </c>
      <c r="C25" s="10">
        <v>17943.099999999999</v>
      </c>
      <c r="D25" s="11">
        <v>842856.1</v>
      </c>
      <c r="E25" s="216">
        <f t="shared" si="2"/>
        <v>1.7016665122314474</v>
      </c>
      <c r="F25" s="143">
        <f t="shared" si="0"/>
        <v>2.1288450068760256</v>
      </c>
      <c r="G25" s="87">
        <f t="shared" si="1"/>
        <v>100</v>
      </c>
    </row>
    <row r="26" spans="1:7">
      <c r="A26" s="65">
        <v>2002</v>
      </c>
      <c r="B26" s="10">
        <v>14554.3</v>
      </c>
      <c r="C26" s="10">
        <v>17666.8</v>
      </c>
      <c r="D26" s="11">
        <v>847253.4</v>
      </c>
      <c r="E26" s="216">
        <f t="shared" si="2"/>
        <v>1.7178213743373587</v>
      </c>
      <c r="F26" s="143">
        <f t="shared" si="0"/>
        <v>2.085184904539775</v>
      </c>
      <c r="G26" s="87">
        <f t="shared" si="1"/>
        <v>100</v>
      </c>
    </row>
    <row r="27" spans="1:7">
      <c r="A27" s="65">
        <v>2003</v>
      </c>
      <c r="B27" s="10">
        <v>13849.1</v>
      </c>
      <c r="C27" s="10">
        <v>17584.599999999999</v>
      </c>
      <c r="D27" s="11">
        <v>856931.6</v>
      </c>
      <c r="E27" s="216">
        <f t="shared" si="2"/>
        <v>1.6161266546828243</v>
      </c>
      <c r="F27" s="143">
        <f t="shared" si="0"/>
        <v>2.0520424267234398</v>
      </c>
      <c r="G27" s="87">
        <f t="shared" si="1"/>
        <v>100</v>
      </c>
    </row>
    <row r="28" spans="1:7">
      <c r="A28" s="65">
        <v>2004</v>
      </c>
      <c r="B28" s="10">
        <v>13147.4</v>
      </c>
      <c r="C28" s="10">
        <v>17432</v>
      </c>
      <c r="D28" s="11">
        <v>875619.5</v>
      </c>
      <c r="E28" s="216">
        <f t="shared" si="2"/>
        <v>1.5014969401663623</v>
      </c>
      <c r="F28" s="143">
        <f t="shared" si="0"/>
        <v>1.9908190715259309</v>
      </c>
      <c r="G28" s="87">
        <f t="shared" si="1"/>
        <v>100</v>
      </c>
    </row>
    <row r="29" spans="1:7">
      <c r="A29" s="65">
        <v>2005</v>
      </c>
      <c r="B29" s="10">
        <v>14281.1</v>
      </c>
      <c r="C29" s="10">
        <v>17417.599999999999</v>
      </c>
      <c r="D29" s="11">
        <v>904937</v>
      </c>
      <c r="E29" s="216">
        <f t="shared" si="2"/>
        <v>1.5781319583573223</v>
      </c>
      <c r="F29" s="143">
        <f t="shared" si="0"/>
        <v>1.924730671858925</v>
      </c>
      <c r="G29" s="87">
        <f t="shared" si="1"/>
        <v>100</v>
      </c>
    </row>
    <row r="30" spans="1:7">
      <c r="A30" s="65">
        <v>2006</v>
      </c>
      <c r="B30" s="10">
        <v>14136.4</v>
      </c>
      <c r="C30" s="10">
        <v>17396.900000000001</v>
      </c>
      <c r="D30" s="11">
        <v>940929.9</v>
      </c>
      <c r="E30" s="216">
        <f t="shared" si="2"/>
        <v>1.5023860969876714</v>
      </c>
      <c r="F30" s="143">
        <f t="shared" si="0"/>
        <v>1.8489050034439336</v>
      </c>
      <c r="G30" s="87">
        <f t="shared" si="1"/>
        <v>100</v>
      </c>
    </row>
    <row r="31" spans="1:7">
      <c r="A31" s="65">
        <v>2007</v>
      </c>
      <c r="B31" s="10">
        <v>15901.2</v>
      </c>
      <c r="C31" s="10">
        <v>17297.900000000001</v>
      </c>
      <c r="D31" s="11">
        <v>972271.6</v>
      </c>
      <c r="E31" s="216">
        <f t="shared" si="2"/>
        <v>1.6354689368690805</v>
      </c>
      <c r="F31" s="143">
        <f t="shared" si="0"/>
        <v>1.7791222123530095</v>
      </c>
      <c r="G31" s="87">
        <f t="shared" si="1"/>
        <v>100</v>
      </c>
    </row>
    <row r="32" spans="1:7">
      <c r="A32" s="65">
        <v>2008</v>
      </c>
      <c r="B32" s="10">
        <v>16720.900000000001</v>
      </c>
      <c r="C32" s="10">
        <v>17104.7</v>
      </c>
      <c r="D32" s="11">
        <v>1006265.2</v>
      </c>
      <c r="E32" s="216">
        <f t="shared" si="2"/>
        <v>1.6616792471805646</v>
      </c>
      <c r="F32" s="143">
        <f t="shared" si="0"/>
        <v>1.6998202859445004</v>
      </c>
      <c r="G32" s="87">
        <f t="shared" si="1"/>
        <v>100</v>
      </c>
    </row>
    <row r="33" spans="1:7">
      <c r="A33" s="65">
        <v>2009</v>
      </c>
      <c r="B33" s="10">
        <v>15619</v>
      </c>
      <c r="C33" s="10">
        <v>16988.8</v>
      </c>
      <c r="D33" s="11">
        <v>999768.4</v>
      </c>
      <c r="E33" s="216">
        <f t="shared" si="2"/>
        <v>1.5622618198374743</v>
      </c>
      <c r="F33" s="143">
        <f t="shared" si="0"/>
        <v>1.6992735517545863</v>
      </c>
      <c r="G33" s="87">
        <f t="shared" si="1"/>
        <v>100</v>
      </c>
    </row>
    <row r="34" spans="1:7">
      <c r="A34" s="65">
        <v>2010</v>
      </c>
      <c r="B34" s="10">
        <v>14291.1</v>
      </c>
      <c r="C34" s="10">
        <v>17254.5</v>
      </c>
      <c r="D34" s="11">
        <v>1002782.8</v>
      </c>
      <c r="E34" s="216">
        <f t="shared" si="2"/>
        <v>1.4251441089735484</v>
      </c>
      <c r="F34" s="143">
        <f t="shared" si="0"/>
        <v>1.7206617425029627</v>
      </c>
      <c r="G34" s="87">
        <f t="shared" si="1"/>
        <v>100</v>
      </c>
    </row>
    <row r="35" spans="1:7">
      <c r="A35" s="66">
        <v>2011</v>
      </c>
      <c r="B35" s="13">
        <v>13246.5</v>
      </c>
      <c r="C35" s="13">
        <v>17493</v>
      </c>
      <c r="D35" s="14">
        <v>1015561.1</v>
      </c>
      <c r="E35" s="234">
        <f t="shared" si="2"/>
        <v>1.3043528350977602</v>
      </c>
      <c r="F35" s="215">
        <f t="shared" si="0"/>
        <v>1.7224960664602063</v>
      </c>
      <c r="G35" s="90">
        <f t="shared" si="1"/>
        <v>100</v>
      </c>
    </row>
    <row r="37" spans="1:7">
      <c r="A37" s="384" t="s">
        <v>52</v>
      </c>
      <c r="B37" s="385"/>
      <c r="C37" s="385"/>
      <c r="D37" s="386"/>
      <c r="E37" s="389" t="s">
        <v>77</v>
      </c>
      <c r="F37" s="390"/>
    </row>
    <row r="38" spans="1:7">
      <c r="A38" s="15" t="s">
        <v>53</v>
      </c>
      <c r="B38" s="82">
        <f>(POWER(B14/B5,1/($A14-$A5))-1)*100</f>
        <v>5.1112681289137152</v>
      </c>
      <c r="C38" s="83">
        <f t="shared" ref="C38:D38" si="3">(POWER(C14/C5,1/($A14-$A5))-1)*100</f>
        <v>-0.3977352770852316</v>
      </c>
      <c r="D38" s="84">
        <f t="shared" si="3"/>
        <v>2.4593246450006712</v>
      </c>
      <c r="E38" s="82">
        <f>E14-E5</f>
        <v>0.28829983769429401</v>
      </c>
      <c r="F38" s="84">
        <f>F14-F5</f>
        <v>-0.84361372124897471</v>
      </c>
    </row>
    <row r="39" spans="1:7">
      <c r="A39" s="16" t="s">
        <v>71</v>
      </c>
      <c r="B39" s="37">
        <f>(POWER(B$24/B14,1/($A$24-$A$14))-1)*100</f>
        <v>2.5817959006722235</v>
      </c>
      <c r="C39" s="34">
        <f t="shared" ref="C39:D39" si="4">(POWER(C$24/C14,1/($A$24-$A$14))-1)*100</f>
        <v>-1.4437122458747953</v>
      </c>
      <c r="D39" s="38">
        <f t="shared" si="4"/>
        <v>1.5630690115767676</v>
      </c>
      <c r="E39" s="85">
        <f>E24-E14</f>
        <v>0.14727828933813059</v>
      </c>
      <c r="F39" s="87">
        <f>F24-F14</f>
        <v>-0.755467408385325</v>
      </c>
    </row>
    <row r="40" spans="1:7">
      <c r="A40" s="16" t="s">
        <v>69</v>
      </c>
      <c r="B40" s="37">
        <f>(POWER(B$34/B24,1/($A$34-$A$24))-1)*100</f>
        <v>1.0565747565296491</v>
      </c>
      <c r="C40" s="34">
        <f t="shared" ref="C40:D40" si="5">(POWER(C$34/C24,1/($A$34-$A$24))-1)*100</f>
        <v>-0.3560219094706496</v>
      </c>
      <c r="D40" s="38">
        <f t="shared" si="5"/>
        <v>1.9122747378318872</v>
      </c>
      <c r="E40" s="85">
        <f>E34-E24</f>
        <v>-0.12537811498147922</v>
      </c>
      <c r="F40" s="87">
        <f>F34-F24</f>
        <v>-0.43435119046710802</v>
      </c>
    </row>
    <row r="41" spans="1:7">
      <c r="A41" s="17" t="s">
        <v>70</v>
      </c>
      <c r="B41" s="39">
        <f>(POWER(B34/B5,1/($A$34-$A$5))-1)*100</f>
        <v>2.8276891322028597</v>
      </c>
      <c r="C41" s="40">
        <f t="shared" ref="C41:D41" si="6">(POWER(C34/C5,1/($A$34-$A$5))-1)*100</f>
        <v>-0.74533534600887963</v>
      </c>
      <c r="D41" s="41">
        <f t="shared" si="6"/>
        <v>1.9609839021451636</v>
      </c>
      <c r="E41" s="88">
        <f>E34-E5</f>
        <v>0.31020001205094538</v>
      </c>
      <c r="F41" s="90">
        <f>F34-F5</f>
        <v>-2.033432320101408</v>
      </c>
    </row>
    <row r="43" spans="1:7">
      <c r="A43" s="1" t="s">
        <v>46</v>
      </c>
    </row>
    <row r="45" spans="1:7">
      <c r="A45" s="388" t="s">
        <v>98</v>
      </c>
      <c r="B45" s="388"/>
      <c r="C45" s="388"/>
      <c r="D45" s="388"/>
      <c r="E45" s="388"/>
      <c r="F45" s="388"/>
    </row>
    <row r="46" spans="1:7">
      <c r="A46" s="388"/>
      <c r="B46" s="388"/>
      <c r="C46" s="388"/>
      <c r="D46" s="388"/>
      <c r="E46" s="388"/>
      <c r="F46" s="388"/>
    </row>
  </sheetData>
  <mergeCells count="5">
    <mergeCell ref="A37:D37"/>
    <mergeCell ref="A1:H1"/>
    <mergeCell ref="A45:F46"/>
    <mergeCell ref="E37:F37"/>
    <mergeCell ref="E3:G3"/>
  </mergeCells>
  <pageMargins left="0.7" right="0.7" top="0.75" bottom="0.75" header="0.3" footer="0.3"/>
  <pageSetup scale="74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/>
  <dimension ref="A1:M43"/>
  <sheetViews>
    <sheetView zoomScaleNormal="100" workbookViewId="0">
      <selection sqref="A1:F2"/>
    </sheetView>
  </sheetViews>
  <sheetFormatPr defaultRowHeight="15"/>
  <cols>
    <col min="2" max="2" width="11" customWidth="1"/>
    <col min="4" max="4" width="19" customWidth="1"/>
    <col min="6" max="6" width="11.42578125" customWidth="1"/>
    <col min="8" max="8" width="17.140625" customWidth="1"/>
    <col min="10" max="10" width="11.7109375" customWidth="1"/>
    <col min="12" max="12" width="17.5703125" customWidth="1"/>
  </cols>
  <sheetData>
    <row r="1" spans="1:13">
      <c r="A1" s="387" t="s">
        <v>140</v>
      </c>
      <c r="B1" s="387"/>
      <c r="C1" s="387"/>
      <c r="D1" s="387"/>
      <c r="E1" s="387"/>
      <c r="F1" s="387"/>
      <c r="G1" s="227"/>
      <c r="H1" s="227"/>
      <c r="I1" s="227"/>
      <c r="J1" s="227"/>
      <c r="K1" s="227"/>
      <c r="L1" s="227"/>
      <c r="M1" s="227"/>
    </row>
    <row r="2" spans="1:13" ht="33.75" customHeight="1">
      <c r="A2" s="387"/>
      <c r="B2" s="387"/>
      <c r="C2" s="387"/>
      <c r="D2" s="387"/>
      <c r="E2" s="387"/>
      <c r="F2" s="387"/>
      <c r="G2" s="227"/>
      <c r="H2" s="227"/>
      <c r="I2" s="227"/>
      <c r="J2" s="227"/>
      <c r="K2" s="227"/>
      <c r="L2" s="227"/>
      <c r="M2" s="227"/>
    </row>
    <row r="3" spans="1:1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>
      <c r="A4" s="233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233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190" t="str">
        <f>IFERROR('4a'!B6/'1h'!$B6*1000, "na")</f>
        <v>na</v>
      </c>
      <c r="C6" s="191" t="str">
        <f>IFERROR('4a'!C6/'1h'!$B6*1000, "na")</f>
        <v>na</v>
      </c>
      <c r="D6" s="191" t="str">
        <f>IFERROR('4a'!D6/'1h'!$B6*1000, "na")</f>
        <v>na</v>
      </c>
      <c r="E6" s="153" t="str">
        <f>IFERROR('4a'!E6/'1h'!$B6*1000, "na")</f>
        <v>na</v>
      </c>
      <c r="F6" s="190" t="str">
        <f>IFERROR('4a'!F6/'1h'!$C6*1000, "na")</f>
        <v>na</v>
      </c>
      <c r="G6" s="191" t="str">
        <f>IFERROR('4a'!G6/'1h'!$C6*1000, "na")</f>
        <v>na</v>
      </c>
      <c r="H6" s="191" t="str">
        <f>IFERROR('4a'!H6/'1h'!$C6*1000, "na")</f>
        <v>na</v>
      </c>
      <c r="I6" s="153" t="str">
        <f>IFERROR('4a'!I6/'1h'!$C6*1000, "na")</f>
        <v>na</v>
      </c>
      <c r="J6" s="190" t="str">
        <f>IFERROR('4a'!J6/'1h'!$D6*100, "na")</f>
        <v>na</v>
      </c>
      <c r="K6" s="191" t="str">
        <f>IFERROR('4a'!K6/'1h'!$D6*100, "na")</f>
        <v>na</v>
      </c>
      <c r="L6" s="191" t="str">
        <f>IFERROR('4a'!L6/'1h'!$D6*100, "na")</f>
        <v>na</v>
      </c>
      <c r="M6" s="153" t="str">
        <f>IFERROR('4a'!M6/'1h'!$D6*100, "na")</f>
        <v>na</v>
      </c>
    </row>
    <row r="7" spans="1:13">
      <c r="A7" s="185">
        <v>1982</v>
      </c>
      <c r="B7" s="112" t="str">
        <f>IFERROR('4a'!B7/'1h'!$B7*1000, "na")</f>
        <v>na</v>
      </c>
      <c r="C7" s="113" t="str">
        <f>IFERROR('4a'!C7/'1h'!$B7*1000, "na")</f>
        <v>na</v>
      </c>
      <c r="D7" s="113" t="str">
        <f>IFERROR('4a'!D7/'1h'!$B7*1000, "na")</f>
        <v>na</v>
      </c>
      <c r="E7" s="97" t="str">
        <f>IFERROR('4a'!E7/'1h'!$B7*1000, "na")</f>
        <v>na</v>
      </c>
      <c r="F7" s="112" t="str">
        <f>IFERROR('4a'!F7/'1h'!$C7*1000, "na")</f>
        <v>na</v>
      </c>
      <c r="G7" s="113" t="str">
        <f>IFERROR('4a'!G7/'1h'!$C7*1000, "na")</f>
        <v>na</v>
      </c>
      <c r="H7" s="113" t="str">
        <f>IFERROR('4a'!H7/'1h'!$C7*1000, "na")</f>
        <v>na</v>
      </c>
      <c r="I7" s="97" t="str">
        <f>IFERROR('4a'!I7/'1h'!$C7*1000, "na")</f>
        <v>na</v>
      </c>
      <c r="J7" s="112" t="str">
        <f>IFERROR('4a'!J7/'1h'!$D7*100, "na")</f>
        <v>na</v>
      </c>
      <c r="K7" s="113" t="str">
        <f>IFERROR('4a'!K7/'1h'!$D7*100, "na")</f>
        <v>na</v>
      </c>
      <c r="L7" s="113" t="str">
        <f>IFERROR('4a'!L7/'1h'!$D7*100, "na")</f>
        <v>na</v>
      </c>
      <c r="M7" s="97" t="str">
        <f>IFERROR('4a'!M7/'1h'!$D7*100, "na")</f>
        <v>na</v>
      </c>
    </row>
    <row r="8" spans="1:13">
      <c r="A8" s="185">
        <v>1983</v>
      </c>
      <c r="B8" s="112" t="str">
        <f>IFERROR('4a'!B8/'1h'!$B8*1000, "na")</f>
        <v>na</v>
      </c>
      <c r="C8" s="113" t="str">
        <f>IFERROR('4a'!C8/'1h'!$B8*1000, "na")</f>
        <v>na</v>
      </c>
      <c r="D8" s="113" t="str">
        <f>IFERROR('4a'!D8/'1h'!$B8*1000, "na")</f>
        <v>na</v>
      </c>
      <c r="E8" s="97" t="str">
        <f>IFERROR('4a'!E8/'1h'!$B8*1000, "na")</f>
        <v>na</v>
      </c>
      <c r="F8" s="112" t="str">
        <f>IFERROR('4a'!F8/'1h'!$C8*1000, "na")</f>
        <v>na</v>
      </c>
      <c r="G8" s="113" t="str">
        <f>IFERROR('4a'!G8/'1h'!$C8*1000, "na")</f>
        <v>na</v>
      </c>
      <c r="H8" s="113" t="str">
        <f>IFERROR('4a'!H8/'1h'!$C8*1000, "na")</f>
        <v>na</v>
      </c>
      <c r="I8" s="97" t="str">
        <f>IFERROR('4a'!I8/'1h'!$C8*1000, "na")</f>
        <v>na</v>
      </c>
      <c r="J8" s="112" t="str">
        <f>IFERROR('4a'!J8/'1h'!$D8*100, "na")</f>
        <v>na</v>
      </c>
      <c r="K8" s="113" t="str">
        <f>IFERROR('4a'!K8/'1h'!$D8*100, "na")</f>
        <v>na</v>
      </c>
      <c r="L8" s="113" t="str">
        <f>IFERROR('4a'!L8/'1h'!$D8*100, "na")</f>
        <v>na</v>
      </c>
      <c r="M8" s="97" t="str">
        <f>IFERROR('4a'!M8/'1h'!$D8*100, "na")</f>
        <v>na</v>
      </c>
    </row>
    <row r="9" spans="1:13">
      <c r="A9" s="185">
        <v>1984</v>
      </c>
      <c r="B9" s="112" t="str">
        <f>IFERROR('4a'!B9/'1h'!$B9*1000, "na")</f>
        <v>na</v>
      </c>
      <c r="C9" s="113" t="str">
        <f>IFERROR('4a'!C9/'1h'!$B9*1000, "na")</f>
        <v>na</v>
      </c>
      <c r="D9" s="113" t="str">
        <f>IFERROR('4a'!D9/'1h'!$B9*1000, "na")</f>
        <v>na</v>
      </c>
      <c r="E9" s="97" t="str">
        <f>IFERROR('4a'!E9/'1h'!$B9*1000, "na")</f>
        <v>na</v>
      </c>
      <c r="F9" s="112" t="str">
        <f>IFERROR('4a'!F9/'1h'!$C9*1000, "na")</f>
        <v>na</v>
      </c>
      <c r="G9" s="113" t="str">
        <f>IFERROR('4a'!G9/'1h'!$C9*1000, "na")</f>
        <v>na</v>
      </c>
      <c r="H9" s="113" t="str">
        <f>IFERROR('4a'!H9/'1h'!$C9*1000, "na")</f>
        <v>na</v>
      </c>
      <c r="I9" s="97" t="str">
        <f>IFERROR('4a'!I9/'1h'!$C9*1000, "na")</f>
        <v>na</v>
      </c>
      <c r="J9" s="112" t="str">
        <f>IFERROR('4a'!J9/'1h'!$D9*100, "na")</f>
        <v>na</v>
      </c>
      <c r="K9" s="113" t="str">
        <f>IFERROR('4a'!K9/'1h'!$D9*100, "na")</f>
        <v>na</v>
      </c>
      <c r="L9" s="113" t="str">
        <f>IFERROR('4a'!L9/'1h'!$D9*100, "na")</f>
        <v>na</v>
      </c>
      <c r="M9" s="97" t="str">
        <f>IFERROR('4a'!M9/'1h'!$D9*100, "na")</f>
        <v>na</v>
      </c>
    </row>
    <row r="10" spans="1:13">
      <c r="A10" s="185">
        <v>1985</v>
      </c>
      <c r="B10" s="112" t="str">
        <f>IFERROR('4a'!B10/'1h'!$B10*1000, "na")</f>
        <v>na</v>
      </c>
      <c r="C10" s="113" t="str">
        <f>IFERROR('4a'!C10/'1h'!$B10*1000, "na")</f>
        <v>na</v>
      </c>
      <c r="D10" s="113" t="str">
        <f>IFERROR('4a'!D10/'1h'!$B10*1000, "na")</f>
        <v>na</v>
      </c>
      <c r="E10" s="97" t="str">
        <f>IFERROR('4a'!E10/'1h'!$B10*1000, "na")</f>
        <v>na</v>
      </c>
      <c r="F10" s="112" t="str">
        <f>IFERROR('4a'!F10/'1h'!$C10*1000, "na")</f>
        <v>na</v>
      </c>
      <c r="G10" s="113" t="str">
        <f>IFERROR('4a'!G10/'1h'!$C10*1000, "na")</f>
        <v>na</v>
      </c>
      <c r="H10" s="113" t="str">
        <f>IFERROR('4a'!H10/'1h'!$C10*1000, "na")</f>
        <v>na</v>
      </c>
      <c r="I10" s="97" t="str">
        <f>IFERROR('4a'!I10/'1h'!$C10*1000, "na")</f>
        <v>na</v>
      </c>
      <c r="J10" s="112" t="str">
        <f>IFERROR('4a'!J10/'1h'!$D10*100, "na")</f>
        <v>na</v>
      </c>
      <c r="K10" s="113" t="str">
        <f>IFERROR('4a'!K10/'1h'!$D10*100, "na")</f>
        <v>na</v>
      </c>
      <c r="L10" s="113" t="str">
        <f>IFERROR('4a'!L10/'1h'!$D10*100, "na")</f>
        <v>na</v>
      </c>
      <c r="M10" s="97" t="str">
        <f>IFERROR('4a'!M10/'1h'!$D10*100, "na")</f>
        <v>na</v>
      </c>
    </row>
    <row r="11" spans="1:13">
      <c r="A11" s="185">
        <v>1986</v>
      </c>
      <c r="B11" s="112" t="str">
        <f>IFERROR('4a'!B11/'1h'!$B11*1000, "na")</f>
        <v>na</v>
      </c>
      <c r="C11" s="113" t="str">
        <f>IFERROR('4a'!C11/'1h'!$B11*1000, "na")</f>
        <v>na</v>
      </c>
      <c r="D11" s="113" t="str">
        <f>IFERROR('4a'!D11/'1h'!$B11*1000, "na")</f>
        <v>na</v>
      </c>
      <c r="E11" s="97" t="str">
        <f>IFERROR('4a'!E11/'1h'!$B11*1000, "na")</f>
        <v>na</v>
      </c>
      <c r="F11" s="112" t="str">
        <f>IFERROR('4a'!F11/'1h'!$C11*1000, "na")</f>
        <v>na</v>
      </c>
      <c r="G11" s="113" t="str">
        <f>IFERROR('4a'!G11/'1h'!$C11*1000, "na")</f>
        <v>na</v>
      </c>
      <c r="H11" s="113" t="str">
        <f>IFERROR('4a'!H11/'1h'!$C11*1000, "na")</f>
        <v>na</v>
      </c>
      <c r="I11" s="97" t="str">
        <f>IFERROR('4a'!I11/'1h'!$C11*1000, "na")</f>
        <v>na</v>
      </c>
      <c r="J11" s="112" t="str">
        <f>IFERROR('4a'!J11/'1h'!$D11*100, "na")</f>
        <v>na</v>
      </c>
      <c r="K11" s="113" t="str">
        <f>IFERROR('4a'!K11/'1h'!$D11*100, "na")</f>
        <v>na</v>
      </c>
      <c r="L11" s="113" t="str">
        <f>IFERROR('4a'!L11/'1h'!$D11*100, "na")</f>
        <v>na</v>
      </c>
      <c r="M11" s="97" t="str">
        <f>IFERROR('4a'!M11/'1h'!$D11*100, "na")</f>
        <v>na</v>
      </c>
    </row>
    <row r="12" spans="1:13">
      <c r="A12" s="185">
        <v>1987</v>
      </c>
      <c r="B12" s="112" t="str">
        <f>IFERROR('4a'!B12/'1h'!$B12*1000, "na")</f>
        <v>na</v>
      </c>
      <c r="C12" s="113" t="str">
        <f>IFERROR('4a'!C12/'1h'!$B12*1000, "na")</f>
        <v>na</v>
      </c>
      <c r="D12" s="113" t="str">
        <f>IFERROR('4a'!D12/'1h'!$B12*1000, "na")</f>
        <v>na</v>
      </c>
      <c r="E12" s="97" t="str">
        <f>IFERROR('4a'!E12/'1h'!$B12*1000, "na")</f>
        <v>na</v>
      </c>
      <c r="F12" s="112" t="str">
        <f>IFERROR('4a'!F12/'1h'!$C12*1000, "na")</f>
        <v>na</v>
      </c>
      <c r="G12" s="113" t="str">
        <f>IFERROR('4a'!G12/'1h'!$C12*1000, "na")</f>
        <v>na</v>
      </c>
      <c r="H12" s="113" t="str">
        <f>IFERROR('4a'!H12/'1h'!$C12*1000, "na")</f>
        <v>na</v>
      </c>
      <c r="I12" s="97" t="str">
        <f>IFERROR('4a'!I12/'1h'!$C12*1000, "na")</f>
        <v>na</v>
      </c>
      <c r="J12" s="112" t="str">
        <f>IFERROR('4a'!J12/'1h'!$D12*100, "na")</f>
        <v>na</v>
      </c>
      <c r="K12" s="113" t="str">
        <f>IFERROR('4a'!K12/'1h'!$D12*100, "na")</f>
        <v>na</v>
      </c>
      <c r="L12" s="113" t="str">
        <f>IFERROR('4a'!L12/'1h'!$D12*100, "na")</f>
        <v>na</v>
      </c>
      <c r="M12" s="97" t="str">
        <f>IFERROR('4a'!M12/'1h'!$D12*100, "na")</f>
        <v>na</v>
      </c>
    </row>
    <row r="13" spans="1:13">
      <c r="A13" s="185">
        <v>1988</v>
      </c>
      <c r="B13" s="112" t="str">
        <f>IFERROR('4a'!B13/'1h'!$B13*1000, "na")</f>
        <v>na</v>
      </c>
      <c r="C13" s="113" t="str">
        <f>IFERROR('4a'!C13/'1h'!$B13*1000, "na")</f>
        <v>na</v>
      </c>
      <c r="D13" s="113" t="str">
        <f>IFERROR('4a'!D13/'1h'!$B13*1000, "na")</f>
        <v>na</v>
      </c>
      <c r="E13" s="97" t="str">
        <f>IFERROR('4a'!E13/'1h'!$B13*1000, "na")</f>
        <v>na</v>
      </c>
      <c r="F13" s="112" t="str">
        <f>IFERROR('4a'!F13/'1h'!$C13*1000, "na")</f>
        <v>na</v>
      </c>
      <c r="G13" s="113" t="str">
        <f>IFERROR('4a'!G13/'1h'!$C13*1000, "na")</f>
        <v>na</v>
      </c>
      <c r="H13" s="113" t="str">
        <f>IFERROR('4a'!H13/'1h'!$C13*1000, "na")</f>
        <v>na</v>
      </c>
      <c r="I13" s="97" t="str">
        <f>IFERROR('4a'!I13/'1h'!$C13*1000, "na")</f>
        <v>na</v>
      </c>
      <c r="J13" s="112" t="str">
        <f>IFERROR('4a'!J13/'1h'!$D13*100, "na")</f>
        <v>na</v>
      </c>
      <c r="K13" s="113" t="str">
        <f>IFERROR('4a'!K13/'1h'!$D13*100, "na")</f>
        <v>na</v>
      </c>
      <c r="L13" s="113" t="str">
        <f>IFERROR('4a'!L13/'1h'!$D13*100, "na")</f>
        <v>na</v>
      </c>
      <c r="M13" s="97" t="str">
        <f>IFERROR('4a'!M13/'1h'!$D13*100, "na")</f>
        <v>na</v>
      </c>
    </row>
    <row r="14" spans="1:13">
      <c r="A14" s="185">
        <v>1989</v>
      </c>
      <c r="B14" s="112" t="str">
        <f>IFERROR('4a'!B14/'1h'!$B14*1000, "na")</f>
        <v>na</v>
      </c>
      <c r="C14" s="113" t="str">
        <f>IFERROR('4a'!C14/'1h'!$B14*1000, "na")</f>
        <v>na</v>
      </c>
      <c r="D14" s="113" t="str">
        <f>IFERROR('4a'!D14/'1h'!$B14*1000, "na")</f>
        <v>na</v>
      </c>
      <c r="E14" s="97" t="str">
        <f>IFERROR('4a'!E14/'1h'!$B14*1000, "na")</f>
        <v>na</v>
      </c>
      <c r="F14" s="112" t="str">
        <f>IFERROR('4a'!F14/'1h'!$C14*1000, "na")</f>
        <v>na</v>
      </c>
      <c r="G14" s="113" t="str">
        <f>IFERROR('4a'!G14/'1h'!$C14*1000, "na")</f>
        <v>na</v>
      </c>
      <c r="H14" s="113" t="str">
        <f>IFERROR('4a'!H14/'1h'!$C14*1000, "na")</f>
        <v>na</v>
      </c>
      <c r="I14" s="97" t="str">
        <f>IFERROR('4a'!I14/'1h'!$C14*1000, "na")</f>
        <v>na</v>
      </c>
      <c r="J14" s="112" t="str">
        <f>IFERROR('4a'!J14/'1h'!$D14*100, "na")</f>
        <v>na</v>
      </c>
      <c r="K14" s="113" t="str">
        <f>IFERROR('4a'!K14/'1h'!$D14*100, "na")</f>
        <v>na</v>
      </c>
      <c r="L14" s="113" t="str">
        <f>IFERROR('4a'!L14/'1h'!$D14*100, "na")</f>
        <v>na</v>
      </c>
      <c r="M14" s="97" t="str">
        <f>IFERROR('4a'!M14/'1h'!$D14*100, "na")</f>
        <v>na</v>
      </c>
    </row>
    <row r="15" spans="1:13">
      <c r="A15" s="185">
        <v>1990</v>
      </c>
      <c r="B15" s="112" t="str">
        <f>IFERROR('4a'!B15/'1h'!$B15*1000, "na")</f>
        <v>na</v>
      </c>
      <c r="C15" s="113" t="str">
        <f>IFERROR('4a'!C15/'1h'!$B15*1000, "na")</f>
        <v>na</v>
      </c>
      <c r="D15" s="113" t="str">
        <f>IFERROR('4a'!D15/'1h'!$B15*1000, "na")</f>
        <v>na</v>
      </c>
      <c r="E15" s="97" t="str">
        <f>IFERROR('4a'!E15/'1h'!$B15*1000, "na")</f>
        <v>na</v>
      </c>
      <c r="F15" s="112" t="str">
        <f>IFERROR('4a'!F15/'1h'!$C15*1000, "na")</f>
        <v>na</v>
      </c>
      <c r="G15" s="113" t="str">
        <f>IFERROR('4a'!G15/'1h'!$C15*1000, "na")</f>
        <v>na</v>
      </c>
      <c r="H15" s="113" t="str">
        <f>IFERROR('4a'!H15/'1h'!$C15*1000, "na")</f>
        <v>na</v>
      </c>
      <c r="I15" s="97" t="str">
        <f>IFERROR('4a'!I15/'1h'!$C15*1000, "na")</f>
        <v>na</v>
      </c>
      <c r="J15" s="112" t="str">
        <f>IFERROR('4a'!J15/'1h'!$D15*100, "na")</f>
        <v>na</v>
      </c>
      <c r="K15" s="113" t="str">
        <f>IFERROR('4a'!K15/'1h'!$D15*100, "na")</f>
        <v>na</v>
      </c>
      <c r="L15" s="113" t="str">
        <f>IFERROR('4a'!L15/'1h'!$D15*100, "na")</f>
        <v>na</v>
      </c>
      <c r="M15" s="97" t="str">
        <f>IFERROR('4a'!M15/'1h'!$D15*100, "na")</f>
        <v>na</v>
      </c>
    </row>
    <row r="16" spans="1:13">
      <c r="A16" s="185">
        <v>1991</v>
      </c>
      <c r="B16" s="112">
        <f>IFERROR('4a'!B16/'1h'!$B16*1000, "na")</f>
        <v>109.93195630666101</v>
      </c>
      <c r="C16" s="113">
        <f>IFERROR('4a'!C16/'1h'!$B16*1000, "na")</f>
        <v>2972.7239687443212</v>
      </c>
      <c r="D16" s="113">
        <f>IFERROR('4a'!D16/'1h'!$B16*1000, "na")</f>
        <v>588.07519130979063</v>
      </c>
      <c r="E16" s="97">
        <f>IFERROR('4a'!E16/'1h'!$B16*1000, "na")</f>
        <v>3670.7311163607724</v>
      </c>
      <c r="F16" s="112">
        <f>IFERROR('4a'!F16/'1h'!$C16*1000, "na")</f>
        <v>92.095242764458817</v>
      </c>
      <c r="G16" s="113">
        <f>IFERROR('4a'!G16/'1h'!$C16*1000, "na")</f>
        <v>557.1538298115737</v>
      </c>
      <c r="H16" s="113">
        <f>IFERROR('4a'!H16/'1h'!$C16*1000, "na")</f>
        <v>360.03987514503768</v>
      </c>
      <c r="I16" s="97">
        <f>IFERROR('4a'!I16/'1h'!$C16*1000, "na")</f>
        <v>1009.28894772107</v>
      </c>
      <c r="J16" s="112" t="str">
        <f>IFERROR('4a'!J16/'1h'!$D16*100, "na")</f>
        <v>na</v>
      </c>
      <c r="K16" s="113" t="str">
        <f>IFERROR('4a'!K16/'1h'!$D16*100, "na")</f>
        <v>na</v>
      </c>
      <c r="L16" s="113" t="str">
        <f>IFERROR('4a'!L16/'1h'!$D16*100, "na")</f>
        <v>na</v>
      </c>
      <c r="M16" s="97" t="str">
        <f>IFERROR('4a'!M16/'1h'!$D16*100, "na")</f>
        <v>na</v>
      </c>
    </row>
    <row r="17" spans="1:13">
      <c r="A17" s="185">
        <v>1992</v>
      </c>
      <c r="B17" s="112">
        <f>IFERROR('4a'!B17/'1h'!$B17*1000, "na")</f>
        <v>227.9976323355319</v>
      </c>
      <c r="C17" s="113">
        <f>IFERROR('4a'!C17/'1h'!$B17*1000, "na")</f>
        <v>3643.4445290038898</v>
      </c>
      <c r="D17" s="113">
        <f>IFERROR('4a'!D17/'1h'!$B17*1000, "na")</f>
        <v>510.41983764586507</v>
      </c>
      <c r="E17" s="97">
        <f>IFERROR('4a'!E17/'1h'!$B17*1000, "na")</f>
        <v>4381.8619989852868</v>
      </c>
      <c r="F17" s="112">
        <f>IFERROR('4a'!F17/'1h'!$C17*1000, "na")</f>
        <v>103.36688533894201</v>
      </c>
      <c r="G17" s="113">
        <f>IFERROR('4a'!G17/'1h'!$C17*1000, "na")</f>
        <v>523.57487438863575</v>
      </c>
      <c r="H17" s="113">
        <f>IFERROR('4a'!H17/'1h'!$C17*1000, "na")</f>
        <v>308.71517518820838</v>
      </c>
      <c r="I17" s="97">
        <f>IFERROR('4a'!I17/'1h'!$C17*1000, "na")</f>
        <v>935.65693491578611</v>
      </c>
      <c r="J17" s="112" t="str">
        <f>IFERROR('4a'!J17/'1h'!$D17*100, "na")</f>
        <v>na</v>
      </c>
      <c r="K17" s="113" t="str">
        <f>IFERROR('4a'!K17/'1h'!$D17*100, "na")</f>
        <v>na</v>
      </c>
      <c r="L17" s="113" t="str">
        <f>IFERROR('4a'!L17/'1h'!$D17*100, "na")</f>
        <v>na</v>
      </c>
      <c r="M17" s="97" t="str">
        <f>IFERROR('4a'!M17/'1h'!$D17*100, "na")</f>
        <v>na</v>
      </c>
    </row>
    <row r="18" spans="1:13">
      <c r="A18" s="185">
        <v>1993</v>
      </c>
      <c r="B18" s="112">
        <f>IFERROR('4a'!B18/'1h'!$B18*1000, "na")</f>
        <v>488.83896954674225</v>
      </c>
      <c r="C18" s="113">
        <f>IFERROR('4a'!C18/'1h'!$B18*1000, "na")</f>
        <v>3730.0858711048163</v>
      </c>
      <c r="D18" s="113">
        <f>IFERROR('4a'!D18/'1h'!$B18*1000, "na")</f>
        <v>443.23433073654388</v>
      </c>
      <c r="E18" s="97">
        <f>IFERROR('4a'!E18/'1h'!$B18*1000, "na")</f>
        <v>4662.1591713881016</v>
      </c>
      <c r="F18" s="112">
        <f>IFERROR('4a'!F18/'1h'!$C18*1000, "na")</f>
        <v>86.558603927328676</v>
      </c>
      <c r="G18" s="113">
        <f>IFERROR('4a'!G18/'1h'!$C18*1000, "na")</f>
        <v>606.88593960376988</v>
      </c>
      <c r="H18" s="113">
        <f>IFERROR('4a'!H18/'1h'!$C18*1000, "na")</f>
        <v>271.54697581702777</v>
      </c>
      <c r="I18" s="97">
        <f>IFERROR('4a'!I18/'1h'!$C18*1000, "na")</f>
        <v>964.99151934812642</v>
      </c>
      <c r="J18" s="112" t="str">
        <f>IFERROR('4a'!J18/'1h'!$D18*100, "na")</f>
        <v>na</v>
      </c>
      <c r="K18" s="113" t="str">
        <f>IFERROR('4a'!K18/'1h'!$D18*100, "na")</f>
        <v>na</v>
      </c>
      <c r="L18" s="113" t="str">
        <f>IFERROR('4a'!L18/'1h'!$D18*100, "na")</f>
        <v>na</v>
      </c>
      <c r="M18" s="97" t="str">
        <f>IFERROR('4a'!M18/'1h'!$D18*100, "na")</f>
        <v>na</v>
      </c>
    </row>
    <row r="19" spans="1:13">
      <c r="A19" s="185">
        <v>1994</v>
      </c>
      <c r="B19" s="112">
        <f>IFERROR('4a'!B19/'1h'!$B19*1000, "na")</f>
        <v>297.54734827654471</v>
      </c>
      <c r="C19" s="113">
        <f>IFERROR('4a'!C19/'1h'!$B19*1000, "na")</f>
        <v>3337.5288709003321</v>
      </c>
      <c r="D19" s="113">
        <f>IFERROR('4a'!D19/'1h'!$B19*1000, "na")</f>
        <v>407.97826708607369</v>
      </c>
      <c r="E19" s="97">
        <f>IFERROR('4a'!E19/'1h'!$B19*1000, "na")</f>
        <v>4043.0544862629504</v>
      </c>
      <c r="F19" s="112">
        <f>IFERROR('4a'!F19/'1h'!$C19*1000, "na")</f>
        <v>104.82452146356567</v>
      </c>
      <c r="G19" s="113">
        <f>IFERROR('4a'!G19/'1h'!$C19*1000, "na")</f>
        <v>691.22152002476923</v>
      </c>
      <c r="H19" s="113">
        <f>IFERROR('4a'!H19/'1h'!$C19*1000, "na")</f>
        <v>237.5544101844938</v>
      </c>
      <c r="I19" s="97">
        <f>IFERROR('4a'!I19/'1h'!$C19*1000, "na")</f>
        <v>1033.6004516728285</v>
      </c>
      <c r="J19" s="112" t="str">
        <f>IFERROR('4a'!J19/'1h'!$D19*100, "na")</f>
        <v>na</v>
      </c>
      <c r="K19" s="113" t="str">
        <f>IFERROR('4a'!K19/'1h'!$D19*100, "na")</f>
        <v>na</v>
      </c>
      <c r="L19" s="113" t="str">
        <f>IFERROR('4a'!L19/'1h'!$D19*100, "na")</f>
        <v>na</v>
      </c>
      <c r="M19" s="97" t="str">
        <f>IFERROR('4a'!M19/'1h'!$D19*100, "na")</f>
        <v>na</v>
      </c>
    </row>
    <row r="20" spans="1:13">
      <c r="A20" s="185">
        <v>1995</v>
      </c>
      <c r="B20" s="112">
        <f>IFERROR('4a'!B20/'1h'!$B20*1000, "na")</f>
        <v>218.78964441414078</v>
      </c>
      <c r="C20" s="113">
        <f>IFERROR('4a'!C20/'1h'!$B20*1000, "na")</f>
        <v>2941.5318498316087</v>
      </c>
      <c r="D20" s="113">
        <f>IFERROR('4a'!D20/'1h'!$B20*1000, "na")</f>
        <v>315.91148577449945</v>
      </c>
      <c r="E20" s="97">
        <f>IFERROR('4a'!E20/'1h'!$B20*1000, "na")</f>
        <v>3476.2329800202492</v>
      </c>
      <c r="F20" s="112">
        <f>IFERROR('4a'!F20/'1h'!$C20*1000, "na")</f>
        <v>212.73886569907711</v>
      </c>
      <c r="G20" s="113">
        <f>IFERROR('4a'!G20/'1h'!$C20*1000, "na")</f>
        <v>867.60042890514308</v>
      </c>
      <c r="H20" s="113">
        <f>IFERROR('4a'!H20/'1h'!$C20*1000, "na")</f>
        <v>209.82077892237584</v>
      </c>
      <c r="I20" s="97">
        <f>IFERROR('4a'!I20/'1h'!$C20*1000, "na")</f>
        <v>1290.1600735265961</v>
      </c>
      <c r="J20" s="112" t="str">
        <f>IFERROR('4a'!J20/'1h'!$D20*100, "na")</f>
        <v>na</v>
      </c>
      <c r="K20" s="113" t="str">
        <f>IFERROR('4a'!K20/'1h'!$D20*100, "na")</f>
        <v>na</v>
      </c>
      <c r="L20" s="113" t="str">
        <f>IFERROR('4a'!L20/'1h'!$D20*100, "na")</f>
        <v>na</v>
      </c>
      <c r="M20" s="97" t="str">
        <f>IFERROR('4a'!M20/'1h'!$D20*100, "na")</f>
        <v>na</v>
      </c>
    </row>
    <row r="21" spans="1:13">
      <c r="A21" s="185">
        <v>1996</v>
      </c>
      <c r="B21" s="112">
        <f>IFERROR('4a'!B21/'1h'!$B21*1000, "na")</f>
        <v>266.36894606908459</v>
      </c>
      <c r="C21" s="113">
        <f>IFERROR('4a'!C21/'1h'!$B21*1000, "na")</f>
        <v>2897.593480922465</v>
      </c>
      <c r="D21" s="113">
        <f>IFERROR('4a'!D21/'1h'!$B21*1000, "na")</f>
        <v>329.69512072737496</v>
      </c>
      <c r="E21" s="97">
        <f>IFERROR('4a'!E21/'1h'!$B21*1000, "na")</f>
        <v>3493.6575477189249</v>
      </c>
      <c r="F21" s="112">
        <f>IFERROR('4a'!F21/'1h'!$C21*1000, "na")</f>
        <v>461.57134343081441</v>
      </c>
      <c r="G21" s="113">
        <f>IFERROR('4a'!G21/'1h'!$C21*1000, "na")</f>
        <v>1228.4407817669908</v>
      </c>
      <c r="H21" s="113">
        <f>IFERROR('4a'!H21/'1h'!$C21*1000, "na")</f>
        <v>189.24351096405599</v>
      </c>
      <c r="I21" s="97">
        <f>IFERROR('4a'!I21/'1h'!$C21*1000, "na")</f>
        <v>1879.2556361618608</v>
      </c>
      <c r="J21" s="112" t="str">
        <f>IFERROR('4a'!J21/'1h'!$D21*100, "na")</f>
        <v>na</v>
      </c>
      <c r="K21" s="113" t="str">
        <f>IFERROR('4a'!K21/'1h'!$D21*100, "na")</f>
        <v>na</v>
      </c>
      <c r="L21" s="113" t="str">
        <f>IFERROR('4a'!L21/'1h'!$D21*100, "na")</f>
        <v>na</v>
      </c>
      <c r="M21" s="97" t="str">
        <f>IFERROR('4a'!M21/'1h'!$D21*100, "na")</f>
        <v>na</v>
      </c>
    </row>
    <row r="22" spans="1:13">
      <c r="A22" s="185">
        <v>1997</v>
      </c>
      <c r="B22" s="112">
        <f>IFERROR('4a'!B22/'1h'!$B22*1000, "na")</f>
        <v>758.1964846428699</v>
      </c>
      <c r="C22" s="113">
        <f>IFERROR('4a'!C22/'1h'!$B22*1000, "na")</f>
        <v>3565.4130725087516</v>
      </c>
      <c r="D22" s="113">
        <f>IFERROR('4a'!D22/'1h'!$B22*1000, "na")</f>
        <v>647.36528675064062</v>
      </c>
      <c r="E22" s="97">
        <f>IFERROR('4a'!E22/'1h'!$B22*1000, "na")</f>
        <v>4970.9748439022624</v>
      </c>
      <c r="F22" s="112">
        <f>IFERROR('4a'!F22/'1h'!$C22*1000, "na")</f>
        <v>877.72402872079647</v>
      </c>
      <c r="G22" s="113">
        <f>IFERROR('4a'!G22/'1h'!$C22*1000, "na")</f>
        <v>2304.8677845506418</v>
      </c>
      <c r="H22" s="113">
        <f>IFERROR('4a'!H22/'1h'!$C22*1000, "na")</f>
        <v>173.97340506301657</v>
      </c>
      <c r="I22" s="97">
        <f>IFERROR('4a'!I22/'1h'!$C22*1000, "na")</f>
        <v>3356.5652183344546</v>
      </c>
      <c r="J22" s="112">
        <f>IFERROR('4a'!J22/'1h'!$D22*100, "na")</f>
        <v>36.379216466870773</v>
      </c>
      <c r="K22" s="113">
        <f>IFERROR('4a'!K22/'1h'!$D22*100, "na")</f>
        <v>152.23732716837304</v>
      </c>
      <c r="L22" s="113">
        <f>IFERROR('4a'!L22/'1h'!$D22*100, "na")</f>
        <v>168.72472797707778</v>
      </c>
      <c r="M22" s="97">
        <f>IFERROR('4a'!M22/'1h'!$D22*100, "na")</f>
        <v>357.34127161232163</v>
      </c>
    </row>
    <row r="23" spans="1:13">
      <c r="A23" s="185">
        <v>1998</v>
      </c>
      <c r="B23" s="112">
        <f>IFERROR('4a'!B23/'1h'!$B23*1000, "na")</f>
        <v>1306.1954379048157</v>
      </c>
      <c r="C23" s="113">
        <f>IFERROR('4a'!C23/'1h'!$B23*1000, "na")</f>
        <v>4157.925687875826</v>
      </c>
      <c r="D23" s="113">
        <f>IFERROR('4a'!D23/'1h'!$B23*1000, "na")</f>
        <v>544.57402223068902</v>
      </c>
      <c r="E23" s="97">
        <f>IFERROR('4a'!E23/'1h'!$B23*1000, "na")</f>
        <v>6008.6951480113303</v>
      </c>
      <c r="F23" s="112">
        <f>IFERROR('4a'!F23/'1h'!$C23*1000, "na")</f>
        <v>2386.5682274464089</v>
      </c>
      <c r="G23" s="113">
        <f>IFERROR('4a'!G23/'1h'!$C23*1000, "na")</f>
        <v>3649.2800552641238</v>
      </c>
      <c r="H23" s="113">
        <f>IFERROR('4a'!H23/'1h'!$C23*1000, "na")</f>
        <v>287.91097295080198</v>
      </c>
      <c r="I23" s="97">
        <f>IFERROR('4a'!I23/'1h'!$C23*1000, "na")</f>
        <v>6323.7592556613354</v>
      </c>
      <c r="J23" s="112">
        <f>IFERROR('4a'!J23/'1h'!$D23*100, "na")</f>
        <v>51.852215111179781</v>
      </c>
      <c r="K23" s="113">
        <f>IFERROR('4a'!K23/'1h'!$D23*100, "na")</f>
        <v>168.69329206450195</v>
      </c>
      <c r="L23" s="113">
        <f>IFERROR('4a'!L23/'1h'!$D23*100, "na")</f>
        <v>165.39415798955059</v>
      </c>
      <c r="M23" s="97">
        <f>IFERROR('4a'!M23/'1h'!$D23*100, "na")</f>
        <v>385.93966516523233</v>
      </c>
    </row>
    <row r="24" spans="1:13">
      <c r="A24" s="185">
        <v>1999</v>
      </c>
      <c r="B24" s="112">
        <f>IFERROR('4a'!B24/'1h'!$B24*1000, "na")</f>
        <v>1605.4775641025642</v>
      </c>
      <c r="C24" s="113">
        <f>IFERROR('4a'!C24/'1h'!$B24*1000, "na")</f>
        <v>5508.8910256410254</v>
      </c>
      <c r="D24" s="113">
        <f>IFERROR('4a'!D24/'1h'!$B24*1000, "na")</f>
        <v>514.87019230769238</v>
      </c>
      <c r="E24" s="97">
        <f>IFERROR('4a'!E24/'1h'!$B24*1000, "na")</f>
        <v>7629.2387820512822</v>
      </c>
      <c r="F24" s="112">
        <f>IFERROR('4a'!F24/'1h'!$C24*1000, "na")</f>
        <v>1706.0079584248408</v>
      </c>
      <c r="G24" s="113">
        <f>IFERROR('4a'!G24/'1h'!$C24*1000, "na")</f>
        <v>3414.3012459501183</v>
      </c>
      <c r="H24" s="113">
        <f>IFERROR('4a'!H24/'1h'!$C24*1000, "na")</f>
        <v>239.14196873165321</v>
      </c>
      <c r="I24" s="97">
        <f>IFERROR('4a'!I24/'1h'!$C24*1000, "na")</f>
        <v>5359.4511731066113</v>
      </c>
      <c r="J24" s="112">
        <f>IFERROR('4a'!J24/'1h'!$D24*100, "na")</f>
        <v>69.565414987994359</v>
      </c>
      <c r="K24" s="113">
        <f>IFERROR('4a'!K24/'1h'!$D24*100, "na")</f>
        <v>179.59991280863093</v>
      </c>
      <c r="L24" s="113">
        <f>IFERROR('4a'!L24/'1h'!$D24*100, "na")</f>
        <v>167.74323320072278</v>
      </c>
      <c r="M24" s="97">
        <f>IFERROR('4a'!M24/'1h'!$D24*100, "na")</f>
        <v>416.90856099734805</v>
      </c>
    </row>
    <row r="25" spans="1:13">
      <c r="A25" s="185">
        <v>2000</v>
      </c>
      <c r="B25" s="112">
        <f>IFERROR('4a'!B25/'1h'!$B25*1000, "na")</f>
        <v>1159.7998438271902</v>
      </c>
      <c r="C25" s="113">
        <f>IFERROR('4a'!C25/'1h'!$B25*1000, "na")</f>
        <v>6802.283628946152</v>
      </c>
      <c r="D25" s="113">
        <f>IFERROR('4a'!D25/'1h'!$B25*1000, "na")</f>
        <v>427.33502254944142</v>
      </c>
      <c r="E25" s="97">
        <f>IFERROR('4a'!E25/'1h'!$B25*1000, "na")</f>
        <v>8389.4184953227832</v>
      </c>
      <c r="F25" s="112">
        <f>IFERROR('4a'!F25/'1h'!$C25*1000, "na")</f>
        <v>1620.0824960338446</v>
      </c>
      <c r="G25" s="113">
        <f>IFERROR('4a'!G25/'1h'!$C25*1000, "na")</f>
        <v>4066.0560549973557</v>
      </c>
      <c r="H25" s="113">
        <f>IFERROR('4a'!H25/'1h'!$C25*1000, "na")</f>
        <v>436.67477525118989</v>
      </c>
      <c r="I25" s="97">
        <f>IFERROR('4a'!I25/'1h'!$C25*1000, "na")</f>
        <v>6122.8133262823894</v>
      </c>
      <c r="J25" s="112">
        <f>IFERROR('4a'!J25/'1h'!$D25*100, "na")</f>
        <v>88.054562412879164</v>
      </c>
      <c r="K25" s="113">
        <f>IFERROR('4a'!K25/'1h'!$D25*100, "na")</f>
        <v>187.1867291973825</v>
      </c>
      <c r="L25" s="113">
        <f>IFERROR('4a'!L25/'1h'!$D25*100, "na")</f>
        <v>179.61016648002928</v>
      </c>
      <c r="M25" s="97">
        <f>IFERROR('4a'!M25/'1h'!$D25*100, "na")</f>
        <v>454.85145809029098</v>
      </c>
    </row>
    <row r="26" spans="1:13">
      <c r="A26" s="185">
        <v>2001</v>
      </c>
      <c r="B26" s="112">
        <f>IFERROR('4a'!B26/'1h'!$B26*1000, "na")</f>
        <v>738.565666343982</v>
      </c>
      <c r="C26" s="113">
        <f>IFERROR('4a'!C26/'1h'!$B26*1000, "na")</f>
        <v>6817.3136495643748</v>
      </c>
      <c r="D26" s="113">
        <f>IFERROR('4a'!D26/'1h'!$B26*1000, "na")</f>
        <v>325.44530493707646</v>
      </c>
      <c r="E26" s="97">
        <f>IFERROR('4a'!E26/'1h'!$B26*1000, "na")</f>
        <v>7881.3246208454339</v>
      </c>
      <c r="F26" s="112">
        <f>IFERROR('4a'!F26/'1h'!$C26*1000, "na")</f>
        <v>968.59217306136361</v>
      </c>
      <c r="G26" s="113">
        <f>IFERROR('4a'!G26/'1h'!$C26*1000, "na")</f>
        <v>4005.186730826556</v>
      </c>
      <c r="H26" s="113">
        <f>IFERROR('4a'!H26/'1h'!$C26*1000, "na")</f>
        <v>343.55917046373975</v>
      </c>
      <c r="I26" s="97">
        <f>IFERROR('4a'!I26/'1h'!$C26*1000, "na")</f>
        <v>5317.3380743516591</v>
      </c>
      <c r="J26" s="112">
        <f>IFERROR('4a'!J26/'1h'!$D26*100, "na")</f>
        <v>96.59551082388613</v>
      </c>
      <c r="K26" s="113">
        <f>IFERROR('4a'!K26/'1h'!$D26*100, "na")</f>
        <v>197.01722278652068</v>
      </c>
      <c r="L26" s="113">
        <f>IFERROR('4a'!L26/'1h'!$D26*100, "na")</f>
        <v>189.54543217238813</v>
      </c>
      <c r="M26" s="97">
        <f>IFERROR('4a'!M26/'1h'!$D26*100, "na")</f>
        <v>483.15816578279492</v>
      </c>
    </row>
    <row r="27" spans="1:13">
      <c r="A27" s="185">
        <v>2002</v>
      </c>
      <c r="B27" s="112">
        <f>IFERROR('4a'!B27/'1h'!$B27*1000, "na")</f>
        <v>944.67356936868089</v>
      </c>
      <c r="C27" s="113">
        <f>IFERROR('4a'!C27/'1h'!$B27*1000, "na")</f>
        <v>6433.2041972134393</v>
      </c>
      <c r="D27" s="113">
        <f>IFERROR('4a'!D27/'1h'!$B27*1000, "na")</f>
        <v>317.55845870539588</v>
      </c>
      <c r="E27" s="97">
        <f>IFERROR('4a'!E27/'1h'!$B27*1000, "na")</f>
        <v>7695.4362252875153</v>
      </c>
      <c r="F27" s="112">
        <f>IFERROR('4a'!F27/'1h'!$C27*1000, "na")</f>
        <v>618.95267169054068</v>
      </c>
      <c r="G27" s="113">
        <f>IFERROR('4a'!G27/'1h'!$C27*1000, "na")</f>
        <v>3634.5195653566157</v>
      </c>
      <c r="H27" s="113">
        <f>IFERROR('4a'!H27/'1h'!$C27*1000, "na")</f>
        <v>309.38240505518434</v>
      </c>
      <c r="I27" s="97">
        <f>IFERROR('4a'!I27/'1h'!$C27*1000, "na")</f>
        <v>4562.8546421023411</v>
      </c>
      <c r="J27" s="112">
        <f>IFERROR('4a'!J27/'1h'!$D27*100, "na")</f>
        <v>105.98563853739947</v>
      </c>
      <c r="K27" s="113">
        <f>IFERROR('4a'!K27/'1h'!$D27*100, "na")</f>
        <v>195.89998406225021</v>
      </c>
      <c r="L27" s="113">
        <f>IFERROR('4a'!L27/'1h'!$D27*100, "na")</f>
        <v>187.48517014243419</v>
      </c>
      <c r="M27" s="97">
        <f>IFERROR('4a'!M27/'1h'!$D27*100, "na")</f>
        <v>489.37079274208389</v>
      </c>
    </row>
    <row r="28" spans="1:13">
      <c r="A28" s="185">
        <v>2003</v>
      </c>
      <c r="B28" s="112">
        <f>IFERROR('4a'!B28/'1h'!$B28*1000, "na")</f>
        <v>1595.1629967599024</v>
      </c>
      <c r="C28" s="113">
        <f>IFERROR('4a'!C28/'1h'!$B28*1000, "na")</f>
        <v>5572.0376248098937</v>
      </c>
      <c r="D28" s="113">
        <f>IFERROR('4a'!D28/'1h'!$B28*1000, "na")</f>
        <v>432.62745487006549</v>
      </c>
      <c r="E28" s="97">
        <f>IFERROR('4a'!E28/'1h'!$B28*1000, "na")</f>
        <v>7599.8280764398614</v>
      </c>
      <c r="F28" s="112">
        <f>IFERROR('4a'!F28/'1h'!$C28*1000, "na")</f>
        <v>715.34270650263625</v>
      </c>
      <c r="G28" s="113">
        <f>IFERROR('4a'!G28/'1h'!$C28*1000, "na")</f>
        <v>3690.9556239015815</v>
      </c>
      <c r="H28" s="113">
        <f>IFERROR('4a'!H28/'1h'!$C28*1000, "na")</f>
        <v>314.96045694200347</v>
      </c>
      <c r="I28" s="97">
        <f>IFERROR('4a'!I28/'1h'!$C28*1000, "na")</f>
        <v>4721.2587873462207</v>
      </c>
      <c r="J28" s="112">
        <f>IFERROR('4a'!J28/'1h'!$D28*100, "na")</f>
        <v>119.95159334665999</v>
      </c>
      <c r="K28" s="113">
        <f>IFERROR('4a'!K28/'1h'!$D28*100, "na")</f>
        <v>198.80902779403297</v>
      </c>
      <c r="L28" s="113">
        <f>IFERROR('4a'!L28/'1h'!$D28*100, "na")</f>
        <v>184.85973462168064</v>
      </c>
      <c r="M28" s="97">
        <f>IFERROR('4a'!M28/'1h'!$D28*100, "na")</f>
        <v>503.62035576237361</v>
      </c>
    </row>
    <row r="29" spans="1:13">
      <c r="A29" s="185">
        <v>2004</v>
      </c>
      <c r="B29" s="112">
        <f>IFERROR('4a'!B29/'1h'!$B29*1000, "na")</f>
        <v>2266.7119998656799</v>
      </c>
      <c r="C29" s="113">
        <f>IFERROR('4a'!C29/'1h'!$B29*1000, "na")</f>
        <v>5735.9676958981845</v>
      </c>
      <c r="D29" s="113">
        <f>IFERROR('4a'!D29/'1h'!$B29*1000, "na")</f>
        <v>557.1869910508907</v>
      </c>
      <c r="E29" s="97">
        <f>IFERROR('4a'!E29/'1h'!$B29*1000, "na")</f>
        <v>8559.8666868147557</v>
      </c>
      <c r="F29" s="112">
        <f>IFERROR('4a'!F29/'1h'!$C29*1000, "na")</f>
        <v>863.07143999451694</v>
      </c>
      <c r="G29" s="113">
        <f>IFERROR('4a'!G29/'1h'!$C29*1000, "na")</f>
        <v>5001.5398323090631</v>
      </c>
      <c r="H29" s="113">
        <f>IFERROR('4a'!H29/'1h'!$C29*1000, "na")</f>
        <v>348.99591053437206</v>
      </c>
      <c r="I29" s="97">
        <f>IFERROR('4a'!I29/'1h'!$C29*1000, "na")</f>
        <v>6213.6071828379509</v>
      </c>
      <c r="J29" s="112">
        <f>IFERROR('4a'!J29/'1h'!$D29*100, "na")</f>
        <v>146.47092955962984</v>
      </c>
      <c r="K29" s="113">
        <f>IFERROR('4a'!K29/'1h'!$D29*100, "na")</f>
        <v>209.9766443074428</v>
      </c>
      <c r="L29" s="113">
        <f>IFERROR('4a'!L29/'1h'!$D29*100, "na")</f>
        <v>185.03273399575505</v>
      </c>
      <c r="M29" s="97">
        <f>IFERROR('4a'!M29/'1h'!$D29*100, "na")</f>
        <v>541.48030786282766</v>
      </c>
    </row>
    <row r="30" spans="1:13">
      <c r="A30" s="185">
        <v>2005</v>
      </c>
      <c r="B30" s="112">
        <f>IFERROR('4a'!B30/'1h'!$B30*1000, "na")</f>
        <v>3244.5710699303008</v>
      </c>
      <c r="C30" s="113">
        <f>IFERROR('4a'!C30/'1h'!$B30*1000, "na")</f>
        <v>6784.9519373699341</v>
      </c>
      <c r="D30" s="113">
        <f>IFERROR('4a'!D30/'1h'!$B30*1000, "na")</f>
        <v>642.8302447725697</v>
      </c>
      <c r="E30" s="97">
        <f>IFERROR('4a'!E30/'1h'!$B30*1000, "na")</f>
        <v>10672.353252072804</v>
      </c>
      <c r="F30" s="112">
        <f>IFERROR('4a'!F30/'1h'!$C30*1000, "na")</f>
        <v>1277.001939595456</v>
      </c>
      <c r="G30" s="113">
        <f>IFERROR('4a'!G30/'1h'!$C30*1000, "na")</f>
        <v>6653.7083217881227</v>
      </c>
      <c r="H30" s="113">
        <f>IFERROR('4a'!H30/'1h'!$C30*1000, "na")</f>
        <v>485.90098827006562</v>
      </c>
      <c r="I30" s="97">
        <f>IFERROR('4a'!I30/'1h'!$C30*1000, "na")</f>
        <v>8416.6112496536425</v>
      </c>
      <c r="J30" s="112">
        <f>IFERROR('4a'!J30/'1h'!$D30*100, "na")</f>
        <v>179.66634181806637</v>
      </c>
      <c r="K30" s="113">
        <f>IFERROR('4a'!K30/'1h'!$D30*100, "na")</f>
        <v>229.29675883222279</v>
      </c>
      <c r="L30" s="113">
        <f>IFERROR('4a'!L30/'1h'!$D30*100, "na")</f>
        <v>186.12577800232091</v>
      </c>
      <c r="M30" s="97">
        <f>IFERROR('4a'!M30/'1h'!$D30*100, "na")</f>
        <v>595.08887865261011</v>
      </c>
    </row>
    <row r="31" spans="1:13">
      <c r="A31" s="185">
        <v>2006</v>
      </c>
      <c r="B31" s="112">
        <f>IFERROR('4a'!B31/'1h'!$B31*1000, "na")</f>
        <v>3537.7721080090937</v>
      </c>
      <c r="C31" s="113">
        <f>IFERROR('4a'!C31/'1h'!$B31*1000, "na")</f>
        <v>6967.6774119686634</v>
      </c>
      <c r="D31" s="113">
        <f>IFERROR('4a'!D31/'1h'!$B31*1000, "na")</f>
        <v>781.69046334003883</v>
      </c>
      <c r="E31" s="97">
        <f>IFERROR('4a'!E31/'1h'!$B31*1000, "na")</f>
        <v>11287.139983317795</v>
      </c>
      <c r="F31" s="112">
        <f>IFERROR('4a'!F31/'1h'!$C31*1000, "na")</f>
        <v>1614.1042923022349</v>
      </c>
      <c r="G31" s="113">
        <f>IFERROR('4a'!G31/'1h'!$C31*1000, "na")</f>
        <v>7457.8668558590534</v>
      </c>
      <c r="H31" s="113">
        <f>IFERROR('4a'!H31/'1h'!$C31*1000, "na")</f>
        <v>575.9891214378622</v>
      </c>
      <c r="I31" s="97">
        <f>IFERROR('4a'!I31/'1h'!$C31*1000, "na")</f>
        <v>9647.9602695991489</v>
      </c>
      <c r="J31" s="112">
        <f>IFERROR('4a'!J31/'1h'!$D31*100, "na")</f>
        <v>223.21115486238452</v>
      </c>
      <c r="K31" s="113">
        <f>IFERROR('4a'!K31/'1h'!$D31*100, "na")</f>
        <v>244.63165919569624</v>
      </c>
      <c r="L31" s="113">
        <f>IFERROR('4a'!L31/'1h'!$D31*100, "na")</f>
        <v>189.38668060354425</v>
      </c>
      <c r="M31" s="97">
        <f>IFERROR('4a'!M31/'1h'!$D31*100, "na")</f>
        <v>657.22949466162493</v>
      </c>
    </row>
    <row r="32" spans="1:13">
      <c r="A32" s="185">
        <v>2007</v>
      </c>
      <c r="B32" s="112">
        <f>IFERROR('4a'!B32/'1h'!$B32*1000, "na")</f>
        <v>5224.6668420129745</v>
      </c>
      <c r="C32" s="113">
        <f>IFERROR('4a'!C32/'1h'!$B32*1000, "na")</f>
        <v>6561.6546846688871</v>
      </c>
      <c r="D32" s="113">
        <f>IFERROR('4a'!D32/'1h'!$B32*1000, "na")</f>
        <v>1302.96627505991</v>
      </c>
      <c r="E32" s="97">
        <f>IFERROR('4a'!E32/'1h'!$B32*1000, "na")</f>
        <v>13089.287801741772</v>
      </c>
      <c r="F32" s="112">
        <f>IFERROR('4a'!F32/'1h'!$C32*1000, "na")</f>
        <v>1373.4886862546437</v>
      </c>
      <c r="G32" s="113">
        <f>IFERROR('4a'!G32/'1h'!$C32*1000, "na")</f>
        <v>9011.3113330438573</v>
      </c>
      <c r="H32" s="113">
        <f>IFERROR('4a'!H32/'1h'!$C32*1000, "na")</f>
        <v>550.39079461571873</v>
      </c>
      <c r="I32" s="97">
        <f>IFERROR('4a'!I32/'1h'!$C32*1000, "na")</f>
        <v>10935.190813914218</v>
      </c>
      <c r="J32" s="112">
        <f>IFERROR('4a'!J32/'1h'!$D32*100, "na")</f>
        <v>253.22800052911768</v>
      </c>
      <c r="K32" s="113">
        <f>IFERROR('4a'!K32/'1h'!$D32*100, "na")</f>
        <v>267.29407683357323</v>
      </c>
      <c r="L32" s="113">
        <f>IFERROR('4a'!L32/'1h'!$D32*100, "na")</f>
        <v>186.77927301707498</v>
      </c>
      <c r="M32" s="97">
        <f>IFERROR('4a'!M32/'1h'!$D32*100, "na")</f>
        <v>707.30135037976584</v>
      </c>
    </row>
    <row r="33" spans="1:13">
      <c r="A33" s="185">
        <v>2008</v>
      </c>
      <c r="B33" s="112">
        <f>IFERROR('4a'!B33/'1h'!$B33*1000, "na")</f>
        <v>4538.4087084400917</v>
      </c>
      <c r="C33" s="113">
        <f>IFERROR('4a'!C33/'1h'!$B33*1000, "na")</f>
        <v>6903.2292787944016</v>
      </c>
      <c r="D33" s="113">
        <f>IFERROR('4a'!D33/'1h'!$B33*1000, "na")</f>
        <v>1211.9938143392105</v>
      </c>
      <c r="E33" s="97">
        <f>IFERROR('4a'!E33/'1h'!$B33*1000, "na")</f>
        <v>12653.631801573703</v>
      </c>
      <c r="F33" s="112">
        <f>IFERROR('4a'!F33/'1h'!$C33*1000, "na")</f>
        <v>1261.0819617144639</v>
      </c>
      <c r="G33" s="113">
        <f>IFERROR('4a'!G33/'1h'!$C33*1000, "na")</f>
        <v>9819.811207743358</v>
      </c>
      <c r="H33" s="113">
        <f>IFERROR('4a'!H33/'1h'!$C33*1000, "na")</f>
        <v>572.17710055343923</v>
      </c>
      <c r="I33" s="97">
        <f>IFERROR('4a'!I33/'1h'!$C33*1000, "na")</f>
        <v>11653.070270011262</v>
      </c>
      <c r="J33" s="112">
        <f>IFERROR('4a'!J33/'1h'!$D33*100, "na")</f>
        <v>283.41630868488966</v>
      </c>
      <c r="K33" s="113">
        <f>IFERROR('4a'!K33/'1h'!$D33*100, "na")</f>
        <v>282.13373841117732</v>
      </c>
      <c r="L33" s="113">
        <f>IFERROR('4a'!L33/'1h'!$D33*100, "na")</f>
        <v>192.47493887244121</v>
      </c>
      <c r="M33" s="97">
        <f>IFERROR('4a'!M33/'1h'!$D33*100, "na")</f>
        <v>758.02498596850819</v>
      </c>
    </row>
    <row r="34" spans="1:13">
      <c r="A34" s="57">
        <f>A33+1</f>
        <v>2009</v>
      </c>
      <c r="B34" s="112">
        <f>IFERROR('4a'!B34/'1h'!$B34*1000, "na")</f>
        <v>4341.0139197154322</v>
      </c>
      <c r="C34" s="113">
        <f>IFERROR('4a'!C34/'1h'!$B34*1000, "na")</f>
        <v>6669.4706980435967</v>
      </c>
      <c r="D34" s="113">
        <f>IFERROR('4a'!D34/'1h'!$B34*1000, "na")</f>
        <v>1199.8206752605352</v>
      </c>
      <c r="E34" s="97">
        <f>IFERROR('4a'!E34/'1h'!$B34*1000, "na")</f>
        <v>12210.305293019563</v>
      </c>
      <c r="F34" s="112">
        <f>IFERROR('4a'!F34/'1h'!$C34*1000, "na")</f>
        <v>1592.4626926306096</v>
      </c>
      <c r="G34" s="113">
        <f>IFERROR('4a'!G34/'1h'!$C34*1000, "na")</f>
        <v>11658.995747907808</v>
      </c>
      <c r="H34" s="113">
        <f>IFERROR('4a'!H34/'1h'!$C34*1000, "na")</f>
        <v>568.88660184708715</v>
      </c>
      <c r="I34" s="97">
        <f>IFERROR('4a'!I34/'1h'!$C34*1000, "na")</f>
        <v>13820.345042385503</v>
      </c>
      <c r="J34" s="112">
        <f>IFERROR('4a'!J34/'1h'!$D34*100, "na")</f>
        <v>289.10875387977967</v>
      </c>
      <c r="K34" s="113">
        <f>IFERROR('4a'!K34/'1h'!$D34*100, "na")</f>
        <v>296.74511630354112</v>
      </c>
      <c r="L34" s="113">
        <f>IFERROR('4a'!L34/'1h'!$D34*100, "na")</f>
        <v>198.78107204746772</v>
      </c>
      <c r="M34" s="97">
        <f>IFERROR('4a'!M34/'1h'!$D34*100, "na")</f>
        <v>784.63494223078851</v>
      </c>
    </row>
    <row r="35" spans="1:13">
      <c r="A35" s="58">
        <f t="shared" ref="A35" si="0">A34+1</f>
        <v>2010</v>
      </c>
      <c r="B35" s="114">
        <f>IFERROR('4a'!B35/'1h'!$B35*1000, "na")</f>
        <v>4491.0454688365553</v>
      </c>
      <c r="C35" s="115">
        <f>IFERROR('4a'!C35/'1h'!$B35*1000, "na")</f>
        <v>6315.601934334436</v>
      </c>
      <c r="D35" s="115">
        <f>IFERROR('4a'!D35/'1h'!$B35*1000, "na")</f>
        <v>1326.294671597323</v>
      </c>
      <c r="E35" s="98">
        <f>IFERROR('4a'!E35/'1h'!$B35*1000, "na")</f>
        <v>12132.942074768314</v>
      </c>
      <c r="F35" s="114">
        <f>IFERROR('4a'!F35/'1h'!$C35*1000, "na")</f>
        <v>2350.7978418092061</v>
      </c>
      <c r="G35" s="115">
        <f>IFERROR('4a'!G35/'1h'!$C35*1000, "na")</f>
        <v>12987.363678108139</v>
      </c>
      <c r="H35" s="115">
        <f>IFERROR('4a'!H35/'1h'!$C35*1000, "na")</f>
        <v>644.11089427161062</v>
      </c>
      <c r="I35" s="98">
        <f>IFERROR('4a'!I35/'1h'!$C35*1000, "na")</f>
        <v>15982.272414188958</v>
      </c>
      <c r="J35" s="114">
        <f>IFERROR('4a'!J35/'1h'!$D35*100, "na")</f>
        <v>308.55952355838514</v>
      </c>
      <c r="K35" s="115">
        <f>IFERROR('4a'!K35/'1h'!$D35*100, "na")</f>
        <v>300.31694395322296</v>
      </c>
      <c r="L35" s="115">
        <f>IFERROR('4a'!L35/'1h'!$D35*100, "na")</f>
        <v>205.10572921478354</v>
      </c>
      <c r="M35" s="98">
        <f>IFERROR('4a'!M35/'1h'!$D35*100, "na")</f>
        <v>813.98219672639163</v>
      </c>
    </row>
    <row r="36" spans="1:13">
      <c r="A36" s="23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M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IFERROR((POWER(B$25/B15,1/($A$25-$A$15))-1)*100,"na")</f>
        <v>na</v>
      </c>
      <c r="C39" s="86" t="str">
        <f t="shared" ref="C39:M39" si="2">IFERROR((POWER(C$25/C15,1/($A$25-$A$15))-1)*100,"na")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>
        <f>IFERROR((POWER(B$35/B25,1/($A$35-$A$25))-1)*100,"na")</f>
        <v>14.49761506565852</v>
      </c>
      <c r="C40" s="86">
        <f t="shared" ref="C40:M40" si="3">IFERROR((POWER(C$35/C25,1/($A$35-$A$25))-1)*100,"na")</f>
        <v>-0.73960450626264773</v>
      </c>
      <c r="D40" s="86">
        <f t="shared" si="3"/>
        <v>11.992039515545549</v>
      </c>
      <c r="E40" s="87">
        <f t="shared" si="3"/>
        <v>3.7584383184344761</v>
      </c>
      <c r="F40" s="85">
        <f t="shared" si="3"/>
        <v>3.7929403747043011</v>
      </c>
      <c r="G40" s="86">
        <f t="shared" si="3"/>
        <v>12.3142248303872</v>
      </c>
      <c r="H40" s="86">
        <f t="shared" si="3"/>
        <v>3.9633472838434214</v>
      </c>
      <c r="I40" s="87">
        <f t="shared" si="3"/>
        <v>10.069945390577594</v>
      </c>
      <c r="J40" s="85">
        <f t="shared" si="3"/>
        <v>13.359705560419766</v>
      </c>
      <c r="K40" s="86">
        <f t="shared" si="3"/>
        <v>4.8408366439005812</v>
      </c>
      <c r="L40" s="86">
        <f t="shared" si="3"/>
        <v>1.3362170215770686</v>
      </c>
      <c r="M40" s="87">
        <f t="shared" si="3"/>
        <v>5.9923525165041625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M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269" t="s">
        <v>218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</row>
  </sheetData>
  <mergeCells count="5">
    <mergeCell ref="A1:F2"/>
    <mergeCell ref="B4:E4"/>
    <mergeCell ref="F4:I4"/>
    <mergeCell ref="J4:M4"/>
    <mergeCell ref="A37:M37"/>
  </mergeCells>
  <pageMargins left="0.7" right="0.7" top="0.75" bottom="0.75" header="0.3" footer="0.3"/>
  <pageSetup scale="76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5"/>
  <dimension ref="A1:M43"/>
  <sheetViews>
    <sheetView zoomScaleNormal="100" workbookViewId="0">
      <selection activeCell="B15" sqref="B15"/>
    </sheetView>
  </sheetViews>
  <sheetFormatPr defaultRowHeight="15"/>
  <cols>
    <col min="2" max="2" width="12.7109375" bestFit="1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1.140625" customWidth="1"/>
    <col min="12" max="12" width="18.28515625" customWidth="1"/>
  </cols>
  <sheetData>
    <row r="1" spans="1:13">
      <c r="A1" s="387" t="s">
        <v>254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0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IFERROR('4c'!B6/'4c'!J6*100,"na")</f>
        <v>na</v>
      </c>
      <c r="C6" s="83" t="str">
        <f>IFERROR('4c'!C6/'4c'!K6*100,"na")</f>
        <v>na</v>
      </c>
      <c r="D6" s="83" t="str">
        <f>IFERROR('4c'!D6/'4c'!L6*100,"na")</f>
        <v>na</v>
      </c>
      <c r="E6" s="84" t="str">
        <f>IFERROR('4c'!E6/'4c'!M6*100,"na")</f>
        <v>na</v>
      </c>
      <c r="F6" s="82" t="str">
        <f>IFERROR('4c'!F6/'4c'!J6*100,"na")</f>
        <v>na</v>
      </c>
      <c r="G6" s="83" t="str">
        <f>IFERROR('4c'!G6/'4c'!K6*100,"na")</f>
        <v>na</v>
      </c>
      <c r="H6" s="83" t="str">
        <f>IFERROR('4c'!H6/'4c'!L6*100,"na")</f>
        <v>na</v>
      </c>
      <c r="I6" s="84" t="str">
        <f>IFERROR('4c'!I6/'4c'!M6*100,"na")</f>
        <v>na</v>
      </c>
      <c r="J6" s="82" t="str">
        <f>IFERROR('4c'!J6/'4c'!J6*100, "na")</f>
        <v>na</v>
      </c>
      <c r="K6" s="83" t="str">
        <f>IFERROR('4c'!K6/'4c'!K6*100, "na")</f>
        <v>na</v>
      </c>
      <c r="L6" s="83" t="str">
        <f>IFERROR('4c'!L6/'4c'!L6*100, "na")</f>
        <v>na</v>
      </c>
      <c r="M6" s="84" t="str">
        <f>IFERROR('4c'!M6/'4c'!M6*100, "na")</f>
        <v>na</v>
      </c>
    </row>
    <row r="7" spans="1:13">
      <c r="A7" s="185">
        <v>1982</v>
      </c>
      <c r="B7" s="85" t="str">
        <f>IFERROR('4c'!B7/'4c'!J7*100,"na")</f>
        <v>na</v>
      </c>
      <c r="C7" s="86" t="str">
        <f>IFERROR('4c'!C7/'4c'!K7*100,"na")</f>
        <v>na</v>
      </c>
      <c r="D7" s="86" t="str">
        <f>IFERROR('4c'!D7/'4c'!L7*100,"na")</f>
        <v>na</v>
      </c>
      <c r="E7" s="87" t="str">
        <f>IFERROR('4c'!E7/'4c'!M7*100,"na")</f>
        <v>na</v>
      </c>
      <c r="F7" s="85" t="str">
        <f>IFERROR('4c'!F7/'4c'!J7*100,"na")</f>
        <v>na</v>
      </c>
      <c r="G7" s="86" t="str">
        <f>IFERROR('4c'!G7/'4c'!K7*100,"na")</f>
        <v>na</v>
      </c>
      <c r="H7" s="86" t="str">
        <f>IFERROR('4c'!H7/'4c'!L7*100,"na")</f>
        <v>na</v>
      </c>
      <c r="I7" s="87" t="str">
        <f>IFERROR('4c'!I7/'4c'!M7*100,"na")</f>
        <v>na</v>
      </c>
      <c r="J7" s="85" t="str">
        <f>IFERROR('4c'!J7/'4c'!J7*100, "na")</f>
        <v>na</v>
      </c>
      <c r="K7" s="86" t="str">
        <f>IFERROR('4c'!K7/'4c'!K7*100, "na")</f>
        <v>na</v>
      </c>
      <c r="L7" s="86" t="str">
        <f>IFERROR('4c'!L7/'4c'!L7*100, "na")</f>
        <v>na</v>
      </c>
      <c r="M7" s="87" t="str">
        <f>IFERROR('4c'!M7/'4c'!M7*100, "na")</f>
        <v>na</v>
      </c>
    </row>
    <row r="8" spans="1:13">
      <c r="A8" s="185">
        <v>1983</v>
      </c>
      <c r="B8" s="85" t="str">
        <f>IFERROR('4c'!B8/'4c'!J8*100,"na")</f>
        <v>na</v>
      </c>
      <c r="C8" s="86" t="str">
        <f>IFERROR('4c'!C8/'4c'!K8*100,"na")</f>
        <v>na</v>
      </c>
      <c r="D8" s="86" t="str">
        <f>IFERROR('4c'!D8/'4c'!L8*100,"na")</f>
        <v>na</v>
      </c>
      <c r="E8" s="87" t="str">
        <f>IFERROR('4c'!E8/'4c'!M8*100,"na")</f>
        <v>na</v>
      </c>
      <c r="F8" s="85" t="str">
        <f>IFERROR('4c'!F8/'4c'!J8*100,"na")</f>
        <v>na</v>
      </c>
      <c r="G8" s="86" t="str">
        <f>IFERROR('4c'!G8/'4c'!K8*100,"na")</f>
        <v>na</v>
      </c>
      <c r="H8" s="86" t="str">
        <f>IFERROR('4c'!H8/'4c'!L8*100,"na")</f>
        <v>na</v>
      </c>
      <c r="I8" s="87" t="str">
        <f>IFERROR('4c'!I8/'4c'!M8*100,"na")</f>
        <v>na</v>
      </c>
      <c r="J8" s="85" t="str">
        <f>IFERROR('4c'!J8/'4c'!J8*100, "na")</f>
        <v>na</v>
      </c>
      <c r="K8" s="86" t="str">
        <f>IFERROR('4c'!K8/'4c'!K8*100, "na")</f>
        <v>na</v>
      </c>
      <c r="L8" s="86" t="str">
        <f>IFERROR('4c'!L8/'4c'!L8*100, "na")</f>
        <v>na</v>
      </c>
      <c r="M8" s="87" t="str">
        <f>IFERROR('4c'!M8/'4c'!M8*100, "na")</f>
        <v>na</v>
      </c>
    </row>
    <row r="9" spans="1:13">
      <c r="A9" s="185">
        <v>1984</v>
      </c>
      <c r="B9" s="85" t="str">
        <f>IFERROR('4c'!B9/'4c'!J9*100,"na")</f>
        <v>na</v>
      </c>
      <c r="C9" s="86" t="str">
        <f>IFERROR('4c'!C9/'4c'!K9*100,"na")</f>
        <v>na</v>
      </c>
      <c r="D9" s="86" t="str">
        <f>IFERROR('4c'!D9/'4c'!L9*100,"na")</f>
        <v>na</v>
      </c>
      <c r="E9" s="87" t="str">
        <f>IFERROR('4c'!E9/'4c'!M9*100,"na")</f>
        <v>na</v>
      </c>
      <c r="F9" s="85" t="str">
        <f>IFERROR('4c'!F9/'4c'!J9*100,"na")</f>
        <v>na</v>
      </c>
      <c r="G9" s="86" t="str">
        <f>IFERROR('4c'!G9/'4c'!K9*100,"na")</f>
        <v>na</v>
      </c>
      <c r="H9" s="86" t="str">
        <f>IFERROR('4c'!H9/'4c'!L9*100,"na")</f>
        <v>na</v>
      </c>
      <c r="I9" s="87" t="str">
        <f>IFERROR('4c'!I9/'4c'!M9*100,"na")</f>
        <v>na</v>
      </c>
      <c r="J9" s="85" t="str">
        <f>IFERROR('4c'!J9/'4c'!J9*100, "na")</f>
        <v>na</v>
      </c>
      <c r="K9" s="86" t="str">
        <f>IFERROR('4c'!K9/'4c'!K9*100, "na")</f>
        <v>na</v>
      </c>
      <c r="L9" s="86" t="str">
        <f>IFERROR('4c'!L9/'4c'!L9*100, "na")</f>
        <v>na</v>
      </c>
      <c r="M9" s="87" t="str">
        <f>IFERROR('4c'!M9/'4c'!M9*100, "na")</f>
        <v>na</v>
      </c>
    </row>
    <row r="10" spans="1:13">
      <c r="A10" s="185">
        <v>1985</v>
      </c>
      <c r="B10" s="85" t="str">
        <f>IFERROR('4c'!B10/'4c'!J10*100,"na")</f>
        <v>na</v>
      </c>
      <c r="C10" s="86" t="str">
        <f>IFERROR('4c'!C10/'4c'!K10*100,"na")</f>
        <v>na</v>
      </c>
      <c r="D10" s="86" t="str">
        <f>IFERROR('4c'!D10/'4c'!L10*100,"na")</f>
        <v>na</v>
      </c>
      <c r="E10" s="87" t="str">
        <f>IFERROR('4c'!E10/'4c'!M10*100,"na")</f>
        <v>na</v>
      </c>
      <c r="F10" s="85" t="str">
        <f>IFERROR('4c'!F10/'4c'!J10*100,"na")</f>
        <v>na</v>
      </c>
      <c r="G10" s="86" t="str">
        <f>IFERROR('4c'!G10/'4c'!K10*100,"na")</f>
        <v>na</v>
      </c>
      <c r="H10" s="86" t="str">
        <f>IFERROR('4c'!H10/'4c'!L10*100,"na")</f>
        <v>na</v>
      </c>
      <c r="I10" s="87" t="str">
        <f>IFERROR('4c'!I10/'4c'!M10*100,"na")</f>
        <v>na</v>
      </c>
      <c r="J10" s="85" t="str">
        <f>IFERROR('4c'!J10/'4c'!J10*100, "na")</f>
        <v>na</v>
      </c>
      <c r="K10" s="86" t="str">
        <f>IFERROR('4c'!K10/'4c'!K10*100, "na")</f>
        <v>na</v>
      </c>
      <c r="L10" s="86" t="str">
        <f>IFERROR('4c'!L10/'4c'!L10*100, "na")</f>
        <v>na</v>
      </c>
      <c r="M10" s="87" t="str">
        <f>IFERROR('4c'!M10/'4c'!M10*100, "na")</f>
        <v>na</v>
      </c>
    </row>
    <row r="11" spans="1:13">
      <c r="A11" s="185">
        <v>1986</v>
      </c>
      <c r="B11" s="85" t="str">
        <f>IFERROR('4c'!B11/'4c'!J11*100,"na")</f>
        <v>na</v>
      </c>
      <c r="C11" s="86" t="str">
        <f>IFERROR('4c'!C11/'4c'!K11*100,"na")</f>
        <v>na</v>
      </c>
      <c r="D11" s="86" t="str">
        <f>IFERROR('4c'!D11/'4c'!L11*100,"na")</f>
        <v>na</v>
      </c>
      <c r="E11" s="87" t="str">
        <f>IFERROR('4c'!E11/'4c'!M11*100,"na")</f>
        <v>na</v>
      </c>
      <c r="F11" s="85" t="str">
        <f>IFERROR('4c'!F11/'4c'!J11*100,"na")</f>
        <v>na</v>
      </c>
      <c r="G11" s="86" t="str">
        <f>IFERROR('4c'!G11/'4c'!K11*100,"na")</f>
        <v>na</v>
      </c>
      <c r="H11" s="86" t="str">
        <f>IFERROR('4c'!H11/'4c'!L11*100,"na")</f>
        <v>na</v>
      </c>
      <c r="I11" s="87" t="str">
        <f>IFERROR('4c'!I11/'4c'!M11*100,"na")</f>
        <v>na</v>
      </c>
      <c r="J11" s="85" t="str">
        <f>IFERROR('4c'!J11/'4c'!J11*100, "na")</f>
        <v>na</v>
      </c>
      <c r="K11" s="86" t="str">
        <f>IFERROR('4c'!K11/'4c'!K11*100, "na")</f>
        <v>na</v>
      </c>
      <c r="L11" s="86" t="str">
        <f>IFERROR('4c'!L11/'4c'!L11*100, "na")</f>
        <v>na</v>
      </c>
      <c r="M11" s="87" t="str">
        <f>IFERROR('4c'!M11/'4c'!M11*100, "na")</f>
        <v>na</v>
      </c>
    </row>
    <row r="12" spans="1:13">
      <c r="A12" s="185">
        <v>1987</v>
      </c>
      <c r="B12" s="85" t="str">
        <f>IFERROR('4c'!B12/'4c'!J12*100,"na")</f>
        <v>na</v>
      </c>
      <c r="C12" s="86" t="str">
        <f>IFERROR('4c'!C12/'4c'!K12*100,"na")</f>
        <v>na</v>
      </c>
      <c r="D12" s="86" t="str">
        <f>IFERROR('4c'!D12/'4c'!L12*100,"na")</f>
        <v>na</v>
      </c>
      <c r="E12" s="87" t="str">
        <f>IFERROR('4c'!E12/'4c'!M12*100,"na")</f>
        <v>na</v>
      </c>
      <c r="F12" s="85" t="str">
        <f>IFERROR('4c'!F12/'4c'!J12*100,"na")</f>
        <v>na</v>
      </c>
      <c r="G12" s="86" t="str">
        <f>IFERROR('4c'!G12/'4c'!K12*100,"na")</f>
        <v>na</v>
      </c>
      <c r="H12" s="86" t="str">
        <f>IFERROR('4c'!H12/'4c'!L12*100,"na")</f>
        <v>na</v>
      </c>
      <c r="I12" s="87" t="str">
        <f>IFERROR('4c'!I12/'4c'!M12*100,"na")</f>
        <v>na</v>
      </c>
      <c r="J12" s="85" t="str">
        <f>IFERROR('4c'!J12/'4c'!J12*100, "na")</f>
        <v>na</v>
      </c>
      <c r="K12" s="86" t="str">
        <f>IFERROR('4c'!K12/'4c'!K12*100, "na")</f>
        <v>na</v>
      </c>
      <c r="L12" s="86" t="str">
        <f>IFERROR('4c'!L12/'4c'!L12*100, "na")</f>
        <v>na</v>
      </c>
      <c r="M12" s="87" t="str">
        <f>IFERROR('4c'!M12/'4c'!M12*100, "na")</f>
        <v>na</v>
      </c>
    </row>
    <row r="13" spans="1:13">
      <c r="A13" s="185">
        <v>1988</v>
      </c>
      <c r="B13" s="85" t="str">
        <f>IFERROR('4c'!B13/'4c'!J13*100,"na")</f>
        <v>na</v>
      </c>
      <c r="C13" s="86" t="str">
        <f>IFERROR('4c'!C13/'4c'!K13*100,"na")</f>
        <v>na</v>
      </c>
      <c r="D13" s="86" t="str">
        <f>IFERROR('4c'!D13/'4c'!L13*100,"na")</f>
        <v>na</v>
      </c>
      <c r="E13" s="87" t="str">
        <f>IFERROR('4c'!E13/'4c'!M13*100,"na")</f>
        <v>na</v>
      </c>
      <c r="F13" s="85" t="str">
        <f>IFERROR('4c'!F13/'4c'!J13*100,"na")</f>
        <v>na</v>
      </c>
      <c r="G13" s="86" t="str">
        <f>IFERROR('4c'!G13/'4c'!K13*100,"na")</f>
        <v>na</v>
      </c>
      <c r="H13" s="86" t="str">
        <f>IFERROR('4c'!H13/'4c'!L13*100,"na")</f>
        <v>na</v>
      </c>
      <c r="I13" s="87" t="str">
        <f>IFERROR('4c'!I13/'4c'!M13*100,"na")</f>
        <v>na</v>
      </c>
      <c r="J13" s="85" t="str">
        <f>IFERROR('4c'!J13/'4c'!J13*100, "na")</f>
        <v>na</v>
      </c>
      <c r="K13" s="86" t="str">
        <f>IFERROR('4c'!K13/'4c'!K13*100, "na")</f>
        <v>na</v>
      </c>
      <c r="L13" s="86" t="str">
        <f>IFERROR('4c'!L13/'4c'!L13*100, "na")</f>
        <v>na</v>
      </c>
      <c r="M13" s="87" t="str">
        <f>IFERROR('4c'!M13/'4c'!M13*100, "na")</f>
        <v>na</v>
      </c>
    </row>
    <row r="14" spans="1:13">
      <c r="A14" s="185">
        <v>1989</v>
      </c>
      <c r="B14" s="85" t="str">
        <f>IFERROR('4c'!B14/'4c'!J14*100,"na")</f>
        <v>na</v>
      </c>
      <c r="C14" s="86" t="str">
        <f>IFERROR('4c'!C14/'4c'!K14*100,"na")</f>
        <v>na</v>
      </c>
      <c r="D14" s="86" t="str">
        <f>IFERROR('4c'!D14/'4c'!L14*100,"na")</f>
        <v>na</v>
      </c>
      <c r="E14" s="87" t="str">
        <f>IFERROR('4c'!E14/'4c'!M14*100,"na")</f>
        <v>na</v>
      </c>
      <c r="F14" s="85" t="str">
        <f>IFERROR('4c'!F14/'4c'!J14*100,"na")</f>
        <v>na</v>
      </c>
      <c r="G14" s="86" t="str">
        <f>IFERROR('4c'!G14/'4c'!K14*100,"na")</f>
        <v>na</v>
      </c>
      <c r="H14" s="86" t="str">
        <f>IFERROR('4c'!H14/'4c'!L14*100,"na")</f>
        <v>na</v>
      </c>
      <c r="I14" s="87" t="str">
        <f>IFERROR('4c'!I14/'4c'!M14*100,"na")</f>
        <v>na</v>
      </c>
      <c r="J14" s="85" t="str">
        <f>IFERROR('4c'!J14/'4c'!J14*100, "na")</f>
        <v>na</v>
      </c>
      <c r="K14" s="86" t="str">
        <f>IFERROR('4c'!K14/'4c'!K14*100, "na")</f>
        <v>na</v>
      </c>
      <c r="L14" s="86" t="str">
        <f>IFERROR('4c'!L14/'4c'!L14*100, "na")</f>
        <v>na</v>
      </c>
      <c r="M14" s="87" t="str">
        <f>IFERROR('4c'!M14/'4c'!M14*100, "na")</f>
        <v>na</v>
      </c>
    </row>
    <row r="15" spans="1:13">
      <c r="A15" s="185">
        <v>1990</v>
      </c>
      <c r="B15" s="85" t="str">
        <f>IFERROR('4c'!B15/'4c'!J15*100,"na")</f>
        <v>na</v>
      </c>
      <c r="C15" s="86" t="str">
        <f>IFERROR('4c'!C15/'4c'!K15*100,"na")</f>
        <v>na</v>
      </c>
      <c r="D15" s="86" t="str">
        <f>IFERROR('4c'!D15/'4c'!L15*100,"na")</f>
        <v>na</v>
      </c>
      <c r="E15" s="87" t="str">
        <f>IFERROR('4c'!E15/'4c'!M15*100,"na")</f>
        <v>na</v>
      </c>
      <c r="F15" s="85" t="str">
        <f>IFERROR('4c'!F15/'4c'!J15*100,"na")</f>
        <v>na</v>
      </c>
      <c r="G15" s="86" t="str">
        <f>IFERROR('4c'!G15/'4c'!K15*100,"na")</f>
        <v>na</v>
      </c>
      <c r="H15" s="86" t="str">
        <f>IFERROR('4c'!H15/'4c'!L15*100,"na")</f>
        <v>na</v>
      </c>
      <c r="I15" s="87" t="str">
        <f>IFERROR('4c'!I15/'4c'!M15*100,"na")</f>
        <v>na</v>
      </c>
      <c r="J15" s="85" t="str">
        <f>IFERROR('4c'!J15/'4c'!J15*100, "na")</f>
        <v>na</v>
      </c>
      <c r="K15" s="86" t="str">
        <f>IFERROR('4c'!K15/'4c'!K15*100, "na")</f>
        <v>na</v>
      </c>
      <c r="L15" s="86" t="str">
        <f>IFERROR('4c'!L15/'4c'!L15*100, "na")</f>
        <v>na</v>
      </c>
      <c r="M15" s="87" t="str">
        <f>IFERROR('4c'!M15/'4c'!M15*100, "na")</f>
        <v>na</v>
      </c>
    </row>
    <row r="16" spans="1:13">
      <c r="A16" s="185">
        <v>1991</v>
      </c>
      <c r="B16" s="85" t="str">
        <f>IFERROR('4c'!B16/'4c'!J16*100,"na")</f>
        <v>na</v>
      </c>
      <c r="C16" s="86" t="str">
        <f>IFERROR('4c'!C16/'4c'!K16*100,"na")</f>
        <v>na</v>
      </c>
      <c r="D16" s="86" t="str">
        <f>IFERROR('4c'!D16/'4c'!L16*100,"na")</f>
        <v>na</v>
      </c>
      <c r="E16" s="87" t="str">
        <f>IFERROR('4c'!E16/'4c'!M16*100,"na")</f>
        <v>na</v>
      </c>
      <c r="F16" s="85" t="str">
        <f>IFERROR('4c'!F16/'4c'!J16*100,"na")</f>
        <v>na</v>
      </c>
      <c r="G16" s="86" t="str">
        <f>IFERROR('4c'!G16/'4c'!K16*100,"na")</f>
        <v>na</v>
      </c>
      <c r="H16" s="86" t="str">
        <f>IFERROR('4c'!H16/'4c'!L16*100,"na")</f>
        <v>na</v>
      </c>
      <c r="I16" s="87" t="str">
        <f>IFERROR('4c'!I16/'4c'!M16*100,"na")</f>
        <v>na</v>
      </c>
      <c r="J16" s="85" t="str">
        <f>IFERROR('4c'!J16/'4c'!J16*100, "na")</f>
        <v>na</v>
      </c>
      <c r="K16" s="86" t="str">
        <f>IFERROR('4c'!K16/'4c'!K16*100, "na")</f>
        <v>na</v>
      </c>
      <c r="L16" s="86" t="str">
        <f>IFERROR('4c'!L16/'4c'!L16*100, "na")</f>
        <v>na</v>
      </c>
      <c r="M16" s="87" t="str">
        <f>IFERROR('4c'!M16/'4c'!M16*100, "na")</f>
        <v>na</v>
      </c>
    </row>
    <row r="17" spans="1:13">
      <c r="A17" s="185">
        <v>1992</v>
      </c>
      <c r="B17" s="85" t="str">
        <f>IFERROR('4c'!B17/'4c'!J17*100,"na")</f>
        <v>na</v>
      </c>
      <c r="C17" s="86" t="str">
        <f>IFERROR('4c'!C17/'4c'!K17*100,"na")</f>
        <v>na</v>
      </c>
      <c r="D17" s="86" t="str">
        <f>IFERROR('4c'!D17/'4c'!L17*100,"na")</f>
        <v>na</v>
      </c>
      <c r="E17" s="87" t="str">
        <f>IFERROR('4c'!E17/'4c'!M17*100,"na")</f>
        <v>na</v>
      </c>
      <c r="F17" s="85" t="str">
        <f>IFERROR('4c'!F17/'4c'!J17*100,"na")</f>
        <v>na</v>
      </c>
      <c r="G17" s="86" t="str">
        <f>IFERROR('4c'!G17/'4c'!K17*100,"na")</f>
        <v>na</v>
      </c>
      <c r="H17" s="86" t="str">
        <f>IFERROR('4c'!H17/'4c'!L17*100,"na")</f>
        <v>na</v>
      </c>
      <c r="I17" s="87" t="str">
        <f>IFERROR('4c'!I17/'4c'!M17*100,"na")</f>
        <v>na</v>
      </c>
      <c r="J17" s="85" t="str">
        <f>IFERROR('4c'!J17/'4c'!J17*100, "na")</f>
        <v>na</v>
      </c>
      <c r="K17" s="86" t="str">
        <f>IFERROR('4c'!K17/'4c'!K17*100, "na")</f>
        <v>na</v>
      </c>
      <c r="L17" s="86" t="str">
        <f>IFERROR('4c'!L17/'4c'!L17*100, "na")</f>
        <v>na</v>
      </c>
      <c r="M17" s="87" t="str">
        <f>IFERROR('4c'!M17/'4c'!M17*100, "na")</f>
        <v>na</v>
      </c>
    </row>
    <row r="18" spans="1:13">
      <c r="A18" s="185">
        <v>1993</v>
      </c>
      <c r="B18" s="85" t="str">
        <f>IFERROR('4c'!B18/'4c'!J18*100,"na")</f>
        <v>na</v>
      </c>
      <c r="C18" s="86" t="str">
        <f>IFERROR('4c'!C18/'4c'!K18*100,"na")</f>
        <v>na</v>
      </c>
      <c r="D18" s="86" t="str">
        <f>IFERROR('4c'!D18/'4c'!L18*100,"na")</f>
        <v>na</v>
      </c>
      <c r="E18" s="87" t="str">
        <f>IFERROR('4c'!E18/'4c'!M18*100,"na")</f>
        <v>na</v>
      </c>
      <c r="F18" s="85" t="str">
        <f>IFERROR('4c'!F18/'4c'!J18*100,"na")</f>
        <v>na</v>
      </c>
      <c r="G18" s="86" t="str">
        <f>IFERROR('4c'!G18/'4c'!K18*100,"na")</f>
        <v>na</v>
      </c>
      <c r="H18" s="86" t="str">
        <f>IFERROR('4c'!H18/'4c'!L18*100,"na")</f>
        <v>na</v>
      </c>
      <c r="I18" s="87" t="str">
        <f>IFERROR('4c'!I18/'4c'!M18*100,"na")</f>
        <v>na</v>
      </c>
      <c r="J18" s="85" t="str">
        <f>IFERROR('4c'!J18/'4c'!J18*100, "na")</f>
        <v>na</v>
      </c>
      <c r="K18" s="86" t="str">
        <f>IFERROR('4c'!K18/'4c'!K18*100, "na")</f>
        <v>na</v>
      </c>
      <c r="L18" s="86" t="str">
        <f>IFERROR('4c'!L18/'4c'!L18*100, "na")</f>
        <v>na</v>
      </c>
      <c r="M18" s="87" t="str">
        <f>IFERROR('4c'!M18/'4c'!M18*100, "na")</f>
        <v>na</v>
      </c>
    </row>
    <row r="19" spans="1:13">
      <c r="A19" s="185">
        <v>1994</v>
      </c>
      <c r="B19" s="85" t="str">
        <f>IFERROR('4c'!B19/'4c'!J19*100,"na")</f>
        <v>na</v>
      </c>
      <c r="C19" s="86" t="str">
        <f>IFERROR('4c'!C19/'4c'!K19*100,"na")</f>
        <v>na</v>
      </c>
      <c r="D19" s="86" t="str">
        <f>IFERROR('4c'!D19/'4c'!L19*100,"na")</f>
        <v>na</v>
      </c>
      <c r="E19" s="87" t="str">
        <f>IFERROR('4c'!E19/'4c'!M19*100,"na")</f>
        <v>na</v>
      </c>
      <c r="F19" s="85" t="str">
        <f>IFERROR('4c'!F19/'4c'!J19*100,"na")</f>
        <v>na</v>
      </c>
      <c r="G19" s="86" t="str">
        <f>IFERROR('4c'!G19/'4c'!K19*100,"na")</f>
        <v>na</v>
      </c>
      <c r="H19" s="86" t="str">
        <f>IFERROR('4c'!H19/'4c'!L19*100,"na")</f>
        <v>na</v>
      </c>
      <c r="I19" s="87" t="str">
        <f>IFERROR('4c'!I19/'4c'!M19*100,"na")</f>
        <v>na</v>
      </c>
      <c r="J19" s="85" t="str">
        <f>IFERROR('4c'!J19/'4c'!J19*100, "na")</f>
        <v>na</v>
      </c>
      <c r="K19" s="86" t="str">
        <f>IFERROR('4c'!K19/'4c'!K19*100, "na")</f>
        <v>na</v>
      </c>
      <c r="L19" s="86" t="str">
        <f>IFERROR('4c'!L19/'4c'!L19*100, "na")</f>
        <v>na</v>
      </c>
      <c r="M19" s="87" t="str">
        <f>IFERROR('4c'!M19/'4c'!M19*100, "na")</f>
        <v>na</v>
      </c>
    </row>
    <row r="20" spans="1:13">
      <c r="A20" s="185">
        <v>1995</v>
      </c>
      <c r="B20" s="85" t="str">
        <f>IFERROR('4c'!B20/'4c'!J20*100,"na")</f>
        <v>na</v>
      </c>
      <c r="C20" s="86" t="str">
        <f>IFERROR('4c'!C20/'4c'!K20*100,"na")</f>
        <v>na</v>
      </c>
      <c r="D20" s="86" t="str">
        <f>IFERROR('4c'!D20/'4c'!L20*100,"na")</f>
        <v>na</v>
      </c>
      <c r="E20" s="87" t="str">
        <f>IFERROR('4c'!E20/'4c'!M20*100,"na")</f>
        <v>na</v>
      </c>
      <c r="F20" s="85" t="str">
        <f>IFERROR('4c'!F20/'4c'!J20*100,"na")</f>
        <v>na</v>
      </c>
      <c r="G20" s="86" t="str">
        <f>IFERROR('4c'!G20/'4c'!K20*100,"na")</f>
        <v>na</v>
      </c>
      <c r="H20" s="86" t="str">
        <f>IFERROR('4c'!H20/'4c'!L20*100,"na")</f>
        <v>na</v>
      </c>
      <c r="I20" s="87" t="str">
        <f>IFERROR('4c'!I20/'4c'!M20*100,"na")</f>
        <v>na</v>
      </c>
      <c r="J20" s="85" t="str">
        <f>IFERROR('4c'!J20/'4c'!J20*100, "na")</f>
        <v>na</v>
      </c>
      <c r="K20" s="86" t="str">
        <f>IFERROR('4c'!K20/'4c'!K20*100, "na")</f>
        <v>na</v>
      </c>
      <c r="L20" s="86" t="str">
        <f>IFERROR('4c'!L20/'4c'!L20*100, "na")</f>
        <v>na</v>
      </c>
      <c r="M20" s="87" t="str">
        <f>IFERROR('4c'!M20/'4c'!M20*100, "na")</f>
        <v>na</v>
      </c>
    </row>
    <row r="21" spans="1:13">
      <c r="A21" s="185">
        <v>1996</v>
      </c>
      <c r="B21" s="85" t="str">
        <f>IFERROR('4c'!B21/'4c'!J21*100,"na")</f>
        <v>na</v>
      </c>
      <c r="C21" s="86" t="str">
        <f>IFERROR('4c'!C21/'4c'!K21*100,"na")</f>
        <v>na</v>
      </c>
      <c r="D21" s="86" t="str">
        <f>IFERROR('4c'!D21/'4c'!L21*100,"na")</f>
        <v>na</v>
      </c>
      <c r="E21" s="87" t="str">
        <f>IFERROR('4c'!E21/'4c'!M21*100,"na")</f>
        <v>na</v>
      </c>
      <c r="F21" s="85" t="str">
        <f>IFERROR('4c'!F21/'4c'!J21*100,"na")</f>
        <v>na</v>
      </c>
      <c r="G21" s="86" t="str">
        <f>IFERROR('4c'!G21/'4c'!K21*100,"na")</f>
        <v>na</v>
      </c>
      <c r="H21" s="86" t="str">
        <f>IFERROR('4c'!H21/'4c'!L21*100,"na")</f>
        <v>na</v>
      </c>
      <c r="I21" s="87" t="str">
        <f>IFERROR('4c'!I21/'4c'!M21*100,"na")</f>
        <v>na</v>
      </c>
      <c r="J21" s="85" t="str">
        <f>IFERROR('4c'!J21/'4c'!J21*100, "na")</f>
        <v>na</v>
      </c>
      <c r="K21" s="86" t="str">
        <f>IFERROR('4c'!K21/'4c'!K21*100, "na")</f>
        <v>na</v>
      </c>
      <c r="L21" s="86" t="str">
        <f>IFERROR('4c'!L21/'4c'!L21*100, "na")</f>
        <v>na</v>
      </c>
      <c r="M21" s="87" t="str">
        <f>IFERROR('4c'!M21/'4c'!M21*100, "na")</f>
        <v>na</v>
      </c>
    </row>
    <row r="22" spans="1:13">
      <c r="A22" s="185">
        <v>1997</v>
      </c>
      <c r="B22" s="85">
        <f>IFERROR('4c'!B22/'4c'!J22*100,"na")</f>
        <v>2084.1473739087587</v>
      </c>
      <c r="C22" s="86">
        <f>IFERROR('4c'!C22/'4c'!K22*100,"na")</f>
        <v>2342.0097677919939</v>
      </c>
      <c r="D22" s="86">
        <f>IFERROR('4c'!D22/'4c'!L22*100,"na")</f>
        <v>383.68133379867646</v>
      </c>
      <c r="E22" s="87">
        <f>IFERROR('4c'!E22/'4c'!M22*100,"na")</f>
        <v>1391.1001159964685</v>
      </c>
      <c r="F22" s="85">
        <f>IFERROR('4c'!F22/'4c'!J22*100,"na")</f>
        <v>2412.7073476695346</v>
      </c>
      <c r="G22" s="86">
        <f>IFERROR('4c'!G22/'4c'!K22*100,"na")</f>
        <v>1513.996486552526</v>
      </c>
      <c r="H22" s="86">
        <f>IFERROR('4c'!H22/'4c'!L22*100,"na")</f>
        <v>103.11079303482526</v>
      </c>
      <c r="I22" s="87">
        <f>IFERROR('4c'!I22/'4c'!M22*100,"na")</f>
        <v>939.31641402339369</v>
      </c>
      <c r="J22" s="85">
        <f>IFERROR('4c'!J22/'4c'!J22*100, "na")</f>
        <v>100</v>
      </c>
      <c r="K22" s="86">
        <f>IFERROR('4c'!K22/'4c'!K22*100, "na")</f>
        <v>100</v>
      </c>
      <c r="L22" s="86">
        <f>IFERROR('4c'!L22/'4c'!L22*100, "na")</f>
        <v>100</v>
      </c>
      <c r="M22" s="87">
        <f>IFERROR('4c'!M22/'4c'!M22*100, "na")</f>
        <v>100</v>
      </c>
    </row>
    <row r="23" spans="1:13">
      <c r="A23" s="185">
        <v>1998</v>
      </c>
      <c r="B23" s="85">
        <f>IFERROR('4c'!B23/'4c'!J23*100,"na")</f>
        <v>2519.0735537606547</v>
      </c>
      <c r="C23" s="86">
        <f>IFERROR('4c'!C23/'4c'!K23*100,"na")</f>
        <v>2464.7842465994395</v>
      </c>
      <c r="D23" s="86">
        <f>IFERROR('4c'!D23/'4c'!L23*100,"na")</f>
        <v>329.25831773640675</v>
      </c>
      <c r="E23" s="87">
        <f>IFERROR('4c'!E23/'4c'!M23*100,"na")</f>
        <v>1556.9001298269843</v>
      </c>
      <c r="F23" s="85">
        <f>IFERROR('4c'!F23/'4c'!J23*100,"na")</f>
        <v>4602.6350510372786</v>
      </c>
      <c r="G23" s="86">
        <f>IFERROR('4c'!G23/'4c'!K23*100,"na")</f>
        <v>2163.2632872377503</v>
      </c>
      <c r="H23" s="86">
        <f>IFERROR('4c'!H23/'4c'!L23*100,"na")</f>
        <v>174.07566050125655</v>
      </c>
      <c r="I23" s="87">
        <f>IFERROR('4c'!I23/'4c'!M23*100,"na")</f>
        <v>1638.5357159269815</v>
      </c>
      <c r="J23" s="85">
        <f>IFERROR('4c'!J23/'4c'!J23*100, "na")</f>
        <v>100</v>
      </c>
      <c r="K23" s="86">
        <f>IFERROR('4c'!K23/'4c'!K23*100, "na")</f>
        <v>100</v>
      </c>
      <c r="L23" s="86">
        <f>IFERROR('4c'!L23/'4c'!L23*100, "na")</f>
        <v>100</v>
      </c>
      <c r="M23" s="87">
        <f>IFERROR('4c'!M23/'4c'!M23*100, "na")</f>
        <v>100</v>
      </c>
    </row>
    <row r="24" spans="1:13">
      <c r="A24" s="185">
        <v>1999</v>
      </c>
      <c r="B24" s="85">
        <f>IFERROR('4c'!B24/'4c'!J24*100,"na")</f>
        <v>2307.8674430097749</v>
      </c>
      <c r="C24" s="86">
        <f>IFERROR('4c'!C24/'4c'!K24*100,"na")</f>
        <v>3067.3127505974421</v>
      </c>
      <c r="D24" s="86">
        <f>IFERROR('4c'!D24/'4c'!L24*100,"na")</f>
        <v>306.93947081107882</v>
      </c>
      <c r="E24" s="87">
        <f>IFERROR('4c'!E24/'4c'!M24*100,"na")</f>
        <v>1829.9549339548851</v>
      </c>
      <c r="F24" s="85">
        <f>IFERROR('4c'!F24/'4c'!J24*100,"na")</f>
        <v>2452.3794743684984</v>
      </c>
      <c r="G24" s="86">
        <f>IFERROR('4c'!G24/'4c'!K24*100,"na")</f>
        <v>1901.0595231124405</v>
      </c>
      <c r="H24" s="86">
        <f>IFERROR('4c'!H24/'4c'!L24*100,"na")</f>
        <v>142.56430150329473</v>
      </c>
      <c r="I24" s="87">
        <f>IFERROR('4c'!I24/'4c'!M24*100,"na")</f>
        <v>1285.5219763982498</v>
      </c>
      <c r="J24" s="85">
        <f>IFERROR('4c'!J24/'4c'!J24*100, "na")</f>
        <v>100</v>
      </c>
      <c r="K24" s="86">
        <f>IFERROR('4c'!K24/'4c'!K24*100, "na")</f>
        <v>100</v>
      </c>
      <c r="L24" s="86">
        <f>IFERROR('4c'!L24/'4c'!L24*100, "na")</f>
        <v>100</v>
      </c>
      <c r="M24" s="87">
        <f>IFERROR('4c'!M24/'4c'!M24*100, "na")</f>
        <v>100</v>
      </c>
    </row>
    <row r="25" spans="1:13">
      <c r="A25" s="185">
        <v>2000</v>
      </c>
      <c r="B25" s="85">
        <f>IFERROR('4c'!B25/'4c'!J25*100,"na")</f>
        <v>1317.1377064927119</v>
      </c>
      <c r="C25" s="86">
        <f>IFERROR('4c'!C25/'4c'!K25*100,"na")</f>
        <v>3633.9561346645246</v>
      </c>
      <c r="D25" s="86">
        <f>IFERROR('4c'!D25/'4c'!L25*100,"na")</f>
        <v>237.92362699967572</v>
      </c>
      <c r="E25" s="87">
        <f>IFERROR('4c'!E25/'4c'!M25*100,"na")</f>
        <v>1844.4303840524192</v>
      </c>
      <c r="F25" s="85">
        <f>IFERROR('4c'!F25/'4c'!J25*100,"na")</f>
        <v>1839.8620714704564</v>
      </c>
      <c r="G25" s="86">
        <f>IFERROR('4c'!G25/'4c'!K25*100,"na")</f>
        <v>2172.1924799005533</v>
      </c>
      <c r="H25" s="86">
        <f>IFERROR('4c'!H25/'4c'!L25*100,"na")</f>
        <v>243.12364038688389</v>
      </c>
      <c r="I25" s="87">
        <f>IFERROR('4c'!I25/'4c'!M25*100,"na")</f>
        <v>1346.1127182023831</v>
      </c>
      <c r="J25" s="85">
        <f>IFERROR('4c'!J25/'4c'!J25*100, "na")</f>
        <v>100</v>
      </c>
      <c r="K25" s="86">
        <f>IFERROR('4c'!K25/'4c'!K25*100, "na")</f>
        <v>100</v>
      </c>
      <c r="L25" s="86">
        <f>IFERROR('4c'!L25/'4c'!L25*100, "na")</f>
        <v>100</v>
      </c>
      <c r="M25" s="87">
        <f>IFERROR('4c'!M25/'4c'!M25*100, "na")</f>
        <v>100</v>
      </c>
    </row>
    <row r="26" spans="1:13">
      <c r="A26" s="185">
        <v>2001</v>
      </c>
      <c r="B26" s="85">
        <f>IFERROR('4c'!B26/'4c'!J26*100,"na")</f>
        <v>764.59626337143357</v>
      </c>
      <c r="C26" s="86">
        <f>IFERROR('4c'!C26/'4c'!K26*100,"na")</f>
        <v>3460.2627897924031</v>
      </c>
      <c r="D26" s="86">
        <f>IFERROR('4c'!D26/'4c'!L26*100,"na")</f>
        <v>171.69778306294918</v>
      </c>
      <c r="E26" s="87">
        <f>IFERROR('4c'!E26/'4c'!M26*100,"na")</f>
        <v>1631.2100630807727</v>
      </c>
      <c r="F26" s="85">
        <f>IFERROR('4c'!F26/'4c'!J26*100,"na")</f>
        <v>1002.7300076370115</v>
      </c>
      <c r="G26" s="86">
        <f>IFERROR('4c'!G26/'4c'!K26*100,"na")</f>
        <v>2032.9119831144928</v>
      </c>
      <c r="H26" s="86">
        <f>IFERROR('4c'!H26/'4c'!L26*100,"na")</f>
        <v>181.25426000837567</v>
      </c>
      <c r="I26" s="87">
        <f>IFERROR('4c'!I26/'4c'!M26*100,"na")</f>
        <v>1100.5377640128891</v>
      </c>
      <c r="J26" s="85">
        <f>IFERROR('4c'!J26/'4c'!J26*100, "na")</f>
        <v>100</v>
      </c>
      <c r="K26" s="86">
        <f>IFERROR('4c'!K26/'4c'!K26*100, "na")</f>
        <v>100</v>
      </c>
      <c r="L26" s="86">
        <f>IFERROR('4c'!L26/'4c'!L26*100, "na")</f>
        <v>100</v>
      </c>
      <c r="M26" s="87">
        <f>IFERROR('4c'!M26/'4c'!M26*100, "na")</f>
        <v>100</v>
      </c>
    </row>
    <row r="27" spans="1:13">
      <c r="A27" s="185">
        <v>2002</v>
      </c>
      <c r="B27" s="85">
        <f>IFERROR('4c'!B27/'4c'!J27*100,"na")</f>
        <v>891.32224177272019</v>
      </c>
      <c r="C27" s="86">
        <f>IFERROR('4c'!C27/'4c'!K27*100,"na")</f>
        <v>3283.9227772316667</v>
      </c>
      <c r="D27" s="86">
        <f>IFERROR('4c'!D27/'4c'!L27*100,"na")</f>
        <v>169.37790784420113</v>
      </c>
      <c r="E27" s="87">
        <f>IFERROR('4c'!E27/'4c'!M27*100,"na")</f>
        <v>1572.5164516189852</v>
      </c>
      <c r="F27" s="85">
        <f>IFERROR('4c'!F27/'4c'!J27*100,"na")</f>
        <v>583.99673789022745</v>
      </c>
      <c r="G27" s="86">
        <f>IFERROR('4c'!G27/'4c'!K27*100,"na")</f>
        <v>1855.2934461708232</v>
      </c>
      <c r="H27" s="86">
        <f>IFERROR('4c'!H27/'4c'!L27*100,"na")</f>
        <v>165.01700098207434</v>
      </c>
      <c r="I27" s="87">
        <f>IFERROR('4c'!I27/'4c'!M27*100,"na")</f>
        <v>932.39210630764603</v>
      </c>
      <c r="J27" s="85">
        <f>IFERROR('4c'!J27/'4c'!J27*100, "na")</f>
        <v>100</v>
      </c>
      <c r="K27" s="86">
        <f>IFERROR('4c'!K27/'4c'!K27*100, "na")</f>
        <v>100</v>
      </c>
      <c r="L27" s="86">
        <f>IFERROR('4c'!L27/'4c'!L27*100, "na")</f>
        <v>100</v>
      </c>
      <c r="M27" s="87">
        <f>IFERROR('4c'!M27/'4c'!M27*100, "na")</f>
        <v>100</v>
      </c>
    </row>
    <row r="28" spans="1:13">
      <c r="A28" s="185">
        <v>2003</v>
      </c>
      <c r="B28" s="85">
        <f>IFERROR('4c'!B28/'4c'!J28*100,"na")</f>
        <v>1329.8389394044002</v>
      </c>
      <c r="C28" s="86">
        <f>IFERROR('4c'!C28/'4c'!K28*100,"na")</f>
        <v>2802.7085523412693</v>
      </c>
      <c r="D28" s="86">
        <f>IFERROR('4c'!D28/'4c'!L28*100,"na")</f>
        <v>234.0301178920584</v>
      </c>
      <c r="E28" s="87">
        <f>IFERROR('4c'!E28/'4c'!M28*100,"na")</f>
        <v>1509.0390984961966</v>
      </c>
      <c r="F28" s="85">
        <f>IFERROR('4c'!F28/'4c'!J28*100,"na")</f>
        <v>596.35948681006391</v>
      </c>
      <c r="G28" s="86">
        <f>IFERROR('4c'!G28/'4c'!K28*100,"na")</f>
        <v>1856.5332092089036</v>
      </c>
      <c r="H28" s="86">
        <f>IFERROR('4c'!H28/'4c'!L28*100,"na")</f>
        <v>170.37807480713781</v>
      </c>
      <c r="I28" s="87">
        <f>IFERROR('4c'!I28/'4c'!M28*100,"na")</f>
        <v>937.46385215094085</v>
      </c>
      <c r="J28" s="85">
        <f>IFERROR('4c'!J28/'4c'!J28*100, "na")</f>
        <v>100</v>
      </c>
      <c r="K28" s="86">
        <f>IFERROR('4c'!K28/'4c'!K28*100, "na")</f>
        <v>100</v>
      </c>
      <c r="L28" s="86">
        <f>IFERROR('4c'!L28/'4c'!L28*100, "na")</f>
        <v>100</v>
      </c>
      <c r="M28" s="87">
        <f>IFERROR('4c'!M28/'4c'!M28*100, "na")</f>
        <v>100</v>
      </c>
    </row>
    <row r="29" spans="1:13">
      <c r="A29" s="185">
        <v>2004</v>
      </c>
      <c r="B29" s="85">
        <f>IFERROR('4c'!B29/'4c'!J29*100,"na")</f>
        <v>1547.5507711193147</v>
      </c>
      <c r="C29" s="86">
        <f>IFERROR('4c'!C29/'4c'!K29*100,"na")</f>
        <v>2731.7170034871674</v>
      </c>
      <c r="D29" s="86">
        <f>IFERROR('4c'!D29/'4c'!L29*100,"na")</f>
        <v>301.1288754257252</v>
      </c>
      <c r="E29" s="87">
        <f>IFERROR('4c'!E29/'4c'!M29*100,"na")</f>
        <v>1580.8269594511667</v>
      </c>
      <c r="F29" s="85">
        <f>IFERROR('4c'!F29/'4c'!J29*100,"na")</f>
        <v>589.24418831052185</v>
      </c>
      <c r="G29" s="86">
        <f>IFERROR('4c'!G29/'4c'!K29*100,"na")</f>
        <v>2381.9505492172393</v>
      </c>
      <c r="H29" s="86">
        <f>IFERROR('4c'!H29/'4c'!L29*100,"na")</f>
        <v>188.61306483337083</v>
      </c>
      <c r="I29" s="87">
        <f>IFERROR('4c'!I29/'4c'!M29*100,"na")</f>
        <v>1147.5222815327263</v>
      </c>
      <c r="J29" s="85">
        <f>IFERROR('4c'!J29/'4c'!J29*100, "na")</f>
        <v>100</v>
      </c>
      <c r="K29" s="86">
        <f>IFERROR('4c'!K29/'4c'!K29*100, "na")</f>
        <v>100</v>
      </c>
      <c r="L29" s="86">
        <f>IFERROR('4c'!L29/'4c'!L29*100, "na")</f>
        <v>100</v>
      </c>
      <c r="M29" s="87">
        <f>IFERROR('4c'!M29/'4c'!M29*100, "na")</f>
        <v>100</v>
      </c>
    </row>
    <row r="30" spans="1:13">
      <c r="A30" s="185">
        <v>2005</v>
      </c>
      <c r="B30" s="85">
        <f>IFERROR('4c'!B30/'4c'!J30*100,"na")</f>
        <v>1805.8869775485364</v>
      </c>
      <c r="C30" s="86">
        <f>IFERROR('4c'!C30/'4c'!K30*100,"na")</f>
        <v>2959.0265348384214</v>
      </c>
      <c r="D30" s="86">
        <f>IFERROR('4c'!D30/'4c'!L30*100,"na")</f>
        <v>345.37410759113328</v>
      </c>
      <c r="E30" s="87">
        <f>IFERROR('4c'!E30/'4c'!M30*100,"na")</f>
        <v>1793.4049240236113</v>
      </c>
      <c r="F30" s="85">
        <f>IFERROR('4c'!F30/'4c'!J30*100,"na")</f>
        <v>710.76303255986193</v>
      </c>
      <c r="G30" s="86">
        <f>IFERROR('4c'!G30/'4c'!K30*100,"na")</f>
        <v>2901.7890857570574</v>
      </c>
      <c r="H30" s="86">
        <f>IFERROR('4c'!H30/'4c'!L30*100,"na")</f>
        <v>261.0605545804658</v>
      </c>
      <c r="I30" s="87">
        <f>IFERROR('4c'!I30/'4c'!M30*100,"na")</f>
        <v>1414.3452434719309</v>
      </c>
      <c r="J30" s="85">
        <f>IFERROR('4c'!J30/'4c'!J30*100, "na")</f>
        <v>100</v>
      </c>
      <c r="K30" s="86">
        <f>IFERROR('4c'!K30/'4c'!K30*100, "na")</f>
        <v>100</v>
      </c>
      <c r="L30" s="86">
        <f>IFERROR('4c'!L30/'4c'!L30*100, "na")</f>
        <v>100</v>
      </c>
      <c r="M30" s="87">
        <f>IFERROR('4c'!M30/'4c'!M30*100, "na")</f>
        <v>100</v>
      </c>
    </row>
    <row r="31" spans="1:13">
      <c r="A31" s="185">
        <v>2006</v>
      </c>
      <c r="B31" s="85">
        <f>IFERROR('4c'!B31/'4c'!J31*100,"na")</f>
        <v>1584.9441351576816</v>
      </c>
      <c r="C31" s="86">
        <f>IFERROR('4c'!C31/'4c'!K31*100,"na")</f>
        <v>2848.2320869167552</v>
      </c>
      <c r="D31" s="86">
        <f>IFERROR('4c'!D31/'4c'!L31*100,"na")</f>
        <v>412.74838380868164</v>
      </c>
      <c r="E31" s="87">
        <f>IFERROR('4c'!E31/'4c'!M31*100,"na")</f>
        <v>1717.3818392202538</v>
      </c>
      <c r="F31" s="85">
        <f>IFERROR('4c'!F31/'4c'!J31*100,"na")</f>
        <v>723.12886571344166</v>
      </c>
      <c r="G31" s="86">
        <f>IFERROR('4c'!G31/'4c'!K31*100,"na")</f>
        <v>3048.6106664931035</v>
      </c>
      <c r="H31" s="86">
        <f>IFERROR('4c'!H31/'4c'!L31*100,"na")</f>
        <v>304.13391248121536</v>
      </c>
      <c r="I31" s="87">
        <f>IFERROR('4c'!I31/'4c'!M31*100,"na")</f>
        <v>1467.9743298140338</v>
      </c>
      <c r="J31" s="85">
        <f>IFERROR('4c'!J31/'4c'!J31*100, "na")</f>
        <v>100</v>
      </c>
      <c r="K31" s="86">
        <f>IFERROR('4c'!K31/'4c'!K31*100, "na")</f>
        <v>100</v>
      </c>
      <c r="L31" s="86">
        <f>IFERROR('4c'!L31/'4c'!L31*100, "na")</f>
        <v>100</v>
      </c>
      <c r="M31" s="87">
        <f>IFERROR('4c'!M31/'4c'!M31*100, "na")</f>
        <v>100</v>
      </c>
    </row>
    <row r="32" spans="1:13">
      <c r="A32" s="185">
        <v>2007</v>
      </c>
      <c r="B32" s="85">
        <f>IFERROR('4c'!B32/'4c'!J32*100,"na")</f>
        <v>2063.2263537586996</v>
      </c>
      <c r="C32" s="86">
        <f>IFERROR('4c'!C32/'4c'!K32*100,"na")</f>
        <v>2454.8447771083252</v>
      </c>
      <c r="D32" s="86">
        <f>IFERROR('4c'!D32/'4c'!L32*100,"na")</f>
        <v>697.59682325179381</v>
      </c>
      <c r="E32" s="87">
        <f>IFERROR('4c'!E32/'4c'!M32*100,"na")</f>
        <v>1850.5956187859449</v>
      </c>
      <c r="F32" s="85">
        <f>IFERROR('4c'!F32/'4c'!J32*100,"na")</f>
        <v>542.39210647509401</v>
      </c>
      <c r="G32" s="86">
        <f>IFERROR('4c'!G32/'4c'!K32*100,"na")</f>
        <v>3371.3097722904722</v>
      </c>
      <c r="H32" s="86">
        <f>IFERROR('4c'!H32/'4c'!L32*100,"na")</f>
        <v>294.67444953884319</v>
      </c>
      <c r="I32" s="87">
        <f>IFERROR('4c'!I32/'4c'!M32*100,"na")</f>
        <v>1546.0441024243585</v>
      </c>
      <c r="J32" s="85">
        <f>IFERROR('4c'!J32/'4c'!J32*100, "na")</f>
        <v>100</v>
      </c>
      <c r="K32" s="86">
        <f>IFERROR('4c'!K32/'4c'!K32*100, "na")</f>
        <v>100</v>
      </c>
      <c r="L32" s="86">
        <f>IFERROR('4c'!L32/'4c'!L32*100, "na")</f>
        <v>100</v>
      </c>
      <c r="M32" s="87">
        <f>IFERROR('4c'!M32/'4c'!M32*100, "na")</f>
        <v>100</v>
      </c>
    </row>
    <row r="33" spans="1:13">
      <c r="A33" s="185">
        <v>2008</v>
      </c>
      <c r="B33" s="85">
        <f>IFERROR('4c'!B33/'4c'!J33*100,"na")</f>
        <v>1601.3223549129009</v>
      </c>
      <c r="C33" s="86">
        <f>IFERROR('4c'!C33/'4c'!K33*100,"na")</f>
        <v>2446.793254032505</v>
      </c>
      <c r="D33" s="86">
        <f>IFERROR('4c'!D33/'4c'!L33*100,"na")</f>
        <v>629.68915404744428</v>
      </c>
      <c r="E33" s="87">
        <f>IFERROR('4c'!E33/'4c'!M33*100,"na")</f>
        <v>1669.2895400283537</v>
      </c>
      <c r="F33" s="85">
        <f>IFERROR('4c'!F33/'4c'!J33*100,"na")</f>
        <v>444.95744354520224</v>
      </c>
      <c r="G33" s="86">
        <f>IFERROR('4c'!G33/'4c'!K33*100,"na")</f>
        <v>3480.5519052925597</v>
      </c>
      <c r="H33" s="86">
        <f>IFERROR('4c'!H33/'4c'!L33*100,"na")</f>
        <v>297.27355878400238</v>
      </c>
      <c r="I33" s="87">
        <f>IFERROR('4c'!I33/'4c'!M33*100,"na")</f>
        <v>1537.2936889570265</v>
      </c>
      <c r="J33" s="85">
        <f>IFERROR('4c'!J33/'4c'!J33*100, "na")</f>
        <v>100</v>
      </c>
      <c r="K33" s="86">
        <f>IFERROR('4c'!K33/'4c'!K33*100, "na")</f>
        <v>100</v>
      </c>
      <c r="L33" s="86">
        <f>IFERROR('4c'!L33/'4c'!L33*100, "na")</f>
        <v>100</v>
      </c>
      <c r="M33" s="87">
        <f>IFERROR('4c'!M33/'4c'!M33*100, "na")</f>
        <v>100</v>
      </c>
    </row>
    <row r="34" spans="1:13">
      <c r="A34" s="57">
        <f>A33+1</f>
        <v>2009</v>
      </c>
      <c r="B34" s="85">
        <f>IFERROR('4c'!B34/'4c'!J34*100,"na")</f>
        <v>1501.515904122557</v>
      </c>
      <c r="C34" s="86">
        <f>IFERROR('4c'!C34/'4c'!K34*100,"na")</f>
        <v>2247.5418571746209</v>
      </c>
      <c r="D34" s="86">
        <f>IFERROR('4c'!D34/'4c'!L34*100,"na")</f>
        <v>603.5889951202322</v>
      </c>
      <c r="E34" s="87">
        <f>IFERROR('4c'!E34/'4c'!M34*100,"na")</f>
        <v>1556.1765906453968</v>
      </c>
      <c r="F34" s="85">
        <f>IFERROR('4c'!F34/'4c'!J34*100,"na")</f>
        <v>550.81787433278646</v>
      </c>
      <c r="G34" s="86">
        <f>IFERROR('4c'!G34/'4c'!K34*100,"na")</f>
        <v>3928.9596045050998</v>
      </c>
      <c r="H34" s="86">
        <f>IFERROR('4c'!H34/'4c'!L34*100,"na")</f>
        <v>286.18751070586865</v>
      </c>
      <c r="I34" s="87">
        <f>IFERROR('4c'!I34/'4c'!M34*100,"na")</f>
        <v>1761.3726203797405</v>
      </c>
      <c r="J34" s="85">
        <f>IFERROR('4c'!J34/'4c'!J34*100, "na")</f>
        <v>100</v>
      </c>
      <c r="K34" s="86">
        <f>IFERROR('4c'!K34/'4c'!K34*100, "na")</f>
        <v>100</v>
      </c>
      <c r="L34" s="86">
        <f>IFERROR('4c'!L34/'4c'!L34*100, "na")</f>
        <v>100</v>
      </c>
      <c r="M34" s="87">
        <f>IFERROR('4c'!M34/'4c'!M34*100, "na")</f>
        <v>100</v>
      </c>
    </row>
    <row r="35" spans="1:13">
      <c r="A35" s="58">
        <f t="shared" ref="A35" si="0">A34+1</f>
        <v>2010</v>
      </c>
      <c r="B35" s="88">
        <f>IFERROR('4c'!B35/'4c'!J35*100,"na")</f>
        <v>1455.4875561916556</v>
      </c>
      <c r="C35" s="89">
        <f>IFERROR('4c'!C35/'4c'!K35*100,"na")</f>
        <v>2102.9788899683754</v>
      </c>
      <c r="D35" s="89">
        <f>IFERROR('4c'!D35/'4c'!L35*100,"na")</f>
        <v>646.63950474462263</v>
      </c>
      <c r="E35" s="90">
        <f>IFERROR('4c'!E35/'4c'!M35*100,"na")</f>
        <v>1490.566025100255</v>
      </c>
      <c r="F35" s="88">
        <f>IFERROR('4c'!F35/'4c'!J35*100,"na")</f>
        <v>761.86202736484074</v>
      </c>
      <c r="G35" s="89">
        <f>IFERROR('4c'!G35/'4c'!K35*100,"na")</f>
        <v>4324.5524235658959</v>
      </c>
      <c r="H35" s="89">
        <f>IFERROR('4c'!H35/'4c'!L35*100,"na")</f>
        <v>314.03847017706056</v>
      </c>
      <c r="I35" s="90">
        <f>IFERROR('4c'!I35/'4c'!M35*100,"na")</f>
        <v>1963.4670731700496</v>
      </c>
      <c r="J35" s="88">
        <f>IFERROR('4c'!J35/'4c'!J35*100, "na")</f>
        <v>100</v>
      </c>
      <c r="K35" s="89">
        <f>IFERROR('4c'!K35/'4c'!K35*100, "na")</f>
        <v>100</v>
      </c>
      <c r="L35" s="89">
        <f>IFERROR('4c'!L35/'4c'!L35*100, "na")</f>
        <v>100</v>
      </c>
      <c r="M35" s="90">
        <f>IFERROR('4c'!M35/'4c'!M35*100,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H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>IFERROR((POWER(I15/I6,1/($A15-$A6))-1)*100, "na")</f>
        <v>na</v>
      </c>
    </row>
    <row r="39" spans="1:13">
      <c r="A39" s="28" t="s">
        <v>71</v>
      </c>
      <c r="B39" s="37" t="str">
        <f>IFERROR((POWER(B$25/B15,1/($A$25-$A$15))-1)*100,"na")</f>
        <v>na</v>
      </c>
      <c r="C39" s="86" t="str">
        <f t="shared" ref="C39:H39" si="2">IFERROR((POWER(C$25/C15,1/($A$25-$A$15))-1)*100,"na")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>IFERROR((POWER(I$25/I15,1/($A$25-$A$15))-1)*100,"na")</f>
        <v>na</v>
      </c>
    </row>
    <row r="40" spans="1:13">
      <c r="A40" s="28" t="s">
        <v>69</v>
      </c>
      <c r="B40" s="37">
        <f>IFERROR((POWER(B$35/B25,1/($A$35-$A$25))-1)*100,"na")</f>
        <v>1.0038042173921014</v>
      </c>
      <c r="C40" s="86">
        <f t="shared" ref="C40:I40" si="3">IFERROR((POWER(C$35/C25,1/($A$35-$A$25))-1)*100,"na")</f>
        <v>-5.3227743394662186</v>
      </c>
      <c r="D40" s="86">
        <f t="shared" si="3"/>
        <v>10.515315064208085</v>
      </c>
      <c r="E40" s="87">
        <f t="shared" si="3"/>
        <v>-2.1076182809715793</v>
      </c>
      <c r="F40" s="85">
        <f t="shared" si="3"/>
        <v>-8.4392996068752613</v>
      </c>
      <c r="G40" s="86">
        <f t="shared" si="3"/>
        <v>7.1283179586504986</v>
      </c>
      <c r="H40" s="86">
        <f t="shared" si="3"/>
        <v>2.5924889831904663</v>
      </c>
      <c r="I40" s="87">
        <f t="shared" si="3"/>
        <v>3.8470632807574567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I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</row>
    <row r="43" spans="1:13">
      <c r="A43" s="204" t="s">
        <v>114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6"/>
  <dimension ref="A1:M45"/>
  <sheetViews>
    <sheetView zoomScaleNormal="100" workbookViewId="0"/>
  </sheetViews>
  <sheetFormatPr defaultRowHeight="15"/>
  <cols>
    <col min="1" max="1" width="10.28515625" customWidth="1"/>
    <col min="2" max="2" width="12.140625" customWidth="1"/>
    <col min="4" max="4" width="19.7109375" customWidth="1"/>
    <col min="5" max="5" width="12.140625" customWidth="1"/>
    <col min="6" max="6" width="10.28515625" customWidth="1"/>
    <col min="8" max="8" width="18.5703125" customWidth="1"/>
    <col min="9" max="9" width="13" customWidth="1"/>
    <col min="10" max="10" width="11.7109375" customWidth="1"/>
    <col min="12" max="12" width="18.28515625" customWidth="1"/>
    <col min="13" max="13" width="16" customWidth="1"/>
  </cols>
  <sheetData>
    <row r="1" spans="1:13">
      <c r="A1" s="2" t="s">
        <v>112</v>
      </c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30">
      <c r="A4" s="18"/>
      <c r="B4" s="258" t="s">
        <v>0</v>
      </c>
      <c r="C4" s="259" t="s">
        <v>1</v>
      </c>
      <c r="D4" s="259" t="s">
        <v>2</v>
      </c>
      <c r="E4" s="257" t="s">
        <v>72</v>
      </c>
      <c r="F4" s="258" t="s">
        <v>0</v>
      </c>
      <c r="G4" s="259" t="s">
        <v>1</v>
      </c>
      <c r="H4" s="259" t="s">
        <v>2</v>
      </c>
      <c r="I4" s="257" t="s">
        <v>72</v>
      </c>
      <c r="J4" s="258" t="s">
        <v>39</v>
      </c>
      <c r="K4" s="259" t="s">
        <v>41</v>
      </c>
      <c r="L4" s="259" t="s">
        <v>40</v>
      </c>
      <c r="M4" s="257" t="s">
        <v>72</v>
      </c>
    </row>
    <row r="5" spans="1:13">
      <c r="A5" s="15">
        <v>1981</v>
      </c>
      <c r="B5" s="35">
        <f>'3a'!B6/'4a'!B6*100</f>
        <v>2924.8867069486405</v>
      </c>
      <c r="C5" s="30">
        <f>'3a'!C6/'4a'!C6*100</f>
        <v>105.11212181455983</v>
      </c>
      <c r="D5" s="30">
        <f>'3a'!D6/'4a'!D6*100</f>
        <v>77.632201811046457</v>
      </c>
      <c r="E5" s="36">
        <f>'3a'!E6/'4a'!E6*100</f>
        <v>172.80608392455397</v>
      </c>
      <c r="F5" s="35">
        <f>'3a'!F6/'4a'!F6*100</f>
        <v>2925.9382422802846</v>
      </c>
      <c r="G5" s="30">
        <f>'3a'!G6/'4a'!G6*100</f>
        <v>108.51412533546392</v>
      </c>
      <c r="H5" s="30">
        <f>'3a'!H6/'4a'!H6*100</f>
        <v>69.81434573708863</v>
      </c>
      <c r="I5" s="36">
        <f>'3a'!I6/'4a'!I6*100</f>
        <v>233.87483669817425</v>
      </c>
      <c r="J5" s="278">
        <f>'3a'!J6/'4a'!J6*100</f>
        <v>2929.4957183634638</v>
      </c>
      <c r="K5" s="279">
        <f>'3a'!K6/'4a'!K6*100</f>
        <v>113.88462382101336</v>
      </c>
      <c r="L5" s="279">
        <f>'3a'!L6/'4a'!L6*100</f>
        <v>78.141361256544499</v>
      </c>
      <c r="M5" s="122">
        <f>'3a'!M6/'4a'!M6*100</f>
        <v>103.30912084103512</v>
      </c>
    </row>
    <row r="6" spans="1:13">
      <c r="A6" s="16">
        <v>1982</v>
      </c>
      <c r="B6" s="37">
        <f>'3a'!B7/'4a'!B7*100</f>
        <v>2832.8404747535706</v>
      </c>
      <c r="C6" s="34">
        <f>'3a'!C7/'4a'!C7*100</f>
        <v>111.56304359803852</v>
      </c>
      <c r="D6" s="34">
        <f>'3a'!D7/'4a'!D7*100</f>
        <v>85.778732715971088</v>
      </c>
      <c r="E6" s="38">
        <f>'3a'!E7/'4a'!E7*100</f>
        <v>172.57025250920125</v>
      </c>
      <c r="F6" s="37">
        <f>'3a'!F7/'4a'!F7*100</f>
        <v>2833.7283836753518</v>
      </c>
      <c r="G6" s="34">
        <f>'3a'!G7/'4a'!G7*100</f>
        <v>115.10371662136754</v>
      </c>
      <c r="H6" s="34">
        <f>'3a'!H7/'4a'!H7*100</f>
        <v>77.140812013673155</v>
      </c>
      <c r="I6" s="38">
        <f>'3a'!I7/'4a'!I7*100</f>
        <v>237.48791877589687</v>
      </c>
      <c r="J6" s="280">
        <f>'3a'!J7/'4a'!J7*100</f>
        <v>2840.1683244070391</v>
      </c>
      <c r="K6" s="281">
        <f>'3a'!K7/'4a'!K7*100</f>
        <v>120.57692307692309</v>
      </c>
      <c r="L6" s="281">
        <f>'3a'!L7/'4a'!L7*100</f>
        <v>86.348923837799958</v>
      </c>
      <c r="M6" s="125">
        <f>'3a'!M7/'4a'!M7*100</f>
        <v>115.1139202075542</v>
      </c>
    </row>
    <row r="7" spans="1:13">
      <c r="A7" s="16">
        <v>1983</v>
      </c>
      <c r="B7" s="37">
        <f>'3a'!B8/'4a'!B8*100</f>
        <v>1975.3316042978881</v>
      </c>
      <c r="C7" s="34">
        <f>'3a'!C8/'4a'!C8*100</f>
        <v>112.88706093698293</v>
      </c>
      <c r="D7" s="34">
        <f>'3a'!D8/'4a'!D8*100</f>
        <v>91.324259869670215</v>
      </c>
      <c r="E7" s="38">
        <f>'3a'!E8/'4a'!E8*100</f>
        <v>161.09619077274377</v>
      </c>
      <c r="F7" s="37">
        <f>'3a'!F8/'4a'!F8*100</f>
        <v>1975.6493749532151</v>
      </c>
      <c r="G7" s="34">
        <f>'3a'!G8/'4a'!G8*100</f>
        <v>116.37777846368206</v>
      </c>
      <c r="H7" s="34">
        <f>'3a'!H8/'4a'!H8*100</f>
        <v>82.140862699788187</v>
      </c>
      <c r="I7" s="38">
        <f>'3a'!I8/'4a'!I8*100</f>
        <v>208.66276258761957</v>
      </c>
      <c r="J7" s="280">
        <f>'3a'!J8/'4a'!J8*100</f>
        <v>1977.9032258064517</v>
      </c>
      <c r="K7" s="281">
        <f>'3a'!K8/'4a'!K8*100</f>
        <v>121.51796933902989</v>
      </c>
      <c r="L7" s="281">
        <f>'3a'!L8/'4a'!L8*100</f>
        <v>91.941056586950282</v>
      </c>
      <c r="M7" s="125">
        <f>'3a'!M8/'4a'!M8*100</f>
        <v>119.73779747161848</v>
      </c>
    </row>
    <row r="8" spans="1:13">
      <c r="A8" s="16">
        <v>1984</v>
      </c>
      <c r="B8" s="37">
        <f>'3a'!B9/'4a'!B9*100</f>
        <v>1690.5433362369336</v>
      </c>
      <c r="C8" s="34">
        <f>'3a'!C9/'4a'!C9*100</f>
        <v>114.35897322884621</v>
      </c>
      <c r="D8" s="34">
        <f>'3a'!D9/'4a'!D9*100</f>
        <v>94.936394531277713</v>
      </c>
      <c r="E8" s="38">
        <f>'3a'!E9/'4a'!E9*100</f>
        <v>157.11603736500695</v>
      </c>
      <c r="F8" s="37">
        <f>'3a'!F9/'4a'!F9*100</f>
        <v>1691.4484661789245</v>
      </c>
      <c r="G8" s="34">
        <f>'3a'!G9/'4a'!G9*100</f>
        <v>117.8610239770634</v>
      </c>
      <c r="H8" s="34">
        <f>'3a'!H9/'4a'!H9*100</f>
        <v>85.385036706768631</v>
      </c>
      <c r="I8" s="38">
        <f>'3a'!I9/'4a'!I9*100</f>
        <v>202.62450932040625</v>
      </c>
      <c r="J8" s="280">
        <f>'3a'!J9/'4a'!J9*100</f>
        <v>1693.1104769669791</v>
      </c>
      <c r="K8" s="281">
        <f>'3a'!K9/'4a'!K9*100</f>
        <v>122.45882548660789</v>
      </c>
      <c r="L8" s="281">
        <f>'3a'!L9/'4a'!L9*100</f>
        <v>95.576903113496087</v>
      </c>
      <c r="M8" s="125">
        <f>'3a'!M9/'4a'!M9*100</f>
        <v>125.66468502432014</v>
      </c>
    </row>
    <row r="9" spans="1:13">
      <c r="A9" s="16">
        <v>1985</v>
      </c>
      <c r="B9" s="37">
        <f>'3a'!B10/'4a'!B10*100</f>
        <v>1386.9984924378737</v>
      </c>
      <c r="C9" s="34">
        <f>'3a'!C10/'4a'!C10*100</f>
        <v>116.93835772234439</v>
      </c>
      <c r="D9" s="34">
        <f>'3a'!D10/'4a'!D10*100</f>
        <v>97.394025089060648</v>
      </c>
      <c r="E9" s="38">
        <f>'3a'!E10/'4a'!E10*100</f>
        <v>171.19479613374727</v>
      </c>
      <c r="F9" s="37">
        <f>'3a'!F10/'4a'!F10*100</f>
        <v>1388.8712328767124</v>
      </c>
      <c r="G9" s="34">
        <f>'3a'!G10/'4a'!G10*100</f>
        <v>120.49850954525272</v>
      </c>
      <c r="H9" s="34">
        <f>'3a'!H10/'4a'!H10*100</f>
        <v>87.584386561182711</v>
      </c>
      <c r="I9" s="38">
        <f>'3a'!I10/'4a'!I10*100</f>
        <v>176.49846437114678</v>
      </c>
      <c r="J9" s="280">
        <f>'3a'!J10/'4a'!J10*100</f>
        <v>1388.7408816999682</v>
      </c>
      <c r="K9" s="281">
        <f>'3a'!K10/'4a'!K10*100</f>
        <v>124.67354675652903</v>
      </c>
      <c r="L9" s="281">
        <f>'3a'!L10/'4a'!L10*100</f>
        <v>98.044258564881588</v>
      </c>
      <c r="M9" s="125">
        <f>'3a'!M10/'4a'!M10*100</f>
        <v>128.9045272382121</v>
      </c>
    </row>
    <row r="10" spans="1:13">
      <c r="A10" s="16">
        <v>1986</v>
      </c>
      <c r="B10" s="37">
        <f>'3a'!B11/'4a'!B11*100</f>
        <v>1148.8124370231756</v>
      </c>
      <c r="C10" s="34">
        <f>'3a'!C11/'4a'!C11*100</f>
        <v>113.9738011805931</v>
      </c>
      <c r="D10" s="34">
        <f>'3a'!D11/'4a'!D11*100</f>
        <v>100.30206241151747</v>
      </c>
      <c r="E10" s="38">
        <f>'3a'!E11/'4a'!E11*100</f>
        <v>159.79611338017153</v>
      </c>
      <c r="F10" s="37">
        <f>'3a'!F11/'4a'!F11*100</f>
        <v>1151.760897471675</v>
      </c>
      <c r="G10" s="34">
        <f>'3a'!G11/'4a'!G11*100</f>
        <v>117.45176566884939</v>
      </c>
      <c r="H10" s="34">
        <f>'3a'!H11/'4a'!H11*100</f>
        <v>90.228045922577905</v>
      </c>
      <c r="I10" s="38">
        <f>'3a'!I11/'4a'!I11*100</f>
        <v>161.42359038510403</v>
      </c>
      <c r="J10" s="280">
        <f>'3a'!J11/'4a'!J11*100</f>
        <v>1150.6503251625813</v>
      </c>
      <c r="K10" s="281">
        <f>'3a'!K11/'4a'!K11*100</f>
        <v>120.87398256653006</v>
      </c>
      <c r="L10" s="281">
        <f>'3a'!L11/'4a'!L11*100</f>
        <v>100.99217706544555</v>
      </c>
      <c r="M10" s="125">
        <f>'3a'!M11/'4a'!M11*100</f>
        <v>130.70340817865574</v>
      </c>
    </row>
    <row r="11" spans="1:13">
      <c r="A11" s="16">
        <v>1987</v>
      </c>
      <c r="B11" s="37">
        <f>'3a'!B12/'4a'!B12*100</f>
        <v>945.53227196443981</v>
      </c>
      <c r="C11" s="34">
        <f>'3a'!C12/'4a'!C12*100</f>
        <v>114.02840452122153</v>
      </c>
      <c r="D11" s="34">
        <f>'3a'!D12/'4a'!D12*100</f>
        <v>101.36445380025651</v>
      </c>
      <c r="E11" s="38">
        <f>'3a'!E12/'4a'!E12*100</f>
        <v>148.65354719477205</v>
      </c>
      <c r="F11" s="37">
        <f>'3a'!F12/'4a'!F12*100</f>
        <v>945.08911384378462</v>
      </c>
      <c r="G11" s="34">
        <f>'3a'!G12/'4a'!G12*100</f>
        <v>117.32831765935214</v>
      </c>
      <c r="H11" s="34">
        <f>'3a'!H12/'4a'!H12*100</f>
        <v>91.190155683015348</v>
      </c>
      <c r="I11" s="38">
        <f>'3a'!I12/'4a'!I12*100</f>
        <v>160.80191245520459</v>
      </c>
      <c r="J11" s="280">
        <f>'3a'!J12/'4a'!J12*100</f>
        <v>943.92396469789549</v>
      </c>
      <c r="K11" s="281">
        <f>'3a'!K12/'4a'!K12*100</f>
        <v>120.24353120243529</v>
      </c>
      <c r="L11" s="281">
        <f>'3a'!L12/'4a'!L12*100</f>
        <v>101.95762041040007</v>
      </c>
      <c r="M11" s="125">
        <f>'3a'!M12/'4a'!M12*100</f>
        <v>133.95982470181957</v>
      </c>
    </row>
    <row r="12" spans="1:13">
      <c r="A12" s="16">
        <v>1988</v>
      </c>
      <c r="B12" s="37">
        <f>'3a'!B13/'4a'!B13*100</f>
        <v>849.08959721573785</v>
      </c>
      <c r="C12" s="34">
        <f>'3a'!C13/'4a'!C13*100</f>
        <v>112.45788440056211</v>
      </c>
      <c r="D12" s="34">
        <f>'3a'!D13/'4a'!D13*100</f>
        <v>100.51339586587484</v>
      </c>
      <c r="E12" s="38">
        <f>'3a'!E13/'4a'!E13*100</f>
        <v>139.15382905113373</v>
      </c>
      <c r="F12" s="37">
        <f>'3a'!F13/'4a'!F13*100</f>
        <v>849.37314313407364</v>
      </c>
      <c r="G12" s="34">
        <f>'3a'!G13/'4a'!G13*100</f>
        <v>115.77046055023288</v>
      </c>
      <c r="H12" s="34">
        <f>'3a'!H13/'4a'!H13*100</f>
        <v>90.504223930365129</v>
      </c>
      <c r="I12" s="38">
        <f>'3a'!I13/'4a'!I13*100</f>
        <v>160.73184865000312</v>
      </c>
      <c r="J12" s="280">
        <f>'3a'!J13/'4a'!J13*100</f>
        <v>848.57806152060357</v>
      </c>
      <c r="K12" s="281">
        <f>'3a'!K13/'4a'!K13*100</f>
        <v>117.74631268436578</v>
      </c>
      <c r="L12" s="281">
        <f>'3a'!L13/'4a'!L13*100</f>
        <v>101.16078799783644</v>
      </c>
      <c r="M12" s="125">
        <f>'3a'!M13/'4a'!M13*100</f>
        <v>131.39823455233289</v>
      </c>
    </row>
    <row r="13" spans="1:13">
      <c r="A13" s="16">
        <v>1989</v>
      </c>
      <c r="B13" s="37">
        <f>'3a'!B14/'4a'!B14*100</f>
        <v>697.69493271521469</v>
      </c>
      <c r="C13" s="34">
        <f>'3a'!C14/'4a'!C14*100</f>
        <v>109.46353259762098</v>
      </c>
      <c r="D13" s="34">
        <f>'3a'!D14/'4a'!D14*100</f>
        <v>97.57205956738369</v>
      </c>
      <c r="E13" s="38">
        <f>'3a'!E14/'4a'!E14*100</f>
        <v>134.34572093781978</v>
      </c>
      <c r="F13" s="37">
        <f>'3a'!F14/'4a'!F14*100</f>
        <v>697.99743473043975</v>
      </c>
      <c r="G13" s="34">
        <f>'3a'!G14/'4a'!G14*100</f>
        <v>112.79888269720028</v>
      </c>
      <c r="H13" s="34">
        <f>'3a'!H14/'4a'!H14*100</f>
        <v>87.86876603521597</v>
      </c>
      <c r="I13" s="38">
        <f>'3a'!I14/'4a'!I14*100</f>
        <v>143.50778156274583</v>
      </c>
      <c r="J13" s="280">
        <f>'3a'!J14/'4a'!J14*100</f>
        <v>697.68065268065266</v>
      </c>
      <c r="K13" s="281">
        <f>'3a'!K14/'4a'!K14*100</f>
        <v>113.3962387357973</v>
      </c>
      <c r="L13" s="281">
        <f>'3a'!L14/'4a'!L14*100</f>
        <v>98.224984675415399</v>
      </c>
      <c r="M13" s="125">
        <f>'3a'!M14/'4a'!M14*100</f>
        <v>125.63449829160514</v>
      </c>
    </row>
    <row r="14" spans="1:13">
      <c r="A14" s="16">
        <v>1990</v>
      </c>
      <c r="B14" s="37">
        <f>'3a'!B15/'4a'!B15*100</f>
        <v>621.49550861859689</v>
      </c>
      <c r="C14" s="34">
        <f>'3a'!C15/'4a'!C15*100</f>
        <v>107.21799053940633</v>
      </c>
      <c r="D14" s="34">
        <f>'3a'!D15/'4a'!D15*100</f>
        <v>97.940636514749727</v>
      </c>
      <c r="E14" s="38">
        <f>'3a'!E15/'4a'!E15*100</f>
        <v>120.09960081217341</v>
      </c>
      <c r="F14" s="37">
        <f>'3a'!F15/'4a'!F15*100</f>
        <v>621.73154418179547</v>
      </c>
      <c r="G14" s="34">
        <f>'3a'!G15/'4a'!G15*100</f>
        <v>110.49058377810348</v>
      </c>
      <c r="H14" s="34">
        <f>'3a'!H15/'4a'!H15*100</f>
        <v>88.202305701764914</v>
      </c>
      <c r="I14" s="38">
        <f>'3a'!I15/'4a'!I15*100</f>
        <v>139.37782266747951</v>
      </c>
      <c r="J14" s="280">
        <f>'3a'!J15/'4a'!J15*100</f>
        <v>621.49253731343288</v>
      </c>
      <c r="K14" s="281">
        <f>'3a'!K15/'4a'!K15*100</f>
        <v>110.30598474207495</v>
      </c>
      <c r="L14" s="281">
        <f>'3a'!L15/'4a'!L15*100</f>
        <v>98.616903017386974</v>
      </c>
      <c r="M14" s="125">
        <f>'3a'!M15/'4a'!M15*100</f>
        <v>122.79976831078987</v>
      </c>
    </row>
    <row r="15" spans="1:13">
      <c r="A15" s="16">
        <v>1991</v>
      </c>
      <c r="B15" s="37">
        <f>'3a'!B16/'4a'!B16*100</f>
        <v>461.65007530397088</v>
      </c>
      <c r="C15" s="34">
        <f>'3a'!C16/'4a'!C16*100</f>
        <v>105.30896875027595</v>
      </c>
      <c r="D15" s="34">
        <f>'3a'!D16/'4a'!D16*100</f>
        <v>92.581783722910444</v>
      </c>
      <c r="E15" s="38">
        <f>'3a'!E16/'4a'!E16*100</f>
        <v>113.9417811741785</v>
      </c>
      <c r="F15" s="37">
        <f>'3a'!F16/'4a'!F16*100</f>
        <v>462.00269723533387</v>
      </c>
      <c r="G15" s="34">
        <f>'3a'!G16/'4a'!G16*100</f>
        <v>108.49504880795944</v>
      </c>
      <c r="H15" s="34">
        <f>'3a'!H16/'4a'!H16*100</f>
        <v>83.371309778859057</v>
      </c>
      <c r="I15" s="38">
        <f>'3a'!I16/'4a'!I16*100</f>
        <v>131.78949277356969</v>
      </c>
      <c r="J15" s="280">
        <f>'3a'!J16/'4a'!J16*100</f>
        <v>461.64977038384887</v>
      </c>
      <c r="K15" s="281">
        <f>'3a'!K16/'4a'!K16*100</f>
        <v>108.11438436941484</v>
      </c>
      <c r="L15" s="281">
        <f>'3a'!L16/'4a'!L16*100</f>
        <v>93.22134941787067</v>
      </c>
      <c r="M15" s="125">
        <f>'3a'!M16/'4a'!M16*100</f>
        <v>113.89805425730314</v>
      </c>
    </row>
    <row r="16" spans="1:13">
      <c r="A16" s="16">
        <v>1992</v>
      </c>
      <c r="B16" s="37">
        <f>'3a'!B17/'4a'!B17*100</f>
        <v>405.51681934502835</v>
      </c>
      <c r="C16" s="34">
        <f>'3a'!C17/'4a'!C17*100</f>
        <v>99.868000777489925</v>
      </c>
      <c r="D16" s="34">
        <f>'3a'!D17/'4a'!D17*100</f>
        <v>93.324884344105783</v>
      </c>
      <c r="E16" s="34">
        <f>'3a'!E17/'4a'!E17*100</f>
        <v>115.00938828519544</v>
      </c>
      <c r="F16" s="37">
        <f>'3a'!F17/'4a'!F17*100</f>
        <v>405.67631289968347</v>
      </c>
      <c r="G16" s="34">
        <f>'3a'!G17/'4a'!G17*100</f>
        <v>102.9159147861684</v>
      </c>
      <c r="H16" s="34">
        <f>'3a'!H17/'4a'!H17*100</f>
        <v>84.044727536200554</v>
      </c>
      <c r="I16" s="34">
        <f>'3a'!I17/'4a'!I17*100</f>
        <v>130.13697896967838</v>
      </c>
      <c r="J16" s="280">
        <f>'3a'!J17/'4a'!J17*100</f>
        <v>405.50917054475775</v>
      </c>
      <c r="K16" s="281">
        <f>'3a'!K17/'4a'!K17*100</f>
        <v>101.65890412446126</v>
      </c>
      <c r="L16" s="281">
        <f>'3a'!L17/'4a'!L17*100</f>
        <v>93.962869788803175</v>
      </c>
      <c r="M16" s="125">
        <f>'3a'!M17/'4a'!M17*100</f>
        <v>112.30796052860978</v>
      </c>
    </row>
    <row r="17" spans="1:13">
      <c r="A17" s="16">
        <v>1993</v>
      </c>
      <c r="B17" s="37">
        <f>'3a'!B18/'4a'!B18*100</f>
        <v>387.73525536837241</v>
      </c>
      <c r="C17" s="34">
        <f>'3a'!C18/'4a'!C18*100</f>
        <v>99.232052649753598</v>
      </c>
      <c r="D17" s="34">
        <f>'3a'!D18/'4a'!D18*100</f>
        <v>93.867809118644246</v>
      </c>
      <c r="E17" s="34">
        <f>'3a'!E18/'4a'!E18*100</f>
        <v>128.97234815219196</v>
      </c>
      <c r="F17" s="37">
        <f>'3a'!F18/'4a'!F18*100</f>
        <v>387.74594965859973</v>
      </c>
      <c r="G17" s="34">
        <f>'3a'!G18/'4a'!G18*100</f>
        <v>102.28050663839205</v>
      </c>
      <c r="H17" s="34">
        <f>'3a'!H18/'4a'!H18*100</f>
        <v>84.530087897227858</v>
      </c>
      <c r="I17" s="34">
        <f>'3a'!I18/'4a'!I18*100</f>
        <v>122.89148330491477</v>
      </c>
      <c r="J17" s="280">
        <f>'3a'!J18/'4a'!J18*100</f>
        <v>387.70162536308015</v>
      </c>
      <c r="K17" s="281">
        <f>'3a'!K18/'4a'!K18*100</f>
        <v>100.87069683834062</v>
      </c>
      <c r="L17" s="281">
        <f>'3a'!L18/'4a'!L18*100</f>
        <v>94.517516297725152</v>
      </c>
      <c r="M17" s="125">
        <f>'3a'!M18/'4a'!M18*100</f>
        <v>112.23884206501458</v>
      </c>
    </row>
    <row r="18" spans="1:13">
      <c r="A18" s="16">
        <v>1994</v>
      </c>
      <c r="B18" s="37">
        <f>'3a'!B19/'4a'!B19*100</f>
        <v>355.47579619717891</v>
      </c>
      <c r="C18" s="34">
        <f>'3a'!C19/'4a'!C19*100</f>
        <v>99.145243377267391</v>
      </c>
      <c r="D18" s="34">
        <f>'3a'!D19/'4a'!D19*100</f>
        <v>91.988504941473352</v>
      </c>
      <c r="E18" s="38">
        <f>'3a'!E19/'4a'!E19*100</f>
        <v>117.28763615926545</v>
      </c>
      <c r="F18" s="37">
        <f>'3a'!F19/'4a'!F19*100</f>
        <v>355.42080756133151</v>
      </c>
      <c r="G18" s="34">
        <f>'3a'!G19/'4a'!G19*100</f>
        <v>102.10972020583407</v>
      </c>
      <c r="H18" s="34">
        <f>'3a'!H19/'4a'!H19*100</f>
        <v>82.846497078982466</v>
      </c>
      <c r="I18" s="34">
        <f>'3a'!I19/'4a'!I19*100</f>
        <v>123.37243334584393</v>
      </c>
      <c r="J18" s="280">
        <f>'3a'!J19/'4a'!J19*100</f>
        <v>355.44301207284633</v>
      </c>
      <c r="K18" s="281">
        <f>'3a'!K19/'4a'!K19*100</f>
        <v>100.27809572941689</v>
      </c>
      <c r="L18" s="281">
        <f>'3a'!L19/'4a'!L19*100</f>
        <v>92.628840571772812</v>
      </c>
      <c r="M18" s="125">
        <f>'3a'!M19/'4a'!M19*100</f>
        <v>111.28769206244098</v>
      </c>
    </row>
    <row r="19" spans="1:13">
      <c r="A19" s="16">
        <v>1995</v>
      </c>
      <c r="B19" s="37">
        <f>'3a'!B20/'4a'!B20*100</f>
        <v>307.751293771012</v>
      </c>
      <c r="C19" s="34">
        <f>'3a'!C20/'4a'!C20*100</f>
        <v>97.176175411190201</v>
      </c>
      <c r="D19" s="34">
        <f>'3a'!D20/'4a'!D20*100</f>
        <v>88.208478855184495</v>
      </c>
      <c r="E19" s="34">
        <f>'3a'!E20/'4a'!E20*100</f>
        <v>109.6145410713585</v>
      </c>
      <c r="F19" s="37">
        <f>'3a'!F20/'4a'!F20*100</f>
        <v>307.66122136717519</v>
      </c>
      <c r="G19" s="34">
        <f>'3a'!G20/'4a'!G20*100</f>
        <v>99.90929414958299</v>
      </c>
      <c r="H19" s="34">
        <f>'3a'!H20/'4a'!H20*100</f>
        <v>79.438041266277921</v>
      </c>
      <c r="I19" s="34">
        <f>'3a'!I20/'4a'!I20*100</f>
        <v>130.83694098685214</v>
      </c>
      <c r="J19" s="280">
        <f>'3a'!J20/'4a'!J20*100</f>
        <v>307.74156707590652</v>
      </c>
      <c r="K19" s="281">
        <f>'3a'!K20/'4a'!K20*100</f>
        <v>98.318289157158318</v>
      </c>
      <c r="L19" s="281">
        <f>'3a'!L20/'4a'!L20*100</f>
        <v>88.842120321767752</v>
      </c>
      <c r="M19" s="125">
        <f>'3a'!M20/'4a'!M20*100</f>
        <v>108.28969362587524</v>
      </c>
    </row>
    <row r="20" spans="1:13">
      <c r="A20" s="16">
        <v>1996</v>
      </c>
      <c r="B20" s="37">
        <f>'3a'!B21/'4a'!B21*100</f>
        <v>240.59511879017128</v>
      </c>
      <c r="C20" s="34">
        <f>'3a'!C21/'4a'!C21*100</f>
        <v>97.445326764879482</v>
      </c>
      <c r="D20" s="34">
        <f>'3a'!D21/'4a'!D21*100</f>
        <v>91.892928456630798</v>
      </c>
      <c r="E20" s="38">
        <f>'3a'!E21/'4a'!E21*100</f>
        <v>107.83560117083037</v>
      </c>
      <c r="F20" s="37">
        <f>'3a'!F21/'4a'!F21*100</f>
        <v>240.51630483178687</v>
      </c>
      <c r="G20" s="34">
        <f>'3a'!G21/'4a'!G21*100</f>
        <v>99.651859398708837</v>
      </c>
      <c r="H20" s="34">
        <f>'3a'!H21/'4a'!H21*100</f>
        <v>82.749446157855871</v>
      </c>
      <c r="I20" s="34">
        <f>'3a'!I21/'4a'!I21*100</f>
        <v>132.54803281180457</v>
      </c>
      <c r="J20" s="280">
        <f>'3a'!J21/'4a'!J21*100</f>
        <v>240.58340233106173</v>
      </c>
      <c r="K20" s="281">
        <f>'3a'!K21/'4a'!K21*100</f>
        <v>97.983700254022025</v>
      </c>
      <c r="L20" s="281">
        <f>'3a'!L21/'4a'!L21*100</f>
        <v>92.554964372124431</v>
      </c>
      <c r="M20" s="125">
        <f>'3a'!M21/'4a'!M21*100</f>
        <v>107.61343330020074</v>
      </c>
    </row>
    <row r="21" spans="1:13">
      <c r="A21" s="16">
        <v>1997</v>
      </c>
      <c r="B21" s="37">
        <f>'3a'!B22/'4a'!B22*100</f>
        <v>213.05781071862944</v>
      </c>
      <c r="C21" s="34">
        <f>'3a'!C22/'4a'!C22*100</f>
        <v>96.870688320010032</v>
      </c>
      <c r="D21" s="34">
        <f>'3a'!D22/'4a'!D22*100</f>
        <v>94.681808932040994</v>
      </c>
      <c r="E21" s="38">
        <f>'3a'!E22/'4a'!E22*100</f>
        <v>114.30703952928467</v>
      </c>
      <c r="F21" s="37">
        <f>'3a'!F22/'4a'!F22*100</f>
        <v>215.91683101759176</v>
      </c>
      <c r="G21" s="34">
        <f>'3a'!G22/'4a'!G22*100</f>
        <v>98.677767310010793</v>
      </c>
      <c r="H21" s="34">
        <f>'3a'!H22/'4a'!H22*100</f>
        <v>94.951371571072329</v>
      </c>
      <c r="I21" s="38">
        <f>'3a'!I22/'4a'!I22*100</f>
        <v>129.14201957807674</v>
      </c>
      <c r="J21" s="280">
        <f>'3a'!J22/'4a'!J22*100</f>
        <v>212.23132790264012</v>
      </c>
      <c r="K21" s="281">
        <f>'3a'!K22/'4a'!K22*100</f>
        <v>97.081259198020561</v>
      </c>
      <c r="L21" s="281">
        <f>'3a'!L22/'4a'!L22*100</f>
        <v>95.225474013881836</v>
      </c>
      <c r="M21" s="125">
        <f>'3a'!M22/'4a'!M22*100</f>
        <v>107.92790002323068</v>
      </c>
    </row>
    <row r="22" spans="1:13">
      <c r="A22" s="16">
        <v>1998</v>
      </c>
      <c r="B22" s="37">
        <f>'3a'!B23/'4a'!B23*100</f>
        <v>179.18354975390326</v>
      </c>
      <c r="C22" s="34">
        <f>'3a'!C23/'4a'!C23*100</f>
        <v>95.958669569703787</v>
      </c>
      <c r="D22" s="34">
        <f>'3a'!D23/'4a'!D23*100</f>
        <v>98.272814934462488</v>
      </c>
      <c r="E22" s="38">
        <f>'3a'!E23/'4a'!E23*100</f>
        <v>114.26017756058349</v>
      </c>
      <c r="F22" s="37">
        <f>'3a'!F23/'4a'!F23*100</f>
        <v>175.3389776849113</v>
      </c>
      <c r="G22" s="34">
        <f>'3a'!G23/'4a'!G23*100</f>
        <v>95.203424401463266</v>
      </c>
      <c r="H22" s="34">
        <f>'3a'!H23/'4a'!H23*100</f>
        <v>98.670605612998514</v>
      </c>
      <c r="I22" s="38">
        <f>'3a'!I23/'4a'!I23*100</f>
        <v>125.60420297300938</v>
      </c>
      <c r="J22" s="280">
        <f>'3a'!J23/'4a'!J23*100</f>
        <v>178.95714763977236</v>
      </c>
      <c r="K22" s="281">
        <f>'3a'!K23/'4a'!K23*100</f>
        <v>95.792235857065677</v>
      </c>
      <c r="L22" s="281">
        <f>'3a'!L23/'4a'!L23*100</f>
        <v>99.106290080502106</v>
      </c>
      <c r="M22" s="125">
        <f>'3a'!M23/'4a'!M23*100</f>
        <v>108.38594037094427</v>
      </c>
    </row>
    <row r="23" spans="1:13">
      <c r="A23" s="16">
        <v>1999</v>
      </c>
      <c r="B23" s="37">
        <f>'3a'!B24/'4a'!B24*100</f>
        <v>142.62211299856858</v>
      </c>
      <c r="C23" s="34">
        <f>'3a'!C24/'4a'!C24*100</f>
        <v>95.57856355751251</v>
      </c>
      <c r="D23" s="34">
        <f>'3a'!D24/'4a'!D24*100</f>
        <v>97.161968258118321</v>
      </c>
      <c r="E23" s="38">
        <f>'3a'!E24/'4a'!E24*100</f>
        <v>105.58514655051994</v>
      </c>
      <c r="F23" s="37">
        <f>'3a'!F24/'4a'!F24*100</f>
        <v>140.22835263887754</v>
      </c>
      <c r="G23" s="34">
        <f>'3a'!G24/'4a'!G24*100</f>
        <v>94.641711931514578</v>
      </c>
      <c r="H23" s="34">
        <f>'3a'!H24/'4a'!H24*100</f>
        <v>97.568626737831778</v>
      </c>
      <c r="I23" s="38">
        <f>'3a'!I24/'4a'!I24*100</f>
        <v>109.28334546434174</v>
      </c>
      <c r="J23" s="280">
        <f>'3a'!J24/'4a'!J24*100</f>
        <v>142.6691024353654</v>
      </c>
      <c r="K23" s="281">
        <f>'3a'!K24/'4a'!K24*100</f>
        <v>95.436717135506711</v>
      </c>
      <c r="L23" s="281">
        <f>'3a'!L24/'4a'!L24*100</f>
        <v>98.05831088098499</v>
      </c>
      <c r="M23" s="125">
        <f>'3a'!M24/'4a'!M24*100</f>
        <v>104.37271760129359</v>
      </c>
    </row>
    <row r="24" spans="1:13">
      <c r="A24" s="16">
        <v>2000</v>
      </c>
      <c r="B24" s="37">
        <f>'3a'!B25/'4a'!B25*100</f>
        <v>123.78089163572807</v>
      </c>
      <c r="C24" s="34">
        <f>'3a'!C25/'4a'!C25*100</f>
        <v>98.507579124381124</v>
      </c>
      <c r="D24" s="34">
        <f>'3a'!D25/'4a'!D25*100</f>
        <v>96.175001957808277</v>
      </c>
      <c r="E24" s="38">
        <f>'3a'!E25/'4a'!E25*100</f>
        <v>101.88268694661772</v>
      </c>
      <c r="F24" s="37">
        <f>'3a'!F25/'4a'!F25*100</f>
        <v>123.11677595071903</v>
      </c>
      <c r="G24" s="34">
        <f>'3a'!G25/'4a'!G25*100</f>
        <v>97.523862934053625</v>
      </c>
      <c r="H24" s="34">
        <f>'3a'!H25/'4a'!H25*100</f>
        <v>96.573789709258975</v>
      </c>
      <c r="I24" s="38">
        <f>'3a'!I25/'4a'!I25*100</f>
        <v>104.22793101542204</v>
      </c>
      <c r="J24" s="280">
        <f>'3a'!J25/'4a'!J25*100</f>
        <v>124.20825022834454</v>
      </c>
      <c r="K24" s="281">
        <f>'3a'!K25/'4a'!K25*100</f>
        <v>98.512403216330696</v>
      </c>
      <c r="L24" s="281">
        <f>'3a'!L25/'4a'!L25*100</f>
        <v>97.059683624699574</v>
      </c>
      <c r="M24" s="125">
        <f>'3a'!M25/'4a'!M25*100</f>
        <v>102.91320994381434</v>
      </c>
    </row>
    <row r="25" spans="1:13">
      <c r="A25" s="16">
        <v>2001</v>
      </c>
      <c r="B25" s="37">
        <f>'3a'!B26/'4a'!B26*100</f>
        <v>110.9148183667094</v>
      </c>
      <c r="C25" s="34">
        <f>'3a'!C26/'4a'!C26*100</f>
        <v>100.54151457942983</v>
      </c>
      <c r="D25" s="34">
        <f>'3a'!D26/'4a'!D26*100</f>
        <v>99.152748238816926</v>
      </c>
      <c r="E25" s="38">
        <f>'3a'!E26/'4a'!E26*100</f>
        <v>101.45625910341064</v>
      </c>
      <c r="F25" s="37">
        <f>'3a'!F26/'4a'!F26*100</f>
        <v>110.4390108790989</v>
      </c>
      <c r="G25" s="34">
        <f>'3a'!G26/'4a'!G26*100</f>
        <v>99.56726894607128</v>
      </c>
      <c r="H25" s="34">
        <f>'3a'!H26/'4a'!H26*100</f>
        <v>99.559359428840565</v>
      </c>
      <c r="I25" s="38">
        <f>'3a'!I26/'4a'!I26*100</f>
        <v>101.54712552270593</v>
      </c>
      <c r="J25" s="280">
        <f>'3a'!J26/'4a'!J26*100</f>
        <v>111.44435741297553</v>
      </c>
      <c r="K25" s="281">
        <f>'3a'!K26/'4a'!K26*100</f>
        <v>100.78293725352547</v>
      </c>
      <c r="L25" s="281">
        <f>'3a'!L26/'4a'!L26*100</f>
        <v>100.06352449341365</v>
      </c>
      <c r="M25" s="125">
        <f>'3a'!M26/'4a'!M26*100</f>
        <v>102.63219488210522</v>
      </c>
    </row>
    <row r="26" spans="1:13">
      <c r="A26" s="16">
        <v>2002</v>
      </c>
      <c r="B26" s="37">
        <f>'3a'!B27/'4a'!B27*100</f>
        <v>100</v>
      </c>
      <c r="C26" s="34">
        <f>'3a'!C27/'4a'!C27*100</f>
        <v>100</v>
      </c>
      <c r="D26" s="34">
        <f>'3a'!D27/'4a'!D27*100</f>
        <v>99.999999999999972</v>
      </c>
      <c r="E26" s="38">
        <f>'3a'!E27/'4a'!E27*100</f>
        <v>100</v>
      </c>
      <c r="F26" s="37">
        <f>'3a'!F27/'4a'!F27*100</f>
        <v>100.00000000000003</v>
      </c>
      <c r="G26" s="34">
        <f>'3a'!G27/'4a'!G27*100</f>
        <v>100.00000000000004</v>
      </c>
      <c r="H26" s="34">
        <f>'3a'!H27/'4a'!H27*100</f>
        <v>99.999999999999972</v>
      </c>
      <c r="I26" s="38">
        <f>'3a'!I27/'4a'!I27*100</f>
        <v>100.00000000000003</v>
      </c>
      <c r="J26" s="280">
        <f>'3a'!J27/'4a'!J27*100</f>
        <v>100</v>
      </c>
      <c r="K26" s="281">
        <f>'3a'!K27/'4a'!K27*100</f>
        <v>100</v>
      </c>
      <c r="L26" s="281">
        <f>'3a'!L27/'4a'!L27*100</f>
        <v>100</v>
      </c>
      <c r="M26" s="125">
        <f>'3a'!M27/'4a'!M27*100</f>
        <v>100</v>
      </c>
    </row>
    <row r="27" spans="1:13">
      <c r="A27" s="16">
        <v>2003</v>
      </c>
      <c r="B27" s="37">
        <f>'3a'!B28/'4a'!B28*100</f>
        <v>86.400897045015981</v>
      </c>
      <c r="C27" s="34">
        <f>'3a'!C28/'4a'!C28*100</f>
        <v>94.107760639902764</v>
      </c>
      <c r="D27" s="34">
        <f>'3a'!D28/'4a'!D28*100</f>
        <v>88.078179629735757</v>
      </c>
      <c r="E27" s="38">
        <f>'3a'!E28/'4a'!E28*100</f>
        <v>92.146891819698908</v>
      </c>
      <c r="F27" s="37">
        <f>'3a'!F28/'4a'!F28*100</f>
        <v>87.18583396801219</v>
      </c>
      <c r="G27" s="34">
        <f>'3a'!G28/'4a'!G28*100</f>
        <v>92.333477965601361</v>
      </c>
      <c r="H27" s="34">
        <f>'3a'!H28/'4a'!H28*100</f>
        <v>88.960033479807478</v>
      </c>
      <c r="I27" s="38">
        <f>'3a'!I28/'4a'!I28*100</f>
        <v>91.328485140641519</v>
      </c>
      <c r="J27" s="280">
        <f>'3a'!J28/'4a'!J28*100</f>
        <v>87.841415422642854</v>
      </c>
      <c r="K27" s="281">
        <f>'3a'!K28/'4a'!K28*100</f>
        <v>95.826955832371809</v>
      </c>
      <c r="L27" s="281">
        <f>'3a'!L28/'4a'!L28*100</f>
        <v>89.083841231787403</v>
      </c>
      <c r="M27" s="125">
        <f>'3a'!M28/'4a'!M28*100</f>
        <v>91.449831980553427</v>
      </c>
    </row>
    <row r="28" spans="1:13">
      <c r="A28" s="16">
        <v>2004</v>
      </c>
      <c r="B28" s="37">
        <f>'3a'!B29/'4a'!B29*100</f>
        <v>72.894548347408303</v>
      </c>
      <c r="C28" s="34">
        <f>'3a'!C29/'4a'!C29*100</f>
        <v>90.945573920208673</v>
      </c>
      <c r="D28" s="34">
        <f>'3a'!D29/'4a'!D29*100</f>
        <v>79.200253122598724</v>
      </c>
      <c r="E28" s="38">
        <f>'3a'!E29/'4a'!E29*100</f>
        <v>85.400999691850288</v>
      </c>
      <c r="F28" s="37">
        <f>'3a'!F29/'4a'!F29*100</f>
        <v>73.357157037919379</v>
      </c>
      <c r="G28" s="34">
        <f>'3a'!G29/'4a'!G29*100</f>
        <v>89.193248383902272</v>
      </c>
      <c r="H28" s="34">
        <f>'3a'!H29/'4a'!H29*100</f>
        <v>80.026708737292083</v>
      </c>
      <c r="I28" s="38">
        <f>'3a'!I29/'4a'!I29*100</f>
        <v>86.478760242639268</v>
      </c>
      <c r="J28" s="280">
        <f>'3a'!J29/'4a'!J29*100</f>
        <v>73.867400712764336</v>
      </c>
      <c r="K28" s="281">
        <f>'3a'!K29/'4a'!K29*100</f>
        <v>93.279476667993009</v>
      </c>
      <c r="L28" s="281">
        <f>'3a'!L29/'4a'!L29*100</f>
        <v>80.137533917438219</v>
      </c>
      <c r="M28" s="125">
        <f>'3a'!M29/'4a'!M29*100</f>
        <v>83.53767381681412</v>
      </c>
    </row>
    <row r="29" spans="1:13">
      <c r="A29" s="16">
        <v>2005</v>
      </c>
      <c r="B29" s="37">
        <f>'3a'!B30/'4a'!B30*100</f>
        <v>62.188858199055417</v>
      </c>
      <c r="C29" s="34">
        <f>'3a'!C30/'4a'!C30*100</f>
        <v>88.347370519644869</v>
      </c>
      <c r="D29" s="34">
        <f>'3a'!D30/'4a'!D30*100</f>
        <v>74.049351503566214</v>
      </c>
      <c r="E29" s="38">
        <f>'3a'!E30/'4a'!E30*100</f>
        <v>79.533536386727718</v>
      </c>
      <c r="F29" s="37">
        <f>'3a'!F30/'4a'!F30*100</f>
        <v>62.240255748186399</v>
      </c>
      <c r="G29" s="34">
        <f>'3a'!G30/'4a'!G30*100</f>
        <v>86.646703137297905</v>
      </c>
      <c r="H29" s="34">
        <f>'3a'!H30/'4a'!H30*100</f>
        <v>74.801125293441174</v>
      </c>
      <c r="I29" s="38">
        <f>'3a'!I30/'4a'!I30*100</f>
        <v>82.259799959726394</v>
      </c>
      <c r="J29" s="280">
        <f>'3a'!J30/'4a'!J30*100</f>
        <v>62.971593944416171</v>
      </c>
      <c r="K29" s="281">
        <f>'3a'!K30/'4a'!K30*100</f>
        <v>90.751843270127665</v>
      </c>
      <c r="L29" s="281">
        <f>'3a'!L30/'4a'!L30*100</f>
        <v>74.899097767563489</v>
      </c>
      <c r="M29" s="125">
        <f>'3a'!M30/'4a'!M30*100</f>
        <v>77.40630675251775</v>
      </c>
    </row>
    <row r="30" spans="1:13">
      <c r="A30" s="16">
        <v>2006</v>
      </c>
      <c r="B30" s="37">
        <f>'3a'!B31/'4a'!B31*100</f>
        <v>54.990106791179329</v>
      </c>
      <c r="C30" s="34">
        <f>'3a'!C31/'4a'!C31*100</f>
        <v>85.443261857821852</v>
      </c>
      <c r="D30" s="34">
        <f>'3a'!D31/'4a'!D31*100</f>
        <v>70.28846173964169</v>
      </c>
      <c r="E30" s="38">
        <f>'3a'!E31/'4a'!E31*100</f>
        <v>74.848666105612622</v>
      </c>
      <c r="F30" s="37">
        <f>'3a'!F31/'4a'!F31*100</f>
        <v>54.94312287919545</v>
      </c>
      <c r="G30" s="34">
        <f>'3a'!G31/'4a'!G31*100</f>
        <v>84.2079377617479</v>
      </c>
      <c r="H30" s="34">
        <f>'3a'!H31/'4a'!H31*100</f>
        <v>71.014177379422478</v>
      </c>
      <c r="I30" s="38">
        <f>'3a'!I31/'4a'!I31*100</f>
        <v>78.524257042288042</v>
      </c>
      <c r="J30" s="280">
        <f>'3a'!J31/'4a'!J31*100</f>
        <v>55.573566542257446</v>
      </c>
      <c r="K30" s="281">
        <f>'3a'!K31/'4a'!K31*100</f>
        <v>89.06688903158657</v>
      </c>
      <c r="L30" s="281">
        <f>'3a'!L31/'4a'!L31*100</f>
        <v>71.105494056229944</v>
      </c>
      <c r="M30" s="125">
        <f>'3a'!M31/'4a'!M31*100</f>
        <v>72.516000407798003</v>
      </c>
    </row>
    <row r="31" spans="1:13">
      <c r="A31" s="16">
        <v>2007</v>
      </c>
      <c r="B31" s="37">
        <f>'3a'!B32/'4a'!B32*100</f>
        <v>50.364069557911748</v>
      </c>
      <c r="C31" s="34">
        <f>'3a'!C32/'4a'!C32*100</f>
        <v>84.608756998610843</v>
      </c>
      <c r="D31" s="34">
        <f>'3a'!D32/'4a'!D32*100</f>
        <v>66.358228907096333</v>
      </c>
      <c r="E31" s="38">
        <f>'3a'!E32/'4a'!E32*100</f>
        <v>69.123047717711472</v>
      </c>
      <c r="F31" s="37">
        <f>'3a'!F32/'4a'!F32*100</f>
        <v>50.016685225320792</v>
      </c>
      <c r="G31" s="34">
        <f>'3a'!G32/'4a'!G32*100</f>
        <v>84.375977935237913</v>
      </c>
      <c r="H31" s="34">
        <f>'3a'!H32/'4a'!H32*100</f>
        <v>67.047979698368238</v>
      </c>
      <c r="I31" s="38">
        <f>'3a'!I32/'4a'!I32*100</f>
        <v>79.188206501813127</v>
      </c>
      <c r="J31" s="280">
        <f>'3a'!J32/'4a'!J32*100</f>
        <v>50.591302996376477</v>
      </c>
      <c r="K31" s="281">
        <f>'3a'!K32/'4a'!K32*100</f>
        <v>88.960417501697322</v>
      </c>
      <c r="L31" s="281">
        <f>'3a'!L32/'4a'!L32*100</f>
        <v>67.13464622540279</v>
      </c>
      <c r="M31" s="125">
        <f>'3a'!M32/'4a'!M32*100</f>
        <v>69.459909220647404</v>
      </c>
    </row>
    <row r="32" spans="1:13">
      <c r="A32" s="16">
        <v>2008</v>
      </c>
      <c r="B32" s="37">
        <f>'3a'!B33/'4a'!B33*100</f>
        <v>46.684520972016266</v>
      </c>
      <c r="C32" s="34">
        <f>'3a'!C33/'4a'!C33*100</f>
        <v>86.766304270242628</v>
      </c>
      <c r="D32" s="34">
        <f>'3a'!D33/'4a'!D33*100</f>
        <v>65.799286731989113</v>
      </c>
      <c r="E32" s="38">
        <f>'3a'!E33/'4a'!E33*100</f>
        <v>70.382121990954204</v>
      </c>
      <c r="F32" s="37">
        <f>'3a'!F33/'4a'!F33*100</f>
        <v>46.358311659444141</v>
      </c>
      <c r="G32" s="34">
        <f>'3a'!G33/'4a'!G33*100</f>
        <v>87.072628797828372</v>
      </c>
      <c r="H32" s="34">
        <f>'3a'!H33/'4a'!H33*100</f>
        <v>66.472378894653303</v>
      </c>
      <c r="I32" s="38">
        <f>'3a'!I33/'4a'!I33*100</f>
        <v>81.655079540489837</v>
      </c>
      <c r="J32" s="280">
        <f>'3a'!J33/'4a'!J33*100</f>
        <v>46.89136766595017</v>
      </c>
      <c r="K32" s="281">
        <f>'3a'!K33/'4a'!K33*100</f>
        <v>91.555849704601684</v>
      </c>
      <c r="L32" s="281">
        <f>'3a'!L33/'4a'!L33*100</f>
        <v>66.557043007933359</v>
      </c>
      <c r="M32" s="125">
        <f>'3a'!M33/'4a'!M33*100</f>
        <v>68.508738141094227</v>
      </c>
    </row>
    <row r="33" spans="1:13">
      <c r="A33" s="16">
        <v>2009</v>
      </c>
      <c r="B33" s="37">
        <f>'3a'!B34/'4a'!B34*100</f>
        <v>48.148390185695973</v>
      </c>
      <c r="C33" s="34">
        <f>'3a'!C34/'4a'!C34*100</f>
        <v>89.973621695576867</v>
      </c>
      <c r="D33" s="34">
        <f>'3a'!D34/'4a'!D34*100</f>
        <v>69.15055483820386</v>
      </c>
      <c r="E33" s="38">
        <f>'3a'!E34/'4a'!E34*100</f>
        <v>73.057758139273972</v>
      </c>
      <c r="F33" s="37">
        <f>'3a'!F34/'4a'!F34*100</f>
        <v>47.844928016871187</v>
      </c>
      <c r="G33" s="34">
        <f>'3a'!G34/'4a'!G34*100</f>
        <v>90.110040974705058</v>
      </c>
      <c r="H33" s="34">
        <f>'3a'!H34/'4a'!H34*100</f>
        <v>69.865746250892641</v>
      </c>
      <c r="I33" s="38">
        <f>'3a'!I34/'4a'!I34*100</f>
        <v>84.406686725903739</v>
      </c>
      <c r="J33" s="280">
        <f>'3a'!J34/'4a'!J34*100</f>
        <v>48.214496260335984</v>
      </c>
      <c r="K33" s="281">
        <f>'3a'!K34/'4a'!K34*100</f>
        <v>94.794067629424134</v>
      </c>
      <c r="L33" s="281">
        <f>'3a'!L34/'4a'!L34*100</f>
        <v>69.944603501237665</v>
      </c>
      <c r="M33" s="125">
        <f>'3a'!M34/'4a'!M34*100</f>
        <v>71.335814672135569</v>
      </c>
    </row>
    <row r="34" spans="1:13">
      <c r="A34" s="16">
        <v>2010</v>
      </c>
      <c r="B34" s="37">
        <f>'3a'!B35/'4a'!B35*100</f>
        <v>42.111221640535199</v>
      </c>
      <c r="C34" s="34">
        <f>'3a'!C35/'4a'!C35*100</f>
        <v>88.10249432246502</v>
      </c>
      <c r="D34" s="34">
        <f>'3a'!D35/'4a'!D35*100</f>
        <v>63.578598262502936</v>
      </c>
      <c r="E34" s="38">
        <f>'3a'!E35/'4a'!E35*100</f>
        <v>68.397891104048441</v>
      </c>
      <c r="F34" s="37">
        <f>'3a'!F35/'4a'!F35*100</f>
        <v>41.918321304046344</v>
      </c>
      <c r="G34" s="34">
        <f>'3a'!G35/'4a'!G35*100</f>
        <v>90.141972374532003</v>
      </c>
      <c r="H34" s="34">
        <f>'3a'!H35/'4a'!H35*100</f>
        <v>64.23581097338193</v>
      </c>
      <c r="I34" s="38">
        <f>'3a'!I35/'4a'!I35*100</f>
        <v>82.004800620880786</v>
      </c>
      <c r="J34" s="280">
        <f>'3a'!J35/'4a'!J35*100</f>
        <v>42.048310363200002</v>
      </c>
      <c r="K34" s="281">
        <f>'3a'!K35/'4a'!K35*100</f>
        <v>94.014431636239422</v>
      </c>
      <c r="L34" s="281">
        <f>'3a'!L35/'4a'!L35*100</f>
        <v>64.301294168969022</v>
      </c>
      <c r="M34" s="125">
        <f>'3a'!M35/'4a'!M35*100</f>
        <v>66.82836241056539</v>
      </c>
    </row>
    <row r="35" spans="1:13">
      <c r="A35" s="17">
        <v>2011</v>
      </c>
      <c r="B35" s="39">
        <f>'3a'!B36/'4a'!B36*100</f>
        <v>35.305095547172542</v>
      </c>
      <c r="C35" s="40">
        <f>'3a'!C36/'4a'!C36*100</f>
        <v>87.108963373223418</v>
      </c>
      <c r="D35" s="40">
        <f>'3a'!D36/'4a'!D36*100</f>
        <v>60.624217796387583</v>
      </c>
      <c r="E35" s="41">
        <f>'3a'!E36/'4a'!E36*100</f>
        <v>63.518050153968908</v>
      </c>
      <c r="F35" s="39">
        <f>'3a'!F36/'4a'!F36*100</f>
        <v>35.191352333847448</v>
      </c>
      <c r="G35" s="40">
        <f>'3a'!G36/'4a'!G36*100</f>
        <v>91.033381598530582</v>
      </c>
      <c r="H35" s="40">
        <f>'3a'!H36/'4a'!H36*100</f>
        <v>61.242643820809484</v>
      </c>
      <c r="I35" s="41">
        <f>'3a'!I36/'4a'!I36*100</f>
        <v>79.339051727811835</v>
      </c>
      <c r="J35" s="282">
        <f>'3a'!J36/'4a'!J36*100</f>
        <v>35.202192536663276</v>
      </c>
      <c r="K35" s="283">
        <f>'3a'!K36/'4a'!K36*100</f>
        <v>94.165678976487527</v>
      </c>
      <c r="L35" s="283">
        <f>'3a'!L36/'4a'!L36*100</f>
        <v>61.313764605300655</v>
      </c>
      <c r="M35" s="128">
        <f>'3a'!M36/'4a'!M36*100</f>
        <v>62.193604233357291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(POWER(B14/B5,1/($A14-$A5))-1)*100</f>
        <v>-15.810336873983688</v>
      </c>
      <c r="C38" s="83">
        <f t="shared" ref="C38:M38" si="0">(POWER(C14/C5,1/($A14-$A5))-1)*100</f>
        <v>0.22064806491879363</v>
      </c>
      <c r="D38" s="83">
        <f t="shared" si="0"/>
        <v>2.6156136206041625</v>
      </c>
      <c r="E38" s="84">
        <f t="shared" si="0"/>
        <v>-3.9621334157631138</v>
      </c>
      <c r="F38" s="82">
        <f t="shared" si="0"/>
        <v>-15.810147299606914</v>
      </c>
      <c r="G38" s="83">
        <f>(POWER(G14/G5,1/($A14-$A5))-1)*100</f>
        <v>0.20075625405373554</v>
      </c>
      <c r="H38" s="83">
        <f t="shared" si="0"/>
        <v>2.6317410120541895</v>
      </c>
      <c r="I38" s="84">
        <f t="shared" si="0"/>
        <v>-5.5888357688252288</v>
      </c>
      <c r="J38" s="82">
        <f t="shared" si="0"/>
        <v>-15.825109292921569</v>
      </c>
      <c r="K38" s="83">
        <f t="shared" si="0"/>
        <v>-0.35412350519996583</v>
      </c>
      <c r="L38" s="83">
        <f t="shared" si="0"/>
        <v>2.6195351457594329</v>
      </c>
      <c r="M38" s="84">
        <f t="shared" si="0"/>
        <v>1.9388842361474978</v>
      </c>
    </row>
    <row r="39" spans="1:13">
      <c r="A39" s="16" t="s">
        <v>71</v>
      </c>
      <c r="B39" s="37">
        <f>(POWER(B$24/B14,1/($A$24-$A$14))-1)*100</f>
        <v>-14.901567361460943</v>
      </c>
      <c r="C39" s="34">
        <f t="shared" ref="C39:M39" si="1">(POWER(C$24/C14,1/($A$24-$A$14))-1)*100</f>
        <v>-0.84372614362586695</v>
      </c>
      <c r="D39" s="34">
        <f t="shared" si="1"/>
        <v>-0.18175538733384844</v>
      </c>
      <c r="E39" s="38">
        <f t="shared" si="1"/>
        <v>-1.6315376807264692</v>
      </c>
      <c r="F39" s="37">
        <f t="shared" si="1"/>
        <v>-14.950564935638766</v>
      </c>
      <c r="G39" s="34">
        <f t="shared" si="1"/>
        <v>-1.240572721785449</v>
      </c>
      <c r="H39" s="34">
        <f t="shared" si="1"/>
        <v>0.91086608440726913</v>
      </c>
      <c r="I39" s="38">
        <f t="shared" si="1"/>
        <v>-2.8642620041979261</v>
      </c>
      <c r="J39" s="37">
        <f t="shared" si="1"/>
        <v>-14.872191628010023</v>
      </c>
      <c r="K39" s="34">
        <f t="shared" si="1"/>
        <v>-1.1243881924713262</v>
      </c>
      <c r="L39" s="34">
        <f t="shared" si="1"/>
        <v>-0.15903932547361999</v>
      </c>
      <c r="M39" s="38">
        <f t="shared" si="1"/>
        <v>-1.7511766888395397</v>
      </c>
    </row>
    <row r="40" spans="1:13">
      <c r="A40" s="16" t="s">
        <v>69</v>
      </c>
      <c r="B40" s="37">
        <f>(POWER(B$34/B24,1/($A$34-$A$24))-1)*100</f>
        <v>-10.221070358690021</v>
      </c>
      <c r="C40" s="34">
        <f t="shared" ref="C40:M40" si="2">(POWER(C$34/C24,1/($A$34-$A$24))-1)*100</f>
        <v>-1.1101186544751895</v>
      </c>
      <c r="D40" s="34">
        <f t="shared" si="2"/>
        <v>-4.0544416648916943</v>
      </c>
      <c r="E40" s="38">
        <f t="shared" si="2"/>
        <v>-3.9064512738388402</v>
      </c>
      <c r="F40" s="37">
        <f t="shared" si="2"/>
        <v>-10.213991565374858</v>
      </c>
      <c r="G40" s="34">
        <f t="shared" si="2"/>
        <v>-0.78402236363666056</v>
      </c>
      <c r="H40" s="34">
        <f t="shared" si="2"/>
        <v>-3.9954549896922376</v>
      </c>
      <c r="I40" s="38">
        <f t="shared" si="2"/>
        <v>-2.369499431726918</v>
      </c>
      <c r="J40" s="37">
        <f t="shared" si="2"/>
        <v>-10.265424940743728</v>
      </c>
      <c r="K40" s="34">
        <f t="shared" si="2"/>
        <v>-0.4662512851976941</v>
      </c>
      <c r="L40" s="34">
        <f t="shared" si="2"/>
        <v>-4.0338472902751281</v>
      </c>
      <c r="M40" s="38">
        <f t="shared" si="2"/>
        <v>-4.2257037491471579</v>
      </c>
    </row>
    <row r="41" spans="1:13">
      <c r="A41" s="17" t="s">
        <v>70</v>
      </c>
      <c r="B41" s="39">
        <f>(POWER(B34/B5,1/($A$34-$A$5))-1)*100</f>
        <v>-13.604182786811547</v>
      </c>
      <c r="C41" s="40">
        <f t="shared" ref="C41:M41" si="3">(POWER(C34/C5,1/($A$34-$A$5))-1)*100</f>
        <v>-0.60686406943551985</v>
      </c>
      <c r="D41" s="40">
        <f t="shared" si="3"/>
        <v>-0.68627363870527036</v>
      </c>
      <c r="E41" s="41">
        <f t="shared" si="3"/>
        <v>-3.1454278486727882</v>
      </c>
      <c r="F41" s="39">
        <f t="shared" si="3"/>
        <v>-13.618930506601924</v>
      </c>
      <c r="G41" s="40">
        <f t="shared" si="3"/>
        <v>-0.6375947304332108</v>
      </c>
      <c r="H41" s="40">
        <f t="shared" si="3"/>
        <v>-0.28675584864783499</v>
      </c>
      <c r="I41" s="41">
        <f t="shared" si="3"/>
        <v>-3.5493027111669018</v>
      </c>
      <c r="J41" s="39">
        <f t="shared" si="3"/>
        <v>-13.613327150034028</v>
      </c>
      <c r="K41" s="40">
        <f t="shared" si="3"/>
        <v>-0.65898313914859452</v>
      </c>
      <c r="L41" s="40">
        <f t="shared" si="3"/>
        <v>-0.66995179090767465</v>
      </c>
      <c r="M41" s="41">
        <f t="shared" si="3"/>
        <v>-1.4908376915208632</v>
      </c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 t="s">
        <v>219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" t="s">
        <v>98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4">
    <mergeCell ref="B3:E3"/>
    <mergeCell ref="F3:I3"/>
    <mergeCell ref="J3:M3"/>
    <mergeCell ref="A37:M37"/>
  </mergeCells>
  <pageMargins left="0.7" right="0.7" top="0.75" bottom="0.75" header="0.3" footer="0.3"/>
  <pageSetup scale="72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M43"/>
  <sheetViews>
    <sheetView zoomScaleNormal="100" workbookViewId="0">
      <selection sqref="A1:H2"/>
    </sheetView>
  </sheetViews>
  <sheetFormatPr defaultRowHeight="15"/>
  <cols>
    <col min="1" max="1" width="11.85546875" customWidth="1"/>
    <col min="2" max="2" width="13.140625" customWidth="1"/>
    <col min="4" max="4" width="18.140625" customWidth="1"/>
    <col min="6" max="6" width="11.5703125" customWidth="1"/>
    <col min="8" max="8" width="18.5703125" customWidth="1"/>
    <col min="10" max="10" width="11.5703125" customWidth="1"/>
    <col min="12" max="12" width="18" customWidth="1"/>
    <col min="13" max="13" width="10.140625" customWidth="1"/>
  </cols>
  <sheetData>
    <row r="1" spans="1:13">
      <c r="A1" s="387" t="s">
        <v>141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IFERROR('4a'!B6/'1k'!$B5*1000, "na")</f>
        <v>na</v>
      </c>
      <c r="C6" s="214" t="str">
        <f>IFERROR('4a'!C6/'1k'!$B5*1000, "na")</f>
        <v>na</v>
      </c>
      <c r="D6" s="214" t="str">
        <f>IFERROR('4a'!D6/'1k'!$B5*1000, "na")</f>
        <v>na</v>
      </c>
      <c r="E6" s="237" t="str">
        <f>IFERROR('4a'!E6/'1k'!$B5*1000, "na")</f>
        <v>na</v>
      </c>
      <c r="F6" s="236" t="str">
        <f>IFERROR('4a'!F6/'1k'!$C5*1000, "na")</f>
        <v>na</v>
      </c>
      <c r="G6" s="214" t="str">
        <f>IFERROR('4a'!G6/'1k'!$C5*1000, "na")</f>
        <v>na</v>
      </c>
      <c r="H6" s="214" t="str">
        <f>IFERROR('4a'!H6/'1k'!$C5*1000, "na")</f>
        <v>na</v>
      </c>
      <c r="I6" s="237" t="str">
        <f>IFERROR('4a'!I6/'1k'!$C5*1000, "na")</f>
        <v>na</v>
      </c>
      <c r="J6" s="236" t="str">
        <f>IFERROR('4a'!J6/'1k'!$D5*1000, "na")</f>
        <v>na</v>
      </c>
      <c r="K6" s="214" t="str">
        <f>IFERROR('4a'!K6/'1k'!$D5*1000, "na")</f>
        <v>na</v>
      </c>
      <c r="L6" s="214" t="str">
        <f>IFERROR('4a'!L6/'1k'!$D5*1000, "na")</f>
        <v>na</v>
      </c>
      <c r="M6" s="237" t="str">
        <f>IFERROR('4a'!M6/'1k'!$D5*1000, "na")</f>
        <v>na</v>
      </c>
    </row>
    <row r="7" spans="1:13">
      <c r="A7" s="185">
        <v>1982</v>
      </c>
      <c r="B7" s="216" t="str">
        <f>IFERROR('4a'!B7/'1k'!$B6*1000, "na")</f>
        <v>na</v>
      </c>
      <c r="C7" s="143" t="str">
        <f>IFERROR('4a'!C7/'1k'!$B6*1000, "na")</f>
        <v>na</v>
      </c>
      <c r="D7" s="143" t="str">
        <f>IFERROR('4a'!D7/'1k'!$B6*1000, "na")</f>
        <v>na</v>
      </c>
      <c r="E7" s="217" t="str">
        <f>IFERROR('4a'!E7/'1k'!$B6*1000, "na")</f>
        <v>na</v>
      </c>
      <c r="F7" s="216" t="str">
        <f>IFERROR('4a'!F7/'1k'!$C6*1000, "na")</f>
        <v>na</v>
      </c>
      <c r="G7" s="143" t="str">
        <f>IFERROR('4a'!G7/'1k'!$C6*1000, "na")</f>
        <v>na</v>
      </c>
      <c r="H7" s="143" t="str">
        <f>IFERROR('4a'!H7/'1k'!$C6*1000, "na")</f>
        <v>na</v>
      </c>
      <c r="I7" s="217" t="str">
        <f>IFERROR('4a'!I7/'1k'!$C6*1000, "na")</f>
        <v>na</v>
      </c>
      <c r="J7" s="216" t="str">
        <f>IFERROR('4a'!J7/'1k'!$D6*1000, "na")</f>
        <v>na</v>
      </c>
      <c r="K7" s="143" t="str">
        <f>IFERROR('4a'!K7/'1k'!$D6*1000, "na")</f>
        <v>na</v>
      </c>
      <c r="L7" s="143" t="str">
        <f>IFERROR('4a'!L7/'1k'!$D6*1000, "na")</f>
        <v>na</v>
      </c>
      <c r="M7" s="217" t="str">
        <f>IFERROR('4a'!M7/'1k'!$D6*1000, "na")</f>
        <v>na</v>
      </c>
    </row>
    <row r="8" spans="1:13">
      <c r="A8" s="185">
        <v>1983</v>
      </c>
      <c r="B8" s="216" t="str">
        <f>IFERROR('4a'!B8/'1k'!$B7*1000, "na")</f>
        <v>na</v>
      </c>
      <c r="C8" s="143" t="str">
        <f>IFERROR('4a'!C8/'1k'!$B7*1000, "na")</f>
        <v>na</v>
      </c>
      <c r="D8" s="143" t="str">
        <f>IFERROR('4a'!D8/'1k'!$B7*1000, "na")</f>
        <v>na</v>
      </c>
      <c r="E8" s="217" t="str">
        <f>IFERROR('4a'!E8/'1k'!$B7*1000, "na")</f>
        <v>na</v>
      </c>
      <c r="F8" s="216" t="str">
        <f>IFERROR('4a'!F8/'1k'!$C7*1000, "na")</f>
        <v>na</v>
      </c>
      <c r="G8" s="143" t="str">
        <f>IFERROR('4a'!G8/'1k'!$C7*1000, "na")</f>
        <v>na</v>
      </c>
      <c r="H8" s="143" t="str">
        <f>IFERROR('4a'!H8/'1k'!$C7*1000, "na")</f>
        <v>na</v>
      </c>
      <c r="I8" s="217" t="str">
        <f>IFERROR('4a'!I8/'1k'!$C7*1000, "na")</f>
        <v>na</v>
      </c>
      <c r="J8" s="216" t="str">
        <f>IFERROR('4a'!J8/'1k'!$D7*1000, "na")</f>
        <v>na</v>
      </c>
      <c r="K8" s="143" t="str">
        <f>IFERROR('4a'!K8/'1k'!$D7*1000, "na")</f>
        <v>na</v>
      </c>
      <c r="L8" s="143" t="str">
        <f>IFERROR('4a'!L8/'1k'!$D7*1000, "na")</f>
        <v>na</v>
      </c>
      <c r="M8" s="217" t="str">
        <f>IFERROR('4a'!M8/'1k'!$D7*1000, "na")</f>
        <v>na</v>
      </c>
    </row>
    <row r="9" spans="1:13">
      <c r="A9" s="185">
        <v>1984</v>
      </c>
      <c r="B9" s="216" t="str">
        <f>IFERROR('4a'!B9/'1k'!$B8*1000, "na")</f>
        <v>na</v>
      </c>
      <c r="C9" s="143" t="str">
        <f>IFERROR('4a'!C9/'1k'!$B8*1000, "na")</f>
        <v>na</v>
      </c>
      <c r="D9" s="143" t="str">
        <f>IFERROR('4a'!D9/'1k'!$B8*1000, "na")</f>
        <v>na</v>
      </c>
      <c r="E9" s="217" t="str">
        <f>IFERROR('4a'!E9/'1k'!$B8*1000, "na")</f>
        <v>na</v>
      </c>
      <c r="F9" s="216" t="str">
        <f>IFERROR('4a'!F9/'1k'!$C8*1000, "na")</f>
        <v>na</v>
      </c>
      <c r="G9" s="143" t="str">
        <f>IFERROR('4a'!G9/'1k'!$C8*1000, "na")</f>
        <v>na</v>
      </c>
      <c r="H9" s="143" t="str">
        <f>IFERROR('4a'!H9/'1k'!$C8*1000, "na")</f>
        <v>na</v>
      </c>
      <c r="I9" s="217" t="str">
        <f>IFERROR('4a'!I9/'1k'!$C8*1000, "na")</f>
        <v>na</v>
      </c>
      <c r="J9" s="216" t="str">
        <f>IFERROR('4a'!J9/'1k'!$D8*1000, "na")</f>
        <v>na</v>
      </c>
      <c r="K9" s="143" t="str">
        <f>IFERROR('4a'!K9/'1k'!$D8*1000, "na")</f>
        <v>na</v>
      </c>
      <c r="L9" s="143" t="str">
        <f>IFERROR('4a'!L9/'1k'!$D8*1000, "na")</f>
        <v>na</v>
      </c>
      <c r="M9" s="217" t="str">
        <f>IFERROR('4a'!M9/'1k'!$D8*1000, "na")</f>
        <v>na</v>
      </c>
    </row>
    <row r="10" spans="1:13">
      <c r="A10" s="185">
        <v>1985</v>
      </c>
      <c r="B10" s="216" t="str">
        <f>IFERROR('4a'!B10/'1k'!$B9*1000, "na")</f>
        <v>na</v>
      </c>
      <c r="C10" s="143" t="str">
        <f>IFERROR('4a'!C10/'1k'!$B9*1000, "na")</f>
        <v>na</v>
      </c>
      <c r="D10" s="143" t="str">
        <f>IFERROR('4a'!D10/'1k'!$B9*1000, "na")</f>
        <v>na</v>
      </c>
      <c r="E10" s="217" t="str">
        <f>IFERROR('4a'!E10/'1k'!$B9*1000, "na")</f>
        <v>na</v>
      </c>
      <c r="F10" s="216" t="str">
        <f>IFERROR('4a'!F10/'1k'!$C9*1000, "na")</f>
        <v>na</v>
      </c>
      <c r="G10" s="143" t="str">
        <f>IFERROR('4a'!G10/'1k'!$C9*1000, "na")</f>
        <v>na</v>
      </c>
      <c r="H10" s="143" t="str">
        <f>IFERROR('4a'!H10/'1k'!$C9*1000, "na")</f>
        <v>na</v>
      </c>
      <c r="I10" s="217" t="str">
        <f>IFERROR('4a'!I10/'1k'!$C9*1000, "na")</f>
        <v>na</v>
      </c>
      <c r="J10" s="216" t="str">
        <f>IFERROR('4a'!J10/'1k'!$D9*1000, "na")</f>
        <v>na</v>
      </c>
      <c r="K10" s="143" t="str">
        <f>IFERROR('4a'!K10/'1k'!$D9*1000, "na")</f>
        <v>na</v>
      </c>
      <c r="L10" s="143" t="str">
        <f>IFERROR('4a'!L10/'1k'!$D9*1000, "na")</f>
        <v>na</v>
      </c>
      <c r="M10" s="217" t="str">
        <f>IFERROR('4a'!M10/'1k'!$D9*1000, "na")</f>
        <v>na</v>
      </c>
    </row>
    <row r="11" spans="1:13">
      <c r="A11" s="185">
        <v>1986</v>
      </c>
      <c r="B11" s="216" t="str">
        <f>IFERROR('4a'!B11/'1k'!$B10*1000, "na")</f>
        <v>na</v>
      </c>
      <c r="C11" s="143" t="str">
        <f>IFERROR('4a'!C11/'1k'!$B10*1000, "na")</f>
        <v>na</v>
      </c>
      <c r="D11" s="143" t="str">
        <f>IFERROR('4a'!D11/'1k'!$B10*1000, "na")</f>
        <v>na</v>
      </c>
      <c r="E11" s="217" t="str">
        <f>IFERROR('4a'!E11/'1k'!$B10*1000, "na")</f>
        <v>na</v>
      </c>
      <c r="F11" s="216" t="str">
        <f>IFERROR('4a'!F11/'1k'!$C10*1000, "na")</f>
        <v>na</v>
      </c>
      <c r="G11" s="143" t="str">
        <f>IFERROR('4a'!G11/'1k'!$C10*1000, "na")</f>
        <v>na</v>
      </c>
      <c r="H11" s="143" t="str">
        <f>IFERROR('4a'!H11/'1k'!$C10*1000, "na")</f>
        <v>na</v>
      </c>
      <c r="I11" s="217" t="str">
        <f>IFERROR('4a'!I11/'1k'!$C10*1000, "na")</f>
        <v>na</v>
      </c>
      <c r="J11" s="216" t="str">
        <f>IFERROR('4a'!J11/'1k'!$D10*1000, "na")</f>
        <v>na</v>
      </c>
      <c r="K11" s="143" t="str">
        <f>IFERROR('4a'!K11/'1k'!$D10*1000, "na")</f>
        <v>na</v>
      </c>
      <c r="L11" s="143" t="str">
        <f>IFERROR('4a'!L11/'1k'!$D10*1000, "na")</f>
        <v>na</v>
      </c>
      <c r="M11" s="217" t="str">
        <f>IFERROR('4a'!M11/'1k'!$D10*1000, "na")</f>
        <v>na</v>
      </c>
    </row>
    <row r="12" spans="1:13">
      <c r="A12" s="185">
        <v>1987</v>
      </c>
      <c r="B12" s="216">
        <f>IFERROR('4a'!B12/'1k'!$B11*1000, "na")</f>
        <v>4.7823672576929578E-2</v>
      </c>
      <c r="C12" s="143">
        <f>IFERROR('4a'!C12/'1k'!$B11*1000, "na")</f>
        <v>0.67561918933809983</v>
      </c>
      <c r="D12" s="143">
        <f>IFERROR('4a'!D12/'1k'!$B11*1000, "na")</f>
        <v>0.31119768506266726</v>
      </c>
      <c r="E12" s="217">
        <f>IFERROR('4a'!E12/'1k'!$B11*1000, "na")</f>
        <v>1.0346405469776967</v>
      </c>
      <c r="F12" s="216">
        <f>IFERROR('4a'!F12/'1k'!$C11*1000, "na")</f>
        <v>2.5310672933623754E-2</v>
      </c>
      <c r="G12" s="143">
        <f>IFERROR('4a'!G12/'1k'!$C11*1000, "na")</f>
        <v>0.2057061790668348</v>
      </c>
      <c r="H12" s="143">
        <f>IFERROR('4a'!H12/'1k'!$C11*1000, "na")</f>
        <v>0.15669838358362947</v>
      </c>
      <c r="I12" s="217">
        <f>IFERROR('4a'!I12/'1k'!$C11*1000, "na")</f>
        <v>0.38771523558408805</v>
      </c>
      <c r="J12" s="216" t="str">
        <f>IFERROR('4a'!J12/'1k'!$D11*1000, "na")</f>
        <v>na</v>
      </c>
      <c r="K12" s="143" t="str">
        <f>IFERROR('4a'!K12/'1k'!$D11*1000, "na")</f>
        <v>na</v>
      </c>
      <c r="L12" s="143" t="str">
        <f>IFERROR('4a'!L12/'1k'!$D11*1000, "na")</f>
        <v>na</v>
      </c>
      <c r="M12" s="217" t="str">
        <f>IFERROR('4a'!M12/'1k'!$D11*1000, "na")</f>
        <v>na</v>
      </c>
    </row>
    <row r="13" spans="1:13">
      <c r="A13" s="185">
        <v>1988</v>
      </c>
      <c r="B13" s="216">
        <f>IFERROR('4a'!B13/'1k'!$B12*1000, "na")</f>
        <v>4.6880098690755698E-2</v>
      </c>
      <c r="C13" s="143">
        <f>IFERROR('4a'!C13/'1k'!$B12*1000, "na")</f>
        <v>0.88347327788610774</v>
      </c>
      <c r="D13" s="143">
        <f>IFERROR('4a'!D13/'1k'!$B12*1000, "na")</f>
        <v>0.25094711289744914</v>
      </c>
      <c r="E13" s="217">
        <f>IFERROR('4a'!E13/'1k'!$B12*1000, "na")</f>
        <v>1.1813004894743127</v>
      </c>
      <c r="F13" s="216">
        <f>IFERROR('4a'!F13/'1k'!$C12*1000, "na")</f>
        <v>2.8777331764877088E-2</v>
      </c>
      <c r="G13" s="143">
        <f>IFERROR('4a'!G13/'1k'!$C12*1000, "na")</f>
        <v>0.21182830255035837</v>
      </c>
      <c r="H13" s="143">
        <f>IFERROR('4a'!H13/'1k'!$C12*1000, "na")</f>
        <v>0.14656859772735539</v>
      </c>
      <c r="I13" s="217">
        <f>IFERROR('4a'!I13/'1k'!$C12*1000, "na")</f>
        <v>0.38717423204259083</v>
      </c>
      <c r="J13" s="216" t="str">
        <f>IFERROR('4a'!J13/'1k'!$D12*1000, "na")</f>
        <v>na</v>
      </c>
      <c r="K13" s="143" t="str">
        <f>IFERROR('4a'!K13/'1k'!$D12*1000, "na")</f>
        <v>na</v>
      </c>
      <c r="L13" s="143" t="str">
        <f>IFERROR('4a'!L13/'1k'!$D12*1000, "na")</f>
        <v>na</v>
      </c>
      <c r="M13" s="217" t="str">
        <f>IFERROR('4a'!M13/'1k'!$D12*1000, "na")</f>
        <v>na</v>
      </c>
    </row>
    <row r="14" spans="1:13">
      <c r="A14" s="185">
        <v>1989</v>
      </c>
      <c r="B14" s="216">
        <f>IFERROR('4a'!B14/'1k'!$B13*1000, "na")</f>
        <v>5.6348094882195443E-2</v>
      </c>
      <c r="C14" s="143">
        <f>IFERROR('4a'!C14/'1k'!$B13*1000, "na")</f>
        <v>0.93918842924832924</v>
      </c>
      <c r="D14" s="143">
        <f>IFERROR('4a'!D14/'1k'!$B13*1000, "na")</f>
        <v>0.22773341411913248</v>
      </c>
      <c r="E14" s="217">
        <f>IFERROR('4a'!E14/'1k'!$B13*1000, "na")</f>
        <v>1.2232699382496572</v>
      </c>
      <c r="F14" s="216">
        <f>IFERROR('4a'!F14/'1k'!$C13*1000, "na")</f>
        <v>2.8206606477634517E-2</v>
      </c>
      <c r="G14" s="143">
        <f>IFERROR('4a'!G14/'1k'!$C13*1000, "na")</f>
        <v>0.2084883574369556</v>
      </c>
      <c r="H14" s="143">
        <f>IFERROR('4a'!H14/'1k'!$C13*1000, "na")</f>
        <v>0.16603139850803403</v>
      </c>
      <c r="I14" s="217">
        <f>IFERROR('4a'!I14/'1k'!$C13*1000, "na")</f>
        <v>0.40272636242262422</v>
      </c>
      <c r="J14" s="216" t="str">
        <f>IFERROR('4a'!J14/'1k'!$D13*1000, "na")</f>
        <v>na</v>
      </c>
      <c r="K14" s="143" t="str">
        <f>IFERROR('4a'!K14/'1k'!$D13*1000, "na")</f>
        <v>na</v>
      </c>
      <c r="L14" s="143" t="str">
        <f>IFERROR('4a'!L14/'1k'!$D13*1000, "na")</f>
        <v>na</v>
      </c>
      <c r="M14" s="217" t="str">
        <f>IFERROR('4a'!M14/'1k'!$D13*1000, "na")</f>
        <v>na</v>
      </c>
    </row>
    <row r="15" spans="1:13">
      <c r="A15" s="185">
        <v>1990</v>
      </c>
      <c r="B15" s="216">
        <f>IFERROR('4a'!B15/'1k'!$B14*1000, "na")</f>
        <v>3.5095940833645749E-2</v>
      </c>
      <c r="C15" s="143">
        <f>IFERROR('4a'!C15/'1k'!$B14*1000, "na")</f>
        <v>1.0283400361269213</v>
      </c>
      <c r="D15" s="143">
        <f>IFERROR('4a'!D15/'1k'!$B14*1000, "na")</f>
        <v>0.19632170001022459</v>
      </c>
      <c r="E15" s="217">
        <f>IFERROR('4a'!E15/'1k'!$B14*1000, "na")</f>
        <v>1.2597576769707917</v>
      </c>
      <c r="F15" s="216">
        <f>IFERROR('4a'!F15/'1k'!$C14*1000, "na")</f>
        <v>3.479172086838378E-2</v>
      </c>
      <c r="G15" s="143">
        <f>IFERROR('4a'!G15/'1k'!$C14*1000, "na")</f>
        <v>0.26133177232388061</v>
      </c>
      <c r="H15" s="143">
        <f>IFERROR('4a'!H15/'1k'!$C14*1000, "na")</f>
        <v>0.18041366750498658</v>
      </c>
      <c r="I15" s="217">
        <f>IFERROR('4a'!I15/'1k'!$C14*1000, "na")</f>
        <v>0.47653716069725094</v>
      </c>
      <c r="J15" s="216" t="str">
        <f>IFERROR('4a'!J15/'1k'!$D14*1000, "na")</f>
        <v>na</v>
      </c>
      <c r="K15" s="143" t="str">
        <f>IFERROR('4a'!K15/'1k'!$D14*1000, "na")</f>
        <v>na</v>
      </c>
      <c r="L15" s="143" t="str">
        <f>IFERROR('4a'!L15/'1k'!$D14*1000, "na")</f>
        <v>na</v>
      </c>
      <c r="M15" s="217" t="str">
        <f>IFERROR('4a'!M15/'1k'!$D14*1000, "na")</f>
        <v>na</v>
      </c>
    </row>
    <row r="16" spans="1:13">
      <c r="A16" s="185">
        <v>1991</v>
      </c>
      <c r="B16" s="216">
        <f>IFERROR('4a'!B16/'1k'!$B15*1000, "na")</f>
        <v>5.2475239890666152E-2</v>
      </c>
      <c r="C16" s="143">
        <f>IFERROR('4a'!C16/'1k'!$B15*1000, "na")</f>
        <v>1.4190087089275183</v>
      </c>
      <c r="D16" s="143">
        <f>IFERROR('4a'!D16/'1k'!$B15*1000, "na")</f>
        <v>0.2807135229327381</v>
      </c>
      <c r="E16" s="217">
        <f>IFERROR('4a'!E16/'1k'!$B15*1000, "na")</f>
        <v>1.7521974717509223</v>
      </c>
      <c r="F16" s="216">
        <f>IFERROR('4a'!F16/'1k'!$C15*1000, "na")</f>
        <v>4.1209626938579706E-2</v>
      </c>
      <c r="G16" s="143">
        <f>IFERROR('4a'!G16/'1k'!$C15*1000, "na")</f>
        <v>0.24930822466756761</v>
      </c>
      <c r="H16" s="143">
        <f>IFERROR('4a'!H16/'1k'!$C15*1000, "na")</f>
        <v>0.16110613851886951</v>
      </c>
      <c r="I16" s="217">
        <f>IFERROR('4a'!I16/'1k'!$C15*1000, "na")</f>
        <v>0.45162399012501681</v>
      </c>
      <c r="J16" s="216" t="str">
        <f>IFERROR('4a'!J16/'1k'!$D15*1000, "na")</f>
        <v>na</v>
      </c>
      <c r="K16" s="143" t="str">
        <f>IFERROR('4a'!K16/'1k'!$D15*1000, "na")</f>
        <v>na</v>
      </c>
      <c r="L16" s="143" t="str">
        <f>IFERROR('4a'!L16/'1k'!$D15*1000, "na")</f>
        <v>na</v>
      </c>
      <c r="M16" s="217" t="str">
        <f>IFERROR('4a'!M16/'1k'!$D15*1000, "na")</f>
        <v>na</v>
      </c>
    </row>
    <row r="17" spans="1:13">
      <c r="A17" s="185">
        <v>1992</v>
      </c>
      <c r="B17" s="216">
        <f>IFERROR('4a'!B17/'1k'!$B16*1000, "na")</f>
        <v>0.10998392846945189</v>
      </c>
      <c r="C17" s="143">
        <f>IFERROR('4a'!C17/'1k'!$B16*1000, "na")</f>
        <v>1.7575636130758627</v>
      </c>
      <c r="D17" s="143">
        <f>IFERROR('4a'!D17/'1k'!$B16*1000, "na")</f>
        <v>0.24622176264715243</v>
      </c>
      <c r="E17" s="217">
        <f>IFERROR('4a'!E17/'1k'!$B16*1000, "na")</f>
        <v>2.1137693041924668</v>
      </c>
      <c r="F17" s="216">
        <f>IFERROR('4a'!F17/'1k'!$C16*1000, "na")</f>
        <v>4.796190558806853E-2</v>
      </c>
      <c r="G17" s="143">
        <f>IFERROR('4a'!G17/'1k'!$C16*1000, "na")</f>
        <v>0.24293707420293265</v>
      </c>
      <c r="H17" s="143">
        <f>IFERROR('4a'!H17/'1k'!$C16*1000, "na")</f>
        <v>0.1432428580722914</v>
      </c>
      <c r="I17" s="217">
        <f>IFERROR('4a'!I17/'1k'!$C16*1000, "na")</f>
        <v>0.43414183786329258</v>
      </c>
      <c r="J17" s="216" t="str">
        <f>IFERROR('4a'!J17/'1k'!$D16*1000, "na")</f>
        <v>na</v>
      </c>
      <c r="K17" s="143" t="str">
        <f>IFERROR('4a'!K17/'1k'!$D16*1000, "na")</f>
        <v>na</v>
      </c>
      <c r="L17" s="143" t="str">
        <f>IFERROR('4a'!L17/'1k'!$D16*1000, "na")</f>
        <v>na</v>
      </c>
      <c r="M17" s="217" t="str">
        <f>IFERROR('4a'!M17/'1k'!$D16*1000, "na")</f>
        <v>na</v>
      </c>
    </row>
    <row r="18" spans="1:13">
      <c r="A18" s="185">
        <v>1993</v>
      </c>
      <c r="B18" s="216">
        <f>IFERROR('4a'!B18/'1k'!$B17*1000, "na")</f>
        <v>0.22567392494870978</v>
      </c>
      <c r="C18" s="143">
        <f>IFERROR('4a'!C18/'1k'!$B17*1000, "na")</f>
        <v>1.7220049369395876</v>
      </c>
      <c r="D18" s="143">
        <f>IFERROR('4a'!D18/'1k'!$B17*1000, "na")</f>
        <v>0.20462041146612386</v>
      </c>
      <c r="E18" s="217">
        <f>IFERROR('4a'!E18/'1k'!$B17*1000, "na")</f>
        <v>2.1522992733544215</v>
      </c>
      <c r="F18" s="216">
        <f>IFERROR('4a'!F18/'1k'!$C17*1000, "na")</f>
        <v>4.067516400878219E-2</v>
      </c>
      <c r="G18" s="143">
        <f>IFERROR('4a'!G18/'1k'!$C17*1000, "na")</f>
        <v>0.28518464956680645</v>
      </c>
      <c r="H18" s="143">
        <f>IFERROR('4a'!H18/'1k'!$C17*1000, "na")</f>
        <v>0.12760392700787507</v>
      </c>
      <c r="I18" s="217">
        <f>IFERROR('4a'!I18/'1k'!$C17*1000, "na")</f>
        <v>0.45346374058346373</v>
      </c>
      <c r="J18" s="216" t="str">
        <f>IFERROR('4a'!J18/'1k'!$D17*1000, "na")</f>
        <v>na</v>
      </c>
      <c r="K18" s="143" t="str">
        <f>IFERROR('4a'!K18/'1k'!$D17*1000, "na")</f>
        <v>na</v>
      </c>
      <c r="L18" s="143" t="str">
        <f>IFERROR('4a'!L18/'1k'!$D17*1000, "na")</f>
        <v>na</v>
      </c>
      <c r="M18" s="217" t="str">
        <f>IFERROR('4a'!M18/'1k'!$D17*1000, "na")</f>
        <v>na</v>
      </c>
    </row>
    <row r="19" spans="1:13">
      <c r="A19" s="185">
        <v>1994</v>
      </c>
      <c r="B19" s="216">
        <f>IFERROR('4a'!B19/'1k'!$B18*1000, "na")</f>
        <v>0.12419707291991847</v>
      </c>
      <c r="C19" s="143">
        <f>IFERROR('4a'!C19/'1k'!$B18*1000, "na")</f>
        <v>1.3930936335090069</v>
      </c>
      <c r="D19" s="143">
        <f>IFERROR('4a'!D19/'1k'!$B18*1000, "na")</f>
        <v>0.17029123895917878</v>
      </c>
      <c r="E19" s="217">
        <f>IFERROR('4a'!E19/'1k'!$B18*1000, "na")</f>
        <v>1.6875819453881045</v>
      </c>
      <c r="F19" s="216">
        <f>IFERROR('4a'!F19/'1k'!$C18*1000, "na")</f>
        <v>4.3290290748050443E-2</v>
      </c>
      <c r="G19" s="143">
        <f>IFERROR('4a'!G19/'1k'!$C18*1000, "na")</f>
        <v>0.28545973933763352</v>
      </c>
      <c r="H19" s="143">
        <f>IFERROR('4a'!H19/'1k'!$C18*1000, "na")</f>
        <v>9.8104902763069227E-2</v>
      </c>
      <c r="I19" s="217">
        <f>IFERROR('4a'!I19/'1k'!$C18*1000, "na")</f>
        <v>0.4268549328487532</v>
      </c>
      <c r="J19" s="216" t="str">
        <f>IFERROR('4a'!J19/'1k'!$D18*1000, "na")</f>
        <v>na</v>
      </c>
      <c r="K19" s="143" t="str">
        <f>IFERROR('4a'!K19/'1k'!$D18*1000, "na")</f>
        <v>na</v>
      </c>
      <c r="L19" s="143" t="str">
        <f>IFERROR('4a'!L19/'1k'!$D18*1000, "na")</f>
        <v>na</v>
      </c>
      <c r="M19" s="217" t="str">
        <f>IFERROR('4a'!M19/'1k'!$D18*1000, "na")</f>
        <v>na</v>
      </c>
    </row>
    <row r="20" spans="1:13">
      <c r="A20" s="185">
        <v>1995</v>
      </c>
      <c r="B20" s="216">
        <f>IFERROR('4a'!B20/'1k'!$B19*1000, "na")</f>
        <v>0.11165613638472505</v>
      </c>
      <c r="C20" s="143">
        <f>IFERROR('4a'!C20/'1k'!$B19*1000, "na")</f>
        <v>1.501168312989785</v>
      </c>
      <c r="D20" s="143">
        <f>IFERROR('4a'!D20/'1k'!$B19*1000, "na")</f>
        <v>0.16122086598564284</v>
      </c>
      <c r="E20" s="217">
        <f>IFERROR('4a'!E20/'1k'!$B19*1000, "na")</f>
        <v>1.774045315360153</v>
      </c>
      <c r="F20" s="216">
        <f>IFERROR('4a'!F20/'1k'!$C19*1000, "na")</f>
        <v>9.5620255779128013E-2</v>
      </c>
      <c r="G20" s="143">
        <f>IFERROR('4a'!G20/'1k'!$C19*1000, "na")</f>
        <v>0.38996247654784238</v>
      </c>
      <c r="H20" s="143">
        <f>IFERROR('4a'!H20/'1k'!$C19*1000, "na")</f>
        <v>9.4308656212885353E-2</v>
      </c>
      <c r="I20" s="217">
        <f>IFERROR('4a'!I20/'1k'!$C19*1000, "na")</f>
        <v>0.57989138853985578</v>
      </c>
      <c r="J20" s="216" t="str">
        <f>IFERROR('4a'!J20/'1k'!$D19*1000, "na")</f>
        <v>na</v>
      </c>
      <c r="K20" s="143" t="str">
        <f>IFERROR('4a'!K20/'1k'!$D19*1000, "na")</f>
        <v>na</v>
      </c>
      <c r="L20" s="143" t="str">
        <f>IFERROR('4a'!L20/'1k'!$D19*1000, "na")</f>
        <v>na</v>
      </c>
      <c r="M20" s="217" t="str">
        <f>IFERROR('4a'!M20/'1k'!$D19*1000, "na")</f>
        <v>na</v>
      </c>
    </row>
    <row r="21" spans="1:13">
      <c r="A21" s="185">
        <v>1996</v>
      </c>
      <c r="B21" s="216">
        <f>IFERROR('4a'!B21/'1k'!$B20*1000, "na")</f>
        <v>0.1246239111735474</v>
      </c>
      <c r="C21" s="143">
        <f>IFERROR('4a'!C21/'1k'!$B20*1000, "na")</f>
        <v>1.3556739173712657</v>
      </c>
      <c r="D21" s="143">
        <f>IFERROR('4a'!D21/'1k'!$B20*1000, "na")</f>
        <v>0.15425182269266452</v>
      </c>
      <c r="E21" s="217">
        <f>IFERROR('4a'!E21/'1k'!$B20*1000, "na")</f>
        <v>1.6345496512374775</v>
      </c>
      <c r="F21" s="216">
        <f>IFERROR('4a'!F21/'1k'!$C20*1000, "na")</f>
        <v>0.2163362807990907</v>
      </c>
      <c r="G21" s="143">
        <f>IFERROR('4a'!G21/'1k'!$C20*1000, "na")</f>
        <v>0.57576431832630171</v>
      </c>
      <c r="H21" s="143">
        <f>IFERROR('4a'!H21/'1k'!$C20*1000, "na")</f>
        <v>8.8697528366949857E-2</v>
      </c>
      <c r="I21" s="217">
        <f>IFERROR('4a'!I21/'1k'!$C20*1000, "na")</f>
        <v>0.88079812749234221</v>
      </c>
      <c r="J21" s="216" t="str">
        <f>IFERROR('4a'!J21/'1k'!$D20*1000, "na")</f>
        <v>na</v>
      </c>
      <c r="K21" s="143" t="str">
        <f>IFERROR('4a'!K21/'1k'!$D20*1000, "na")</f>
        <v>na</v>
      </c>
      <c r="L21" s="143" t="str">
        <f>IFERROR('4a'!L21/'1k'!$D20*1000, "na")</f>
        <v>na</v>
      </c>
      <c r="M21" s="217" t="str">
        <f>IFERROR('4a'!M21/'1k'!$D20*1000, "na")</f>
        <v>na</v>
      </c>
    </row>
    <row r="22" spans="1:13">
      <c r="A22" s="185">
        <v>1997</v>
      </c>
      <c r="B22" s="216">
        <f>IFERROR('4a'!B22/'1k'!$B21*1000, "na")</f>
        <v>0.38474999999999998</v>
      </c>
      <c r="C22" s="143">
        <f>IFERROR('4a'!C22/'1k'!$B21*1000, "na")</f>
        <v>1.8092838827838826</v>
      </c>
      <c r="D22" s="143">
        <f>IFERROR('4a'!D22/'1k'!$B21*1000, "na")</f>
        <v>0.32850824175824178</v>
      </c>
      <c r="E22" s="217">
        <f>IFERROR('4a'!E22/'1k'!$B21*1000, "na")</f>
        <v>2.5225421245421247</v>
      </c>
      <c r="F22" s="216">
        <f>IFERROR('4a'!F22/'1k'!$C21*1000, "na")</f>
        <v>0.43489784863024289</v>
      </c>
      <c r="G22" s="143">
        <f>IFERROR('4a'!G22/'1k'!$C21*1000, "na")</f>
        <v>1.1420241534678155</v>
      </c>
      <c r="H22" s="143">
        <f>IFERROR('4a'!H22/'1k'!$C21*1000, "na")</f>
        <v>8.6200966482656613E-2</v>
      </c>
      <c r="I22" s="217">
        <f>IFERROR('4a'!I22/'1k'!$C21*1000, "na")</f>
        <v>1.6631229685807152</v>
      </c>
      <c r="J22" s="216">
        <f>IFERROR('4a'!J22/'1k'!$D21*1000, "na")</f>
        <v>0.19961812185384481</v>
      </c>
      <c r="K22" s="143">
        <f>IFERROR('4a'!K22/'1k'!$D21*1000, "na")</f>
        <v>0.83534864894834615</v>
      </c>
      <c r="L22" s="143">
        <f>IFERROR('4a'!L22/'1k'!$D21*1000, "na")</f>
        <v>0.92581744688637668</v>
      </c>
      <c r="M22" s="217">
        <f>IFERROR('4a'!M22/'1k'!$D21*1000, "na")</f>
        <v>1.9607842176885679</v>
      </c>
    </row>
    <row r="23" spans="1:13">
      <c r="A23" s="185">
        <v>1998</v>
      </c>
      <c r="B23" s="216">
        <f>IFERROR('4a'!B23/'1k'!$B22*1000, "na")</f>
        <v>0.66873971673310162</v>
      </c>
      <c r="C23" s="143">
        <f>IFERROR('4a'!C23/'1k'!$B22*1000, "na")</f>
        <v>2.1287549826138581</v>
      </c>
      <c r="D23" s="143">
        <f>IFERROR('4a'!D23/'1k'!$B22*1000, "na")</f>
        <v>0.27880841319650584</v>
      </c>
      <c r="E23" s="217">
        <f>IFERROR('4a'!E23/'1k'!$B22*1000, "na")</f>
        <v>3.0763031125434654</v>
      </c>
      <c r="F23" s="216">
        <f>IFERROR('4a'!F23/'1k'!$C22*1000, "na")</f>
        <v>1.0159701953403568</v>
      </c>
      <c r="G23" s="143">
        <f>IFERROR('4a'!G23/'1k'!$C22*1000, "na")</f>
        <v>1.5535109065645241</v>
      </c>
      <c r="H23" s="143">
        <f>IFERROR('4a'!H23/'1k'!$C22*1000, "na")</f>
        <v>0.12256467846403812</v>
      </c>
      <c r="I23" s="217">
        <f>IFERROR('4a'!I23/'1k'!$C22*1000, "na")</f>
        <v>2.6920457803689195</v>
      </c>
      <c r="J23" s="216">
        <f>IFERROR('4a'!J23/'1k'!$D22*1000, "na")</f>
        <v>0.28502517611063444</v>
      </c>
      <c r="K23" s="143">
        <f>IFERROR('4a'!K23/'1k'!$D22*1000, "na")</f>
        <v>0.92728604122836211</v>
      </c>
      <c r="L23" s="143">
        <f>IFERROR('4a'!L23/'1k'!$D22*1000, "na")</f>
        <v>0.9091511116268135</v>
      </c>
      <c r="M23" s="217">
        <f>IFERROR('4a'!M23/'1k'!$D22*1000, "na")</f>
        <v>2.1214623289658099</v>
      </c>
    </row>
    <row r="24" spans="1:13">
      <c r="A24" s="185">
        <v>1999</v>
      </c>
      <c r="B24" s="216">
        <f>IFERROR('4a'!B24/'1k'!$B23*1000, "na")</f>
        <v>0.81520461935559474</v>
      </c>
      <c r="C24" s="143">
        <f>IFERROR('4a'!C24/'1k'!$B23*1000, "na")</f>
        <v>2.7972196635083275</v>
      </c>
      <c r="D24" s="143">
        <f>IFERROR('4a'!D24/'1k'!$B23*1000, "na")</f>
        <v>0.26143283999882827</v>
      </c>
      <c r="E24" s="217">
        <f>IFERROR('4a'!E24/'1k'!$B23*1000, "na")</f>
        <v>3.8738571228627503</v>
      </c>
      <c r="F24" s="216">
        <f>IFERROR('4a'!F24/'1k'!$C23*1000, "na")</f>
        <v>0.78879130071099968</v>
      </c>
      <c r="G24" s="143">
        <f>IFERROR('4a'!G24/'1k'!$C23*1000, "na")</f>
        <v>1.5786392481420712</v>
      </c>
      <c r="H24" s="143">
        <f>IFERROR('4a'!H24/'1k'!$C23*1000, "na")</f>
        <v>0.11056988546794068</v>
      </c>
      <c r="I24" s="217">
        <f>IFERROR('4a'!I24/'1k'!$C23*1000, "na")</f>
        <v>2.4780004343210114</v>
      </c>
      <c r="J24" s="216">
        <f>IFERROR('4a'!J24/'1k'!$D23*1000, "na")</f>
        <v>0.38324469067910544</v>
      </c>
      <c r="K24" s="143">
        <f>IFERROR('4a'!K24/'1k'!$D23*1000, "na")</f>
        <v>0.98943868935759127</v>
      </c>
      <c r="L24" s="143">
        <f>IFERROR('4a'!L24/'1k'!$D23*1000, "na")</f>
        <v>0.92411873820660284</v>
      </c>
      <c r="M24" s="217">
        <f>IFERROR('4a'!M24/'1k'!$D23*1000, "na")</f>
        <v>2.2968021182432996</v>
      </c>
    </row>
    <row r="25" spans="1:13">
      <c r="A25" s="185">
        <v>2000</v>
      </c>
      <c r="B25" s="216">
        <f>IFERROR('4a'!B25/'1k'!$B24*1000, "na")</f>
        <v>0.60548927602788749</v>
      </c>
      <c r="C25" s="143">
        <f>IFERROR('4a'!C25/'1k'!$B24*1000, "na")</f>
        <v>3.5512246460007653</v>
      </c>
      <c r="D25" s="143">
        <f>IFERROR('4a'!D25/'1k'!$B24*1000, "na")</f>
        <v>0.22309605817068504</v>
      </c>
      <c r="E25" s="217">
        <f>IFERROR('4a'!E25/'1k'!$B24*1000, "na")</f>
        <v>4.3798099801993375</v>
      </c>
      <c r="F25" s="216">
        <f>IFERROR('4a'!F25/'1k'!$C24*1000, "na")</f>
        <v>0.87141940416700792</v>
      </c>
      <c r="G25" s="143">
        <f>IFERROR('4a'!G25/'1k'!$C24*1000, "na")</f>
        <v>2.1870739011314084</v>
      </c>
      <c r="H25" s="143">
        <f>IFERROR('4a'!H25/'1k'!$C24*1000, "na")</f>
        <v>0.23488117018468452</v>
      </c>
      <c r="I25" s="217">
        <f>IFERROR('4a'!I25/'1k'!$C24*1000, "na")</f>
        <v>3.2933744754831009</v>
      </c>
      <c r="J25" s="216">
        <f>IFERROR('4a'!J25/'1k'!$D24*1000, "na")</f>
        <v>0.48586367822813675</v>
      </c>
      <c r="K25" s="143">
        <f>IFERROR('4a'!K25/'1k'!$D24*1000, "na")</f>
        <v>1.0328508855326746</v>
      </c>
      <c r="L25" s="143">
        <f>IFERROR('4a'!L25/'1k'!$D24*1000, "na")</f>
        <v>0.99104525355509754</v>
      </c>
      <c r="M25" s="217">
        <f>IFERROR('4a'!M25/'1k'!$D24*1000, "na")</f>
        <v>2.5097598173159095</v>
      </c>
    </row>
    <row r="26" spans="1:13">
      <c r="A26" s="185">
        <v>2001</v>
      </c>
      <c r="B26" s="216">
        <f>IFERROR('4a'!B26/'1k'!$B25*1000, "na")</f>
        <v>0.38039644868138528</v>
      </c>
      <c r="C26" s="143">
        <f>IFERROR('4a'!C26/'1k'!$B25*1000, "na")</f>
        <v>3.5112408009413452</v>
      </c>
      <c r="D26" s="143">
        <f>IFERROR('4a'!D26/'1k'!$B25*1000, "na")</f>
        <v>0.16761981212979399</v>
      </c>
      <c r="E26" s="217">
        <f>IFERROR('4a'!E26/'1k'!$B25*1000, "na")</f>
        <v>4.0592570617525245</v>
      </c>
      <c r="F26" s="216">
        <f>IFERROR('4a'!F26/'1k'!$C25*1000, "na")</f>
        <v>0.51740300449491372</v>
      </c>
      <c r="G26" s="143">
        <f>IFERROR('4a'!G26/'1k'!$C25*1000, "na")</f>
        <v>2.1394924569161624</v>
      </c>
      <c r="H26" s="143">
        <f>IFERROR('4a'!H26/'1k'!$C25*1000, "na")</f>
        <v>0.18352259285545305</v>
      </c>
      <c r="I26" s="217">
        <f>IFERROR('4a'!I26/'1k'!$C25*1000, "na")</f>
        <v>2.8404180542665292</v>
      </c>
      <c r="J26" s="216">
        <f>IFERROR('4a'!J26/'1k'!$D25*1000, "na")</f>
        <v>0.53598947369418948</v>
      </c>
      <c r="K26" s="143">
        <f>IFERROR('4a'!K26/'1k'!$D25*1000, "na")</f>
        <v>1.0932097842783552</v>
      </c>
      <c r="L26" s="143">
        <f>IFERROR('4a'!L26/'1k'!$D25*1000, "na")</f>
        <v>1.0517502890630581</v>
      </c>
      <c r="M26" s="217">
        <f>IFERROR('4a'!M26/'1k'!$D25*1000, "na")</f>
        <v>2.6809495470356031</v>
      </c>
    </row>
    <row r="27" spans="1:13">
      <c r="A27" s="185">
        <v>2002</v>
      </c>
      <c r="B27" s="216">
        <f>IFERROR('4a'!B27/'1k'!$B26*1000, "na")</f>
        <v>0.47632199494046995</v>
      </c>
      <c r="C27" s="143">
        <f>IFERROR('4a'!C27/'1k'!$B26*1000, "na")</f>
        <v>3.2437412842236562</v>
      </c>
      <c r="D27" s="143">
        <f>IFERROR('4a'!D27/'1k'!$B26*1000, "na")</f>
        <v>0.16011888494124077</v>
      </c>
      <c r="E27" s="217">
        <f>IFERROR('4a'!E27/'1k'!$B26*1000, "na")</f>
        <v>3.8801821641053666</v>
      </c>
      <c r="F27" s="216">
        <f>IFERROR('4a'!F27/'1k'!$C26*1000, "na")</f>
        <v>0.32431900347209786</v>
      </c>
      <c r="G27" s="143">
        <f>IFERROR('4a'!G27/'1k'!$C26*1000, "na")</f>
        <v>1.9044166338547441</v>
      </c>
      <c r="H27" s="143">
        <f>IFERROR('4a'!H27/'1k'!$C26*1000, "na")</f>
        <v>0.16211028385295484</v>
      </c>
      <c r="I27" s="217">
        <f>IFERROR('4a'!I27/'1k'!$C26*1000, "na")</f>
        <v>2.390845921179797</v>
      </c>
      <c r="J27" s="216">
        <f>IFERROR('4a'!J27/'1k'!$D26*1000, "na")</f>
        <v>0.59530559931591565</v>
      </c>
      <c r="K27" s="143">
        <f>IFERROR('4a'!K27/'1k'!$D26*1000, "na")</f>
        <v>1.1003411313788896</v>
      </c>
      <c r="L27" s="143">
        <f>IFERROR('4a'!L27/'1k'!$D26*1000, "na")</f>
        <v>1.0530763706735955</v>
      </c>
      <c r="M27" s="217">
        <f>IFERROR('4a'!M27/'1k'!$D26*1000, "na")</f>
        <v>2.7487231013684013</v>
      </c>
    </row>
    <row r="28" spans="1:13">
      <c r="A28" s="185">
        <v>2003</v>
      </c>
      <c r="B28" s="216">
        <f>IFERROR('4a'!B28/'1k'!$B27*1000, "na")</f>
        <v>0.83337018215987102</v>
      </c>
      <c r="C28" s="143">
        <f>IFERROR('4a'!C28/'1k'!$B27*1000, "na")</f>
        <v>2.911031675020987</v>
      </c>
      <c r="D28" s="143">
        <f>IFERROR('4a'!D28/'1k'!$B27*1000, "na")</f>
        <v>0.22602005036773981</v>
      </c>
      <c r="E28" s="217">
        <f>IFERROR('4a'!E28/'1k'!$B27*1000, "na")</f>
        <v>3.970421907548598</v>
      </c>
      <c r="F28" s="216">
        <f>IFERROR('4a'!F28/'1k'!$C27*1000, "na")</f>
        <v>0.35709397810218985</v>
      </c>
      <c r="G28" s="143">
        <f>IFERROR('4a'!G28/'1k'!$C27*1000, "na")</f>
        <v>1.8424987278916338</v>
      </c>
      <c r="H28" s="143">
        <f>IFERROR('4a'!H28/'1k'!$C27*1000, "na")</f>
        <v>0.1572260141774284</v>
      </c>
      <c r="I28" s="217">
        <f>IFERROR('4a'!I28/'1k'!$C27*1000, "na")</f>
        <v>2.3568187201712516</v>
      </c>
      <c r="J28" s="216">
        <f>IFERROR('4a'!J28/'1k'!$D27*1000, "na")</f>
        <v>0.67743378116185482</v>
      </c>
      <c r="K28" s="143">
        <f>IFERROR('4a'!K28/'1k'!$D27*1000, "na")</f>
        <v>1.1227858477744359</v>
      </c>
      <c r="L28" s="143">
        <f>IFERROR('4a'!L28/'1k'!$D27*1000, "na")</f>
        <v>1.0440063822030849</v>
      </c>
      <c r="M28" s="217">
        <f>IFERROR('4a'!M28/'1k'!$D27*1000, "na")</f>
        <v>2.844226011139376</v>
      </c>
    </row>
    <row r="29" spans="1:13">
      <c r="A29" s="185">
        <v>2004</v>
      </c>
      <c r="B29" s="216">
        <f>IFERROR('4a'!B29/'1k'!$B28*1000, "na")</f>
        <v>1.3916238537405994</v>
      </c>
      <c r="C29" s="143">
        <f>IFERROR('4a'!C29/'1k'!$B28*1000, "na")</f>
        <v>3.5215366885473016</v>
      </c>
      <c r="D29" s="143">
        <f>IFERROR('4a'!D29/'1k'!$B28*1000, "na")</f>
        <v>0.34207905891278528</v>
      </c>
      <c r="E29" s="217">
        <f>IFERROR('4a'!E29/'1k'!$B28*1000, "na")</f>
        <v>5.2552396012006861</v>
      </c>
      <c r="F29" s="216">
        <f>IFERROR('4a'!F29/'1k'!$C28*1000, "na")</f>
        <v>0.4429819418386492</v>
      </c>
      <c r="G29" s="143">
        <f>IFERROR('4a'!G29/'1k'!$C28*1000, "na")</f>
        <v>2.5671013133208254</v>
      </c>
      <c r="H29" s="143">
        <f>IFERROR('4a'!H29/'1k'!$C28*1000, "na")</f>
        <v>0.17912640712945591</v>
      </c>
      <c r="I29" s="217">
        <f>IFERROR('4a'!I29/'1k'!$C28*1000, "na")</f>
        <v>3.1892096622889299</v>
      </c>
      <c r="J29" s="216">
        <f>IFERROR('4a'!J29/'1k'!$D28*1000, "na")</f>
        <v>0.81789569669422679</v>
      </c>
      <c r="K29" s="143">
        <f>IFERROR('4a'!K29/'1k'!$D28*1000, "na")</f>
        <v>1.1725124862775929</v>
      </c>
      <c r="L29" s="143">
        <f>IFERROR('4a'!L29/'1k'!$D28*1000, "na")</f>
        <v>1.0332253460648964</v>
      </c>
      <c r="M29" s="217">
        <f>IFERROR('4a'!M29/'1k'!$D28*1000, "na")</f>
        <v>3.023633529036716</v>
      </c>
    </row>
    <row r="30" spans="1:13">
      <c r="A30" s="185">
        <v>2005</v>
      </c>
      <c r="B30" s="216">
        <f>IFERROR('4a'!B30/'1k'!$B29*1000, "na")</f>
        <v>1.9257806219879929</v>
      </c>
      <c r="C30" s="143">
        <f>IFERROR('4a'!C30/'1k'!$B29*1000, "na")</f>
        <v>4.027136000564659</v>
      </c>
      <c r="D30" s="143">
        <f>IFERROR('4a'!D30/'1k'!$B29*1000, "na")</f>
        <v>0.38154504923123977</v>
      </c>
      <c r="E30" s="217">
        <f>IFERROR('4a'!E30/'1k'!$B29*1000, "na")</f>
        <v>6.3344616717838917</v>
      </c>
      <c r="F30" s="216">
        <f>IFERROR('4a'!F30/'1k'!$C29*1000, "na")</f>
        <v>0.70723909685207742</v>
      </c>
      <c r="G30" s="143">
        <f>IFERROR('4a'!G30/'1k'!$C29*1000, "na")</f>
        <v>3.6850082355468712</v>
      </c>
      <c r="H30" s="143">
        <f>IFERROR('4a'!H30/'1k'!$C29*1000, "na")</f>
        <v>0.26910544569142797</v>
      </c>
      <c r="I30" s="217">
        <f>IFERROR('4a'!I30/'1k'!$C29*1000, "na")</f>
        <v>4.661352778090377</v>
      </c>
      <c r="J30" s="216">
        <f>IFERROR('4a'!J30/'1k'!$D29*1000, "na")</f>
        <v>1.0115361353840089</v>
      </c>
      <c r="K30" s="143">
        <f>IFERROR('4a'!K30/'1k'!$D29*1000, "na")</f>
        <v>1.2909594247769272</v>
      </c>
      <c r="L30" s="143">
        <f>IFERROR('4a'!L30/'1k'!$D29*1000, "na")</f>
        <v>1.0479032871190672</v>
      </c>
      <c r="M30" s="217">
        <f>IFERROR('4a'!M30/'1k'!$D29*1000, "na")</f>
        <v>3.3503988472800037</v>
      </c>
    </row>
    <row r="31" spans="1:13">
      <c r="A31" s="185">
        <v>2006</v>
      </c>
      <c r="B31" s="216">
        <f>IFERROR('4a'!B31/'1k'!$B30*1000, "na")</f>
        <v>2.1206197452628937</v>
      </c>
      <c r="C31" s="143">
        <f>IFERROR('4a'!C31/'1k'!$B30*1000, "na")</f>
        <v>4.176581715083449</v>
      </c>
      <c r="D31" s="143">
        <f>IFERROR('4a'!D31/'1k'!$B30*1000, "na")</f>
        <v>0.46856275097251848</v>
      </c>
      <c r="E31" s="217">
        <f>IFERROR('4a'!E31/'1k'!$B30*1000, "na")</f>
        <v>6.7657642113188601</v>
      </c>
      <c r="F31" s="216">
        <f>IFERROR('4a'!F31/'1k'!$C30*1000, "na")</f>
        <v>0.84429831072054151</v>
      </c>
      <c r="G31" s="143">
        <f>IFERROR('4a'!G31/'1k'!$C30*1000, "na")</f>
        <v>3.9010269770111536</v>
      </c>
      <c r="H31" s="143">
        <f>IFERROR('4a'!H31/'1k'!$C30*1000, "na")</f>
        <v>0.30128576235291793</v>
      </c>
      <c r="I31" s="217">
        <f>IFERROR('4a'!I31/'1k'!$C30*1000, "na")</f>
        <v>5.0466110500846133</v>
      </c>
      <c r="J31" s="216">
        <f>IFERROR('4a'!J31/'1k'!$D30*1000, "na")</f>
        <v>1.2580193134876863</v>
      </c>
      <c r="K31" s="143">
        <f>IFERROR('4a'!K31/'1k'!$D30*1000, "na")</f>
        <v>1.3787453953565187</v>
      </c>
      <c r="L31" s="143">
        <f>IFERROR('4a'!L31/'1k'!$D30*1000, "na")</f>
        <v>1.067384387950822</v>
      </c>
      <c r="M31" s="217">
        <f>IFERROR('4a'!M31/'1k'!$D30*1000, "na")</f>
        <v>3.7041490967950272</v>
      </c>
    </row>
    <row r="32" spans="1:13">
      <c r="A32" s="185">
        <v>2007</v>
      </c>
      <c r="B32" s="216">
        <f>IFERROR('4a'!B32/'1k'!$B31*1000, "na")</f>
        <v>3.3962577603173276</v>
      </c>
      <c r="C32" s="143">
        <f>IFERROR('4a'!C32/'1k'!$B31*1000, "na")</f>
        <v>4.2653572595536442</v>
      </c>
      <c r="D32" s="143">
        <f>IFERROR('4a'!D32/'1k'!$B31*1000, "na")</f>
        <v>0.8469840196354077</v>
      </c>
      <c r="E32" s="217">
        <f>IFERROR('4a'!E32/'1k'!$B31*1000, "na")</f>
        <v>8.5085990395063789</v>
      </c>
      <c r="F32" s="216">
        <f>IFERROR('4a'!F32/'1k'!$C31*1000, "na")</f>
        <v>0.7603712606837606</v>
      </c>
      <c r="G32" s="143">
        <f>IFERROR('4a'!G32/'1k'!$C31*1000, "na")</f>
        <v>4.9887139423076921</v>
      </c>
      <c r="H32" s="143">
        <f>IFERROR('4a'!H32/'1k'!$C31*1000, "na")</f>
        <v>0.30469951923076927</v>
      </c>
      <c r="I32" s="217">
        <f>IFERROR('4a'!I32/'1k'!$C31*1000, "na")</f>
        <v>6.0537847222222227</v>
      </c>
      <c r="J32" s="216">
        <f>IFERROR('4a'!J32/'1k'!$D31*1000, "na")</f>
        <v>1.4279123571442427</v>
      </c>
      <c r="K32" s="143">
        <f>IFERROR('4a'!K32/'1k'!$D31*1000, "na")</f>
        <v>1.5072287207758241</v>
      </c>
      <c r="L32" s="143">
        <f>IFERROR('4a'!L32/'1k'!$D31*1000, "na")</f>
        <v>1.0532185676237344</v>
      </c>
      <c r="M32" s="217">
        <f>IFERROR('4a'!M32/'1k'!$D31*1000, "na")</f>
        <v>3.9883596455438011</v>
      </c>
    </row>
    <row r="33" spans="1:13">
      <c r="A33" s="185">
        <v>2008</v>
      </c>
      <c r="B33" s="216" t="str">
        <f>IFERROR('4a'!B33/'1k'!$B32*1000, "na")</f>
        <v>na</v>
      </c>
      <c r="C33" s="143" t="str">
        <f>IFERROR('4a'!C33/'1k'!$B32*1000, "na")</f>
        <v>na</v>
      </c>
      <c r="D33" s="143" t="str">
        <f>IFERROR('4a'!D33/'1k'!$B32*1000, "na")</f>
        <v>na</v>
      </c>
      <c r="E33" s="217" t="str">
        <f>IFERROR('4a'!E33/'1k'!$B32*1000, "na")</f>
        <v>na</v>
      </c>
      <c r="F33" s="216" t="str">
        <f>IFERROR('4a'!F33/'1k'!$C32*1000, "na")</f>
        <v>na</v>
      </c>
      <c r="G33" s="143" t="str">
        <f>IFERROR('4a'!G33/'1k'!$C32*1000, "na")</f>
        <v>na</v>
      </c>
      <c r="H33" s="143" t="str">
        <f>IFERROR('4a'!H33/'1k'!$C32*1000, "na")</f>
        <v>na</v>
      </c>
      <c r="I33" s="217" t="str">
        <f>IFERROR('4a'!I33/'1k'!$C32*1000, "na")</f>
        <v>na</v>
      </c>
      <c r="J33" s="216">
        <f>IFERROR('4a'!J33/'1k'!$D32*1000, "na")</f>
        <v>1.6073363703240195</v>
      </c>
      <c r="K33" s="143">
        <f>IFERROR('4a'!K33/'1k'!$D32*1000, "na")</f>
        <v>1.6000625410302849</v>
      </c>
      <c r="L33" s="143">
        <f>IFERROR('4a'!L33/'1k'!$D32*1000, "na")</f>
        <v>1.091581395090202</v>
      </c>
      <c r="M33" s="217">
        <f>IFERROR('4a'!M33/'1k'!$D32*1000, "na")</f>
        <v>4.2989803064445065</v>
      </c>
    </row>
    <row r="34" spans="1:13">
      <c r="A34" s="57">
        <f>A33+1</f>
        <v>2009</v>
      </c>
      <c r="B34" s="216" t="str">
        <f>IFERROR('4a'!B34/'1k'!$B33*1000, "na")</f>
        <v>na</v>
      </c>
      <c r="C34" s="143" t="str">
        <f>IFERROR('4a'!C34/'1k'!$B33*1000, "na")</f>
        <v>na</v>
      </c>
      <c r="D34" s="143" t="str">
        <f>IFERROR('4a'!D34/'1k'!$B33*1000, "na")</f>
        <v>na</v>
      </c>
      <c r="E34" s="217" t="str">
        <f>IFERROR('4a'!E34/'1k'!$B33*1000, "na")</f>
        <v>na</v>
      </c>
      <c r="F34" s="216" t="str">
        <f>IFERROR('4a'!F34/'1k'!$C33*1000, "na")</f>
        <v>na</v>
      </c>
      <c r="G34" s="143" t="str">
        <f>IFERROR('4a'!G34/'1k'!$C33*1000, "na")</f>
        <v>na</v>
      </c>
      <c r="H34" s="143" t="str">
        <f>IFERROR('4a'!H34/'1k'!$C33*1000, "na")</f>
        <v>na</v>
      </c>
      <c r="I34" s="217" t="str">
        <f>IFERROR('4a'!I34/'1k'!$C33*1000, "na")</f>
        <v>na</v>
      </c>
      <c r="J34" s="216">
        <f>IFERROR('4a'!J34/'1k'!$D33*1000, "na")</f>
        <v>1.6697120688013369</v>
      </c>
      <c r="K34" s="143">
        <f>IFERROR('4a'!K34/'1k'!$D33*1000, "na")</f>
        <v>1.713814941265716</v>
      </c>
      <c r="L34" s="143">
        <f>IFERROR('4a'!L34/'1k'!$D33*1000, "na")</f>
        <v>1.1480356460771233</v>
      </c>
      <c r="M34" s="217">
        <f>IFERROR('4a'!M34/'1k'!$D33*1000, "na")</f>
        <v>4.5315626561441764</v>
      </c>
    </row>
    <row r="35" spans="1:13">
      <c r="A35" s="58">
        <f t="shared" ref="A35" si="0">A34+1</f>
        <v>2010</v>
      </c>
      <c r="B35" s="234" t="str">
        <f>IFERROR('4a'!B35/'1k'!$B34*1000, "na")</f>
        <v>na</v>
      </c>
      <c r="C35" s="215" t="str">
        <f>IFERROR('4a'!C35/'1k'!$B34*1000, "na")</f>
        <v>na</v>
      </c>
      <c r="D35" s="215" t="str">
        <f>IFERROR('4a'!D35/'1k'!$B34*1000, "na")</f>
        <v>na</v>
      </c>
      <c r="E35" s="235" t="str">
        <f>IFERROR('4a'!E35/'1k'!$B34*1000, "na")</f>
        <v>na</v>
      </c>
      <c r="F35" s="234" t="str">
        <f>IFERROR('4a'!F35/'1k'!$C34*1000, "na")</f>
        <v>na</v>
      </c>
      <c r="G35" s="215" t="str">
        <f>IFERROR('4a'!G35/'1k'!$C34*1000, "na")</f>
        <v>na</v>
      </c>
      <c r="H35" s="215" t="str">
        <f>IFERROR('4a'!H35/'1k'!$C34*1000, "na")</f>
        <v>na</v>
      </c>
      <c r="I35" s="235" t="str">
        <f>IFERROR('4a'!I35/'1k'!$C34*1000, "na")</f>
        <v>na</v>
      </c>
      <c r="J35" s="234">
        <f>IFERROR('4a'!J35/'1k'!$D34*1000, "na")</f>
        <v>1.7813234717611217</v>
      </c>
      <c r="K35" s="215">
        <f>IFERROR('4a'!K35/'1k'!$D34*1000, "na")</f>
        <v>1.7337388101398881</v>
      </c>
      <c r="L35" s="215">
        <f>IFERROR('4a'!L35/'1k'!$D34*1000, "na")</f>
        <v>1.1840815847443518</v>
      </c>
      <c r="M35" s="235">
        <f>IFERROR('4a'!M35/'1k'!$D34*1000, "na")</f>
        <v>4.699143866645362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>
        <f>IFERROR((POWER(B$24/B14,1/($A$24-$A$14))-1)*100,"na")</f>
        <v>30.62874049854134</v>
      </c>
      <c r="C39" s="86">
        <f t="shared" ref="C39:M39" si="2">IFERROR((POWER(C$24/C14,1/($A$24-$A$14))-1)*100,"na")</f>
        <v>11.531459113372344</v>
      </c>
      <c r="D39" s="86">
        <f t="shared" si="2"/>
        <v>1.3895833508431155</v>
      </c>
      <c r="E39" s="87">
        <f t="shared" si="2"/>
        <v>12.217898020795781</v>
      </c>
      <c r="F39" s="85">
        <f t="shared" si="2"/>
        <v>39.527922313221396</v>
      </c>
      <c r="G39" s="86">
        <f t="shared" si="2"/>
        <v>22.439094420599016</v>
      </c>
      <c r="H39" s="86">
        <f t="shared" si="2"/>
        <v>-3.9837669878874715</v>
      </c>
      <c r="I39" s="87">
        <f t="shared" si="2"/>
        <v>19.924835625767479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>
        <f t="shared" si="3"/>
        <v>13.873543633124651</v>
      </c>
      <c r="K40" s="86">
        <f t="shared" si="3"/>
        <v>5.3160602974514193</v>
      </c>
      <c r="L40" s="86">
        <f t="shared" si="3"/>
        <v>1.7955548982251157</v>
      </c>
      <c r="M40" s="87">
        <f t="shared" si="3"/>
        <v>6.4727957733853092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220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4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8"/>
  <dimension ref="A1:M37"/>
  <sheetViews>
    <sheetView zoomScaleNormal="100" workbookViewId="0">
      <selection activeCell="B15" sqref="B15"/>
    </sheetView>
  </sheetViews>
  <sheetFormatPr defaultRowHeight="15"/>
  <cols>
    <col min="2" max="2" width="12.28515625" customWidth="1"/>
    <col min="4" max="4" width="18.85546875" customWidth="1"/>
    <col min="6" max="6" width="10.5703125" customWidth="1"/>
    <col min="8" max="8" width="18.85546875" customWidth="1"/>
    <col min="10" max="10" width="11.42578125" customWidth="1"/>
    <col min="12" max="12" width="18" customWidth="1"/>
  </cols>
  <sheetData>
    <row r="1" spans="1:13">
      <c r="A1" s="387" t="s">
        <v>250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IFERROR('4f'!B6/'4f'!J6*100, "na")</f>
        <v>na</v>
      </c>
      <c r="C6" s="83" t="str">
        <f>IFERROR('4f'!C6/'4f'!K6*100, "na")</f>
        <v>na</v>
      </c>
      <c r="D6" s="83" t="str">
        <f>IFERROR('4f'!D6/'4f'!L6*100, "na")</f>
        <v>na</v>
      </c>
      <c r="E6" s="84" t="str">
        <f>IFERROR('4f'!E6/'4f'!M6*100, "na")</f>
        <v>na</v>
      </c>
      <c r="F6" s="82" t="str">
        <f>IFERROR('4f'!F6/'4f'!J6*100, "na")</f>
        <v>na</v>
      </c>
      <c r="G6" s="83" t="str">
        <f>IFERROR('4f'!G6/'4f'!K6*100, "na")</f>
        <v>na</v>
      </c>
      <c r="H6" s="83" t="str">
        <f>IFERROR('4f'!H6/'4f'!L6*100, "na")</f>
        <v>na</v>
      </c>
      <c r="I6" s="84" t="str">
        <f>IFERROR('4f'!I6/'4f'!M6*100, "na")</f>
        <v>na</v>
      </c>
      <c r="J6" s="82" t="str">
        <f>IFERROR('4f'!J6/'4f'!J6*100, "na")</f>
        <v>na</v>
      </c>
      <c r="K6" s="83" t="str">
        <f>IFERROR('4f'!K6/'4f'!K6*100, "na")</f>
        <v>na</v>
      </c>
      <c r="L6" s="83" t="str">
        <f>IFERROR('4f'!L6/'4f'!L6*100, "na")</f>
        <v>na</v>
      </c>
      <c r="M6" s="84" t="str">
        <f>IFERROR('4f'!M6/'4f'!M6*100, "na")</f>
        <v>na</v>
      </c>
    </row>
    <row r="7" spans="1:13">
      <c r="A7" s="185">
        <v>1982</v>
      </c>
      <c r="B7" s="85" t="str">
        <f>IFERROR('4f'!B7/'4f'!J7*100, "na")</f>
        <v>na</v>
      </c>
      <c r="C7" s="86" t="str">
        <f>IFERROR('4f'!C7/'4f'!K7*100, "na")</f>
        <v>na</v>
      </c>
      <c r="D7" s="86" t="str">
        <f>IFERROR('4f'!D7/'4f'!L7*100, "na")</f>
        <v>na</v>
      </c>
      <c r="E7" s="87" t="str">
        <f>IFERROR('4f'!E7/'4f'!M7*100, "na")</f>
        <v>na</v>
      </c>
      <c r="F7" s="85" t="str">
        <f>IFERROR('4f'!F7/'4f'!J7*100, "na")</f>
        <v>na</v>
      </c>
      <c r="G7" s="86" t="str">
        <f>IFERROR('4f'!G7/'4f'!K7*100, "na")</f>
        <v>na</v>
      </c>
      <c r="H7" s="86" t="str">
        <f>IFERROR('4f'!H7/'4f'!L7*100, "na")</f>
        <v>na</v>
      </c>
      <c r="I7" s="87" t="str">
        <f>IFERROR('4f'!I7/'4f'!M7*100, "na")</f>
        <v>na</v>
      </c>
      <c r="J7" s="85" t="str">
        <f>IFERROR('4f'!J7/'4f'!J7*100, "na")</f>
        <v>na</v>
      </c>
      <c r="K7" s="86" t="str">
        <f>IFERROR('4f'!K7/'4f'!K7*100, "na")</f>
        <v>na</v>
      </c>
      <c r="L7" s="86" t="str">
        <f>IFERROR('4f'!L7/'4f'!L7*100, "na")</f>
        <v>na</v>
      </c>
      <c r="M7" s="87" t="str">
        <f>IFERROR('4f'!M7/'4f'!M7*100, "na")</f>
        <v>na</v>
      </c>
    </row>
    <row r="8" spans="1:13">
      <c r="A8" s="185">
        <v>1983</v>
      </c>
      <c r="B8" s="85" t="str">
        <f>IFERROR('4f'!B8/'4f'!J8*100, "na")</f>
        <v>na</v>
      </c>
      <c r="C8" s="86" t="str">
        <f>IFERROR('4f'!C8/'4f'!K8*100, "na")</f>
        <v>na</v>
      </c>
      <c r="D8" s="86" t="str">
        <f>IFERROR('4f'!D8/'4f'!L8*100, "na")</f>
        <v>na</v>
      </c>
      <c r="E8" s="87" t="str">
        <f>IFERROR('4f'!E8/'4f'!M8*100, "na")</f>
        <v>na</v>
      </c>
      <c r="F8" s="85" t="str">
        <f>IFERROR('4f'!F8/'4f'!J8*100, "na")</f>
        <v>na</v>
      </c>
      <c r="G8" s="86" t="str">
        <f>IFERROR('4f'!G8/'4f'!K8*100, "na")</f>
        <v>na</v>
      </c>
      <c r="H8" s="86" t="str">
        <f>IFERROR('4f'!H8/'4f'!L8*100, "na")</f>
        <v>na</v>
      </c>
      <c r="I8" s="87" t="str">
        <f>IFERROR('4f'!I8/'4f'!M8*100, "na")</f>
        <v>na</v>
      </c>
      <c r="J8" s="85" t="str">
        <f>IFERROR('4f'!J8/'4f'!J8*100, "na")</f>
        <v>na</v>
      </c>
      <c r="K8" s="86" t="str">
        <f>IFERROR('4f'!K8/'4f'!K8*100, "na")</f>
        <v>na</v>
      </c>
      <c r="L8" s="86" t="str">
        <f>IFERROR('4f'!L8/'4f'!L8*100, "na")</f>
        <v>na</v>
      </c>
      <c r="M8" s="87" t="str">
        <f>IFERROR('4f'!M8/'4f'!M8*100, "na")</f>
        <v>na</v>
      </c>
    </row>
    <row r="9" spans="1:13">
      <c r="A9" s="185">
        <v>1984</v>
      </c>
      <c r="B9" s="85" t="str">
        <f>IFERROR('4f'!B9/'4f'!J9*100, "na")</f>
        <v>na</v>
      </c>
      <c r="C9" s="86" t="str">
        <f>IFERROR('4f'!C9/'4f'!K9*100, "na")</f>
        <v>na</v>
      </c>
      <c r="D9" s="86" t="str">
        <f>IFERROR('4f'!D9/'4f'!L9*100, "na")</f>
        <v>na</v>
      </c>
      <c r="E9" s="87" t="str">
        <f>IFERROR('4f'!E9/'4f'!M9*100, "na")</f>
        <v>na</v>
      </c>
      <c r="F9" s="85" t="str">
        <f>IFERROR('4f'!F9/'4f'!J9*100, "na")</f>
        <v>na</v>
      </c>
      <c r="G9" s="86" t="str">
        <f>IFERROR('4f'!G9/'4f'!K9*100, "na")</f>
        <v>na</v>
      </c>
      <c r="H9" s="86" t="str">
        <f>IFERROR('4f'!H9/'4f'!L9*100, "na")</f>
        <v>na</v>
      </c>
      <c r="I9" s="87" t="str">
        <f>IFERROR('4f'!I9/'4f'!M9*100, "na")</f>
        <v>na</v>
      </c>
      <c r="J9" s="85" t="str">
        <f>IFERROR('4f'!J9/'4f'!J9*100, "na")</f>
        <v>na</v>
      </c>
      <c r="K9" s="86" t="str">
        <f>IFERROR('4f'!K9/'4f'!K9*100, "na")</f>
        <v>na</v>
      </c>
      <c r="L9" s="86" t="str">
        <f>IFERROR('4f'!L9/'4f'!L9*100, "na")</f>
        <v>na</v>
      </c>
      <c r="M9" s="87" t="str">
        <f>IFERROR('4f'!M9/'4f'!M9*100, "na")</f>
        <v>na</v>
      </c>
    </row>
    <row r="10" spans="1:13">
      <c r="A10" s="185">
        <v>1985</v>
      </c>
      <c r="B10" s="85" t="str">
        <f>IFERROR('4f'!B10/'4f'!J10*100, "na")</f>
        <v>na</v>
      </c>
      <c r="C10" s="86" t="str">
        <f>IFERROR('4f'!C10/'4f'!K10*100, "na")</f>
        <v>na</v>
      </c>
      <c r="D10" s="86" t="str">
        <f>IFERROR('4f'!D10/'4f'!L10*100, "na")</f>
        <v>na</v>
      </c>
      <c r="E10" s="87" t="str">
        <f>IFERROR('4f'!E10/'4f'!M10*100, "na")</f>
        <v>na</v>
      </c>
      <c r="F10" s="85" t="str">
        <f>IFERROR('4f'!F10/'4f'!J10*100, "na")</f>
        <v>na</v>
      </c>
      <c r="G10" s="86" t="str">
        <f>IFERROR('4f'!G10/'4f'!K10*100, "na")</f>
        <v>na</v>
      </c>
      <c r="H10" s="86" t="str">
        <f>IFERROR('4f'!H10/'4f'!L10*100, "na")</f>
        <v>na</v>
      </c>
      <c r="I10" s="87" t="str">
        <f>IFERROR('4f'!I10/'4f'!M10*100, "na")</f>
        <v>na</v>
      </c>
      <c r="J10" s="85" t="str">
        <f>IFERROR('4f'!J10/'4f'!J10*100, "na")</f>
        <v>na</v>
      </c>
      <c r="K10" s="86" t="str">
        <f>IFERROR('4f'!K10/'4f'!K10*100, "na")</f>
        <v>na</v>
      </c>
      <c r="L10" s="86" t="str">
        <f>IFERROR('4f'!L10/'4f'!L10*100, "na")</f>
        <v>na</v>
      </c>
      <c r="M10" s="87" t="str">
        <f>IFERROR('4f'!M10/'4f'!M10*100, "na")</f>
        <v>na</v>
      </c>
    </row>
    <row r="11" spans="1:13">
      <c r="A11" s="185">
        <v>1986</v>
      </c>
      <c r="B11" s="85" t="str">
        <f>IFERROR('4f'!B11/'4f'!J11*100, "na")</f>
        <v>na</v>
      </c>
      <c r="C11" s="86" t="str">
        <f>IFERROR('4f'!C11/'4f'!K11*100, "na")</f>
        <v>na</v>
      </c>
      <c r="D11" s="86" t="str">
        <f>IFERROR('4f'!D11/'4f'!L11*100, "na")</f>
        <v>na</v>
      </c>
      <c r="E11" s="87" t="str">
        <f>IFERROR('4f'!E11/'4f'!M11*100, "na")</f>
        <v>na</v>
      </c>
      <c r="F11" s="85" t="str">
        <f>IFERROR('4f'!F11/'4f'!J11*100, "na")</f>
        <v>na</v>
      </c>
      <c r="G11" s="86" t="str">
        <f>IFERROR('4f'!G11/'4f'!K11*100, "na")</f>
        <v>na</v>
      </c>
      <c r="H11" s="86" t="str">
        <f>IFERROR('4f'!H11/'4f'!L11*100, "na")</f>
        <v>na</v>
      </c>
      <c r="I11" s="87" t="str">
        <f>IFERROR('4f'!I11/'4f'!M11*100, "na")</f>
        <v>na</v>
      </c>
      <c r="J11" s="85" t="str">
        <f>IFERROR('4f'!J11/'4f'!J11*100, "na")</f>
        <v>na</v>
      </c>
      <c r="K11" s="86" t="str">
        <f>IFERROR('4f'!K11/'4f'!K11*100, "na")</f>
        <v>na</v>
      </c>
      <c r="L11" s="86" t="str">
        <f>IFERROR('4f'!L11/'4f'!L11*100, "na")</f>
        <v>na</v>
      </c>
      <c r="M11" s="87" t="str">
        <f>IFERROR('4f'!M11/'4f'!M11*100, "na")</f>
        <v>na</v>
      </c>
    </row>
    <row r="12" spans="1:13">
      <c r="A12" s="185">
        <v>1987</v>
      </c>
      <c r="B12" s="85" t="str">
        <f>IFERROR('4f'!B12/'4f'!J12*100, "na")</f>
        <v>na</v>
      </c>
      <c r="C12" s="86" t="str">
        <f>IFERROR('4f'!C12/'4f'!K12*100, "na")</f>
        <v>na</v>
      </c>
      <c r="D12" s="86" t="str">
        <f>IFERROR('4f'!D12/'4f'!L12*100, "na")</f>
        <v>na</v>
      </c>
      <c r="E12" s="87" t="str">
        <f>IFERROR('4f'!E12/'4f'!M12*100, "na")</f>
        <v>na</v>
      </c>
      <c r="F12" s="85" t="str">
        <f>IFERROR('4f'!F12/'4f'!J12*100, "na")</f>
        <v>na</v>
      </c>
      <c r="G12" s="86" t="str">
        <f>IFERROR('4f'!G12/'4f'!K12*100, "na")</f>
        <v>na</v>
      </c>
      <c r="H12" s="86" t="str">
        <f>IFERROR('4f'!H12/'4f'!L12*100, "na")</f>
        <v>na</v>
      </c>
      <c r="I12" s="87" t="str">
        <f>IFERROR('4f'!I12/'4f'!M12*100, "na")</f>
        <v>na</v>
      </c>
      <c r="J12" s="85" t="str">
        <f>IFERROR('4f'!J12/'4f'!J12*100, "na")</f>
        <v>na</v>
      </c>
      <c r="K12" s="86" t="str">
        <f>IFERROR('4f'!K12/'4f'!K12*100, "na")</f>
        <v>na</v>
      </c>
      <c r="L12" s="86" t="str">
        <f>IFERROR('4f'!L12/'4f'!L12*100, "na")</f>
        <v>na</v>
      </c>
      <c r="M12" s="87" t="str">
        <f>IFERROR('4f'!M12/'4f'!M12*100, "na")</f>
        <v>na</v>
      </c>
    </row>
    <row r="13" spans="1:13">
      <c r="A13" s="185">
        <v>1988</v>
      </c>
      <c r="B13" s="85" t="str">
        <f>IFERROR('4f'!B13/'4f'!J13*100, "na")</f>
        <v>na</v>
      </c>
      <c r="C13" s="86" t="str">
        <f>IFERROR('4f'!C13/'4f'!K13*100, "na")</f>
        <v>na</v>
      </c>
      <c r="D13" s="86" t="str">
        <f>IFERROR('4f'!D13/'4f'!L13*100, "na")</f>
        <v>na</v>
      </c>
      <c r="E13" s="87" t="str">
        <f>IFERROR('4f'!E13/'4f'!M13*100, "na")</f>
        <v>na</v>
      </c>
      <c r="F13" s="85" t="str">
        <f>IFERROR('4f'!F13/'4f'!J13*100, "na")</f>
        <v>na</v>
      </c>
      <c r="G13" s="86" t="str">
        <f>IFERROR('4f'!G13/'4f'!K13*100, "na")</f>
        <v>na</v>
      </c>
      <c r="H13" s="86" t="str">
        <f>IFERROR('4f'!H13/'4f'!L13*100, "na")</f>
        <v>na</v>
      </c>
      <c r="I13" s="87" t="str">
        <f>IFERROR('4f'!I13/'4f'!M13*100, "na")</f>
        <v>na</v>
      </c>
      <c r="J13" s="85" t="str">
        <f>IFERROR('4f'!J13/'4f'!J13*100, "na")</f>
        <v>na</v>
      </c>
      <c r="K13" s="86" t="str">
        <f>IFERROR('4f'!K13/'4f'!K13*100, "na")</f>
        <v>na</v>
      </c>
      <c r="L13" s="86" t="str">
        <f>IFERROR('4f'!L13/'4f'!L13*100, "na")</f>
        <v>na</v>
      </c>
      <c r="M13" s="87" t="str">
        <f>IFERROR('4f'!M13/'4f'!M13*100, "na")</f>
        <v>na</v>
      </c>
    </row>
    <row r="14" spans="1:13">
      <c r="A14" s="185">
        <v>1989</v>
      </c>
      <c r="B14" s="85" t="str">
        <f>IFERROR('4f'!B14/'4f'!J14*100, "na")</f>
        <v>na</v>
      </c>
      <c r="C14" s="86" t="str">
        <f>IFERROR('4f'!C14/'4f'!K14*100, "na")</f>
        <v>na</v>
      </c>
      <c r="D14" s="86" t="str">
        <f>IFERROR('4f'!D14/'4f'!L14*100, "na")</f>
        <v>na</v>
      </c>
      <c r="E14" s="87" t="str">
        <f>IFERROR('4f'!E14/'4f'!M14*100, "na")</f>
        <v>na</v>
      </c>
      <c r="F14" s="85" t="str">
        <f>IFERROR('4f'!F14/'4f'!J14*100, "na")</f>
        <v>na</v>
      </c>
      <c r="G14" s="86" t="str">
        <f>IFERROR('4f'!G14/'4f'!K14*100, "na")</f>
        <v>na</v>
      </c>
      <c r="H14" s="86" t="str">
        <f>IFERROR('4f'!H14/'4f'!L14*100, "na")</f>
        <v>na</v>
      </c>
      <c r="I14" s="87" t="str">
        <f>IFERROR('4f'!I14/'4f'!M14*100, "na")</f>
        <v>na</v>
      </c>
      <c r="J14" s="85" t="str">
        <f>IFERROR('4f'!J14/'4f'!J14*100, "na")</f>
        <v>na</v>
      </c>
      <c r="K14" s="86" t="str">
        <f>IFERROR('4f'!K14/'4f'!K14*100, "na")</f>
        <v>na</v>
      </c>
      <c r="L14" s="86" t="str">
        <f>IFERROR('4f'!L14/'4f'!L14*100, "na")</f>
        <v>na</v>
      </c>
      <c r="M14" s="87" t="str">
        <f>IFERROR('4f'!M14/'4f'!M14*100, "na")</f>
        <v>na</v>
      </c>
    </row>
    <row r="15" spans="1:13">
      <c r="A15" s="185">
        <v>1990</v>
      </c>
      <c r="B15" s="85" t="str">
        <f>IFERROR('4f'!B15/'4f'!J15*100, "na")</f>
        <v>na</v>
      </c>
      <c r="C15" s="86" t="str">
        <f>IFERROR('4f'!C15/'4f'!K15*100, "na")</f>
        <v>na</v>
      </c>
      <c r="D15" s="86" t="str">
        <f>IFERROR('4f'!D15/'4f'!L15*100, "na")</f>
        <v>na</v>
      </c>
      <c r="E15" s="87" t="str">
        <f>IFERROR('4f'!E15/'4f'!M15*100, "na")</f>
        <v>na</v>
      </c>
      <c r="F15" s="85" t="str">
        <f>IFERROR('4f'!F15/'4f'!J15*100, "na")</f>
        <v>na</v>
      </c>
      <c r="G15" s="86" t="str">
        <f>IFERROR('4f'!G15/'4f'!K15*100, "na")</f>
        <v>na</v>
      </c>
      <c r="H15" s="86" t="str">
        <f>IFERROR('4f'!H15/'4f'!L15*100, "na")</f>
        <v>na</v>
      </c>
      <c r="I15" s="87" t="str">
        <f>IFERROR('4f'!I15/'4f'!M15*100, "na")</f>
        <v>na</v>
      </c>
      <c r="J15" s="85" t="str">
        <f>IFERROR('4f'!J15/'4f'!J15*100, "na")</f>
        <v>na</v>
      </c>
      <c r="K15" s="86" t="str">
        <f>IFERROR('4f'!K15/'4f'!K15*100, "na")</f>
        <v>na</v>
      </c>
      <c r="L15" s="86" t="str">
        <f>IFERROR('4f'!L15/'4f'!L15*100, "na")</f>
        <v>na</v>
      </c>
      <c r="M15" s="87" t="str">
        <f>IFERROR('4f'!M15/'4f'!M15*100, "na")</f>
        <v>na</v>
      </c>
    </row>
    <row r="16" spans="1:13">
      <c r="A16" s="185">
        <v>1991</v>
      </c>
      <c r="B16" s="85" t="str">
        <f>IFERROR('4f'!B16/'4f'!J16*100, "na")</f>
        <v>na</v>
      </c>
      <c r="C16" s="86" t="str">
        <f>IFERROR('4f'!C16/'4f'!K16*100, "na")</f>
        <v>na</v>
      </c>
      <c r="D16" s="86" t="str">
        <f>IFERROR('4f'!D16/'4f'!L16*100, "na")</f>
        <v>na</v>
      </c>
      <c r="E16" s="87" t="str">
        <f>IFERROR('4f'!E16/'4f'!M16*100, "na")</f>
        <v>na</v>
      </c>
      <c r="F16" s="85" t="str">
        <f>IFERROR('4f'!F16/'4f'!J16*100, "na")</f>
        <v>na</v>
      </c>
      <c r="G16" s="86" t="str">
        <f>IFERROR('4f'!G16/'4f'!K16*100, "na")</f>
        <v>na</v>
      </c>
      <c r="H16" s="86" t="str">
        <f>IFERROR('4f'!H16/'4f'!L16*100, "na")</f>
        <v>na</v>
      </c>
      <c r="I16" s="87" t="str">
        <f>IFERROR('4f'!I16/'4f'!M16*100, "na")</f>
        <v>na</v>
      </c>
      <c r="J16" s="85" t="str">
        <f>IFERROR('4f'!J16/'4f'!J16*100, "na")</f>
        <v>na</v>
      </c>
      <c r="K16" s="86" t="str">
        <f>IFERROR('4f'!K16/'4f'!K16*100, "na")</f>
        <v>na</v>
      </c>
      <c r="L16" s="86" t="str">
        <f>IFERROR('4f'!L16/'4f'!L16*100, "na")</f>
        <v>na</v>
      </c>
      <c r="M16" s="87" t="str">
        <f>IFERROR('4f'!M16/'4f'!M16*100, "na")</f>
        <v>na</v>
      </c>
    </row>
    <row r="17" spans="1:13">
      <c r="A17" s="185">
        <v>1992</v>
      </c>
      <c r="B17" s="85" t="str">
        <f>IFERROR('4f'!B17/'4f'!J17*100, "na")</f>
        <v>na</v>
      </c>
      <c r="C17" s="86" t="str">
        <f>IFERROR('4f'!C17/'4f'!K17*100, "na")</f>
        <v>na</v>
      </c>
      <c r="D17" s="86" t="str">
        <f>IFERROR('4f'!D17/'4f'!L17*100, "na")</f>
        <v>na</v>
      </c>
      <c r="E17" s="87" t="str">
        <f>IFERROR('4f'!E17/'4f'!M17*100, "na")</f>
        <v>na</v>
      </c>
      <c r="F17" s="85" t="str">
        <f>IFERROR('4f'!F17/'4f'!J17*100, "na")</f>
        <v>na</v>
      </c>
      <c r="G17" s="86" t="str">
        <f>IFERROR('4f'!G17/'4f'!K17*100, "na")</f>
        <v>na</v>
      </c>
      <c r="H17" s="86" t="str">
        <f>IFERROR('4f'!H17/'4f'!L17*100, "na")</f>
        <v>na</v>
      </c>
      <c r="I17" s="87" t="str">
        <f>IFERROR('4f'!I17/'4f'!M17*100, "na")</f>
        <v>na</v>
      </c>
      <c r="J17" s="85" t="str">
        <f>IFERROR('4f'!J17/'4f'!J17*100, "na")</f>
        <v>na</v>
      </c>
      <c r="K17" s="86" t="str">
        <f>IFERROR('4f'!K17/'4f'!K17*100, "na")</f>
        <v>na</v>
      </c>
      <c r="L17" s="86" t="str">
        <f>IFERROR('4f'!L17/'4f'!L17*100, "na")</f>
        <v>na</v>
      </c>
      <c r="M17" s="87" t="str">
        <f>IFERROR('4f'!M17/'4f'!M17*100, "na")</f>
        <v>na</v>
      </c>
    </row>
    <row r="18" spans="1:13">
      <c r="A18" s="185">
        <v>1993</v>
      </c>
      <c r="B18" s="85" t="str">
        <f>IFERROR('4f'!B18/'4f'!J18*100, "na")</f>
        <v>na</v>
      </c>
      <c r="C18" s="86" t="str">
        <f>IFERROR('4f'!C18/'4f'!K18*100, "na")</f>
        <v>na</v>
      </c>
      <c r="D18" s="86" t="str">
        <f>IFERROR('4f'!D18/'4f'!L18*100, "na")</f>
        <v>na</v>
      </c>
      <c r="E18" s="87" t="str">
        <f>IFERROR('4f'!E18/'4f'!M18*100, "na")</f>
        <v>na</v>
      </c>
      <c r="F18" s="85" t="str">
        <f>IFERROR('4f'!F18/'4f'!J18*100, "na")</f>
        <v>na</v>
      </c>
      <c r="G18" s="86" t="str">
        <f>IFERROR('4f'!G18/'4f'!K18*100, "na")</f>
        <v>na</v>
      </c>
      <c r="H18" s="86" t="str">
        <f>IFERROR('4f'!H18/'4f'!L18*100, "na")</f>
        <v>na</v>
      </c>
      <c r="I18" s="87" t="str">
        <f>IFERROR('4f'!I18/'4f'!M18*100, "na")</f>
        <v>na</v>
      </c>
      <c r="J18" s="85" t="str">
        <f>IFERROR('4f'!J18/'4f'!J18*100, "na")</f>
        <v>na</v>
      </c>
      <c r="K18" s="86" t="str">
        <f>IFERROR('4f'!K18/'4f'!K18*100, "na")</f>
        <v>na</v>
      </c>
      <c r="L18" s="86" t="str">
        <f>IFERROR('4f'!L18/'4f'!L18*100, "na")</f>
        <v>na</v>
      </c>
      <c r="M18" s="87" t="str">
        <f>IFERROR('4f'!M18/'4f'!M18*100, "na")</f>
        <v>na</v>
      </c>
    </row>
    <row r="19" spans="1:13">
      <c r="A19" s="185">
        <v>1994</v>
      </c>
      <c r="B19" s="85" t="str">
        <f>IFERROR('4f'!B19/'4f'!J19*100, "na")</f>
        <v>na</v>
      </c>
      <c r="C19" s="86" t="str">
        <f>IFERROR('4f'!C19/'4f'!K19*100, "na")</f>
        <v>na</v>
      </c>
      <c r="D19" s="86" t="str">
        <f>IFERROR('4f'!D19/'4f'!L19*100, "na")</f>
        <v>na</v>
      </c>
      <c r="E19" s="87" t="str">
        <f>IFERROR('4f'!E19/'4f'!M19*100, "na")</f>
        <v>na</v>
      </c>
      <c r="F19" s="85" t="str">
        <f>IFERROR('4f'!F19/'4f'!J19*100, "na")</f>
        <v>na</v>
      </c>
      <c r="G19" s="86" t="str">
        <f>IFERROR('4f'!G19/'4f'!K19*100, "na")</f>
        <v>na</v>
      </c>
      <c r="H19" s="86" t="str">
        <f>IFERROR('4f'!H19/'4f'!L19*100, "na")</f>
        <v>na</v>
      </c>
      <c r="I19" s="87" t="str">
        <f>IFERROR('4f'!I19/'4f'!M19*100, "na")</f>
        <v>na</v>
      </c>
      <c r="J19" s="85" t="str">
        <f>IFERROR('4f'!J19/'4f'!J19*100, "na")</f>
        <v>na</v>
      </c>
      <c r="K19" s="86" t="str">
        <f>IFERROR('4f'!K19/'4f'!K19*100, "na")</f>
        <v>na</v>
      </c>
      <c r="L19" s="86" t="str">
        <f>IFERROR('4f'!L19/'4f'!L19*100, "na")</f>
        <v>na</v>
      </c>
      <c r="M19" s="87" t="str">
        <f>IFERROR('4f'!M19/'4f'!M19*100, "na")</f>
        <v>na</v>
      </c>
    </row>
    <row r="20" spans="1:13">
      <c r="A20" s="185">
        <v>1995</v>
      </c>
      <c r="B20" s="85" t="str">
        <f>IFERROR('4f'!B20/'4f'!J20*100, "na")</f>
        <v>na</v>
      </c>
      <c r="C20" s="86" t="str">
        <f>IFERROR('4f'!C20/'4f'!K20*100, "na")</f>
        <v>na</v>
      </c>
      <c r="D20" s="86" t="str">
        <f>IFERROR('4f'!D20/'4f'!L20*100, "na")</f>
        <v>na</v>
      </c>
      <c r="E20" s="87" t="str">
        <f>IFERROR('4f'!E20/'4f'!M20*100, "na")</f>
        <v>na</v>
      </c>
      <c r="F20" s="85" t="str">
        <f>IFERROR('4f'!F20/'4f'!J20*100, "na")</f>
        <v>na</v>
      </c>
      <c r="G20" s="86" t="str">
        <f>IFERROR('4f'!G20/'4f'!K20*100, "na")</f>
        <v>na</v>
      </c>
      <c r="H20" s="86" t="str">
        <f>IFERROR('4f'!H20/'4f'!L20*100, "na")</f>
        <v>na</v>
      </c>
      <c r="I20" s="87" t="str">
        <f>IFERROR('4f'!I20/'4f'!M20*100, "na")</f>
        <v>na</v>
      </c>
      <c r="J20" s="85" t="str">
        <f>IFERROR('4f'!J20/'4f'!J20*100, "na")</f>
        <v>na</v>
      </c>
      <c r="K20" s="86" t="str">
        <f>IFERROR('4f'!K20/'4f'!K20*100, "na")</f>
        <v>na</v>
      </c>
      <c r="L20" s="86" t="str">
        <f>IFERROR('4f'!L20/'4f'!L20*100, "na")</f>
        <v>na</v>
      </c>
      <c r="M20" s="87" t="str">
        <f>IFERROR('4f'!M20/'4f'!M20*100, "na")</f>
        <v>na</v>
      </c>
    </row>
    <row r="21" spans="1:13">
      <c r="A21" s="185">
        <v>1996</v>
      </c>
      <c r="B21" s="85" t="str">
        <f>IFERROR('4f'!B21/'4f'!J21*100, "na")</f>
        <v>na</v>
      </c>
      <c r="C21" s="86" t="str">
        <f>IFERROR('4f'!C21/'4f'!K21*100, "na")</f>
        <v>na</v>
      </c>
      <c r="D21" s="86" t="str">
        <f>IFERROR('4f'!D21/'4f'!L21*100, "na")</f>
        <v>na</v>
      </c>
      <c r="E21" s="87" t="str">
        <f>IFERROR('4f'!E21/'4f'!M21*100, "na")</f>
        <v>na</v>
      </c>
      <c r="F21" s="85" t="str">
        <f>IFERROR('4f'!F21/'4f'!J21*100, "na")</f>
        <v>na</v>
      </c>
      <c r="G21" s="86" t="str">
        <f>IFERROR('4f'!G21/'4f'!K21*100, "na")</f>
        <v>na</v>
      </c>
      <c r="H21" s="86" t="str">
        <f>IFERROR('4f'!H21/'4f'!L21*100, "na")</f>
        <v>na</v>
      </c>
      <c r="I21" s="87" t="str">
        <f>IFERROR('4f'!I21/'4f'!M21*100, "na")</f>
        <v>na</v>
      </c>
      <c r="J21" s="85" t="str">
        <f>IFERROR('4f'!J21/'4f'!J21*100, "na")</f>
        <v>na</v>
      </c>
      <c r="K21" s="86" t="str">
        <f>IFERROR('4f'!K21/'4f'!K21*100, "na")</f>
        <v>na</v>
      </c>
      <c r="L21" s="86" t="str">
        <f>IFERROR('4f'!L21/'4f'!L21*100, "na")</f>
        <v>na</v>
      </c>
      <c r="M21" s="87" t="str">
        <f>IFERROR('4f'!M21/'4f'!M21*100, "na")</f>
        <v>na</v>
      </c>
    </row>
    <row r="22" spans="1:13">
      <c r="A22" s="185">
        <v>1997</v>
      </c>
      <c r="B22" s="85">
        <f>IFERROR('4f'!B22/'4f'!J22*100, "na")</f>
        <v>192.74302173913043</v>
      </c>
      <c r="C22" s="86">
        <f>IFERROR('4f'!C22/'4f'!K22*100, "na")</f>
        <v>216.59026863354151</v>
      </c>
      <c r="D22" s="86">
        <f>IFERROR('4f'!D22/'4f'!L22*100, "na")</f>
        <v>35.48304721012228</v>
      </c>
      <c r="E22" s="87">
        <f>IFERROR('4f'!E22/'4f'!M22*100, "na")</f>
        <v>128.64965465275796</v>
      </c>
      <c r="F22" s="85">
        <f>IFERROR('4f'!F22/'4f'!J22*100, "na")</f>
        <v>217.86491356163734</v>
      </c>
      <c r="G22" s="86">
        <f>IFERROR('4f'!G22/'4f'!K22*100, "na")</f>
        <v>136.71227635377821</v>
      </c>
      <c r="H22" s="86">
        <f>IFERROR('4f'!H22/'4f'!L22*100, "na")</f>
        <v>9.3107952083382841</v>
      </c>
      <c r="I22" s="87">
        <f>IFERROR('4f'!I22/'4f'!M22*100, "na")</f>
        <v>84.819275551965376</v>
      </c>
      <c r="J22" s="85">
        <f>IFERROR('4f'!J22/'4f'!J22*100, "na")</f>
        <v>100</v>
      </c>
      <c r="K22" s="86">
        <f>IFERROR('4f'!K22/'4f'!K22*100, "na")</f>
        <v>100</v>
      </c>
      <c r="L22" s="86">
        <f>IFERROR('4f'!L22/'4f'!L22*100, "na")</f>
        <v>100</v>
      </c>
      <c r="M22" s="87">
        <f>IFERROR('4f'!M22/'4f'!M22*100, "na")</f>
        <v>100</v>
      </c>
    </row>
    <row r="23" spans="1:13">
      <c r="A23" s="185">
        <v>1998</v>
      </c>
      <c r="B23" s="85">
        <f>IFERROR('4f'!B23/'4f'!J23*100, "na")</f>
        <v>234.62478853921516</v>
      </c>
      <c r="C23" s="86">
        <f>IFERROR('4f'!C23/'4f'!K23*100, "na")</f>
        <v>229.56831958711766</v>
      </c>
      <c r="D23" s="86">
        <f>IFERROR('4f'!D23/'4f'!L23*100, "na")</f>
        <v>30.666894604309803</v>
      </c>
      <c r="E23" s="87">
        <f>IFERROR('4f'!E23/'4f'!M23*100, "na")</f>
        <v>145.00861365957559</v>
      </c>
      <c r="F23" s="85">
        <f>IFERROR('4f'!F23/'4f'!J23*100, "na")</f>
        <v>356.44928255250028</v>
      </c>
      <c r="G23" s="86">
        <f>IFERROR('4f'!G23/'4f'!K23*100, "na")</f>
        <v>167.5330844521946</v>
      </c>
      <c r="H23" s="86">
        <f>IFERROR('4f'!H23/'4f'!L23*100, "na")</f>
        <v>13.481221866926365</v>
      </c>
      <c r="I23" s="87">
        <f>IFERROR('4f'!I23/'4f'!M23*100, "na")</f>
        <v>126.89576164575418</v>
      </c>
      <c r="J23" s="85">
        <f>IFERROR('4f'!J23/'4f'!J23*100, "na")</f>
        <v>100</v>
      </c>
      <c r="K23" s="86">
        <f>IFERROR('4f'!K23/'4f'!K23*100, "na")</f>
        <v>100</v>
      </c>
      <c r="L23" s="86">
        <f>IFERROR('4f'!L23/'4f'!L23*100, "na")</f>
        <v>100</v>
      </c>
      <c r="M23" s="87">
        <f>IFERROR('4f'!M23/'4f'!M23*100, "na")</f>
        <v>100</v>
      </c>
    </row>
    <row r="24" spans="1:13">
      <c r="A24" s="185">
        <v>1999</v>
      </c>
      <c r="B24" s="85">
        <f>IFERROR('4f'!B24/'4f'!J24*100, "na")</f>
        <v>212.71126232983448</v>
      </c>
      <c r="C24" s="86">
        <f>IFERROR('4f'!C24/'4f'!K24*100, "na")</f>
        <v>282.70773051379933</v>
      </c>
      <c r="D24" s="86">
        <f>IFERROR('4f'!D24/'4f'!L24*100, "na")</f>
        <v>28.289962013558956</v>
      </c>
      <c r="E24" s="87">
        <f>IFERROR('4f'!E24/'4f'!M24*100, "na")</f>
        <v>168.66307689691854</v>
      </c>
      <c r="F24" s="85">
        <f>IFERROR('4f'!F24/'4f'!J24*100, "na")</f>
        <v>205.81923765552239</v>
      </c>
      <c r="G24" s="86">
        <f>IFERROR('4f'!G24/'4f'!K24*100, "na")</f>
        <v>159.54897106025112</v>
      </c>
      <c r="H24" s="86">
        <f>IFERROR('4f'!H24/'4f'!L24*100, "na")</f>
        <v>11.96490027704869</v>
      </c>
      <c r="I24" s="87">
        <f>IFERROR('4f'!I24/'4f'!M24*100, "na")</f>
        <v>107.88915660772294</v>
      </c>
      <c r="J24" s="85">
        <f>IFERROR('4f'!J24/'4f'!J24*100, "na")</f>
        <v>100</v>
      </c>
      <c r="K24" s="86">
        <f>IFERROR('4f'!K24/'4f'!K24*100, "na")</f>
        <v>100</v>
      </c>
      <c r="L24" s="86">
        <f>IFERROR('4f'!L24/'4f'!L24*100, "na")</f>
        <v>100</v>
      </c>
      <c r="M24" s="87">
        <f>IFERROR('4f'!M24/'4f'!M24*100, "na")</f>
        <v>100</v>
      </c>
    </row>
    <row r="25" spans="1:13">
      <c r="A25" s="185">
        <v>2000</v>
      </c>
      <c r="B25" s="85">
        <f>IFERROR('4f'!B25/'4f'!J25*100, "na")</f>
        <v>124.62122672680643</v>
      </c>
      <c r="C25" s="86">
        <f>IFERROR('4f'!C25/'4f'!K25*100, "na")</f>
        <v>343.82742908423648</v>
      </c>
      <c r="D25" s="86">
        <f>IFERROR('4f'!D25/'4f'!L25*100, "na")</f>
        <v>22.511187795954861</v>
      </c>
      <c r="E25" s="87">
        <f>IFERROR('4f'!E25/'4f'!M25*100, "na")</f>
        <v>174.5111205455259</v>
      </c>
      <c r="F25" s="85">
        <f>IFERROR('4f'!F25/'4f'!J25*100, "na")</f>
        <v>179.35471269326578</v>
      </c>
      <c r="G25" s="86">
        <f>IFERROR('4f'!G25/'4f'!K25*100, "na")</f>
        <v>211.75117645403998</v>
      </c>
      <c r="H25" s="86">
        <f>IFERROR('4f'!H25/'4f'!L25*100, "na")</f>
        <v>23.70034762208023</v>
      </c>
      <c r="I25" s="87">
        <f>IFERROR('4f'!I25/'4f'!M25*100, "na")</f>
        <v>131.22269520615868</v>
      </c>
      <c r="J25" s="85">
        <f>IFERROR('4f'!J25/'4f'!J25*100, "na")</f>
        <v>100</v>
      </c>
      <c r="K25" s="86">
        <f>IFERROR('4f'!K25/'4f'!K25*100, "na")</f>
        <v>100</v>
      </c>
      <c r="L25" s="86">
        <f>IFERROR('4f'!L25/'4f'!L25*100, "na")</f>
        <v>100</v>
      </c>
      <c r="M25" s="87">
        <f>IFERROR('4f'!M25/'4f'!M25*100, "na")</f>
        <v>100</v>
      </c>
    </row>
    <row r="26" spans="1:13">
      <c r="A26" s="185">
        <v>2001</v>
      </c>
      <c r="B26" s="85">
        <f>IFERROR('4f'!B26/'4f'!J26*100, "na")</f>
        <v>70.970880465167809</v>
      </c>
      <c r="C26" s="86">
        <f>IFERROR('4f'!C26/'4f'!K26*100, "na")</f>
        <v>321.18636801802592</v>
      </c>
      <c r="D26" s="86">
        <f>IFERROR('4f'!D26/'4f'!L26*100, "na")</f>
        <v>15.937225201917132</v>
      </c>
      <c r="E26" s="87">
        <f>IFERROR('4f'!E26/'4f'!M26*100, "na")</f>
        <v>151.41116945825976</v>
      </c>
      <c r="F26" s="85">
        <f>IFERROR('4f'!F26/'4f'!J26*100, "na")</f>
        <v>96.532307048649173</v>
      </c>
      <c r="G26" s="86">
        <f>IFERROR('4f'!G26/'4f'!K26*100, "na")</f>
        <v>195.70740105738028</v>
      </c>
      <c r="H26" s="86">
        <f>IFERROR('4f'!H26/'4f'!L26*100, "na")</f>
        <v>17.449255280827394</v>
      </c>
      <c r="I26" s="87">
        <f>IFERROR('4f'!I26/'4f'!M26*100, "na")</f>
        <v>105.94820993208376</v>
      </c>
      <c r="J26" s="85">
        <f>IFERROR('4f'!J26/'4f'!J26*100, "na")</f>
        <v>100</v>
      </c>
      <c r="K26" s="86">
        <f>IFERROR('4f'!K26/'4f'!K26*100, "na")</f>
        <v>100</v>
      </c>
      <c r="L26" s="86">
        <f>IFERROR('4f'!L26/'4f'!L26*100, "na")</f>
        <v>100</v>
      </c>
      <c r="M26" s="87">
        <f>IFERROR('4f'!M26/'4f'!M26*100, "na")</f>
        <v>100</v>
      </c>
    </row>
    <row r="27" spans="1:13">
      <c r="A27" s="185">
        <v>2002</v>
      </c>
      <c r="B27" s="85">
        <f>IFERROR('4f'!B27/'4f'!J27*100, "na")</f>
        <v>80.013021125255079</v>
      </c>
      <c r="C27" s="86">
        <f>IFERROR('4f'!C27/'4f'!K27*100, "na")</f>
        <v>294.79414989774762</v>
      </c>
      <c r="D27" s="86">
        <f>IFERROR('4f'!D27/'4f'!L27*100, "na")</f>
        <v>15.20486921939208</v>
      </c>
      <c r="E27" s="87">
        <f>IFERROR('4f'!E27/'4f'!M27*100, "na")</f>
        <v>141.16307903745158</v>
      </c>
      <c r="F27" s="85">
        <f>IFERROR('4f'!F27/'4f'!J27*100, "na")</f>
        <v>54.479414244512903</v>
      </c>
      <c r="G27" s="86">
        <f>IFERROR('4f'!G27/'4f'!K27*100, "na")</f>
        <v>173.0751109402072</v>
      </c>
      <c r="H27" s="86">
        <f>IFERROR('4f'!H27/'4f'!L27*100, "na")</f>
        <v>15.393972210131516</v>
      </c>
      <c r="I27" s="87">
        <f>IFERROR('4f'!I27/'4f'!M27*100, "na")</f>
        <v>86.980238933108907</v>
      </c>
      <c r="J27" s="85">
        <f>IFERROR('4f'!J27/'4f'!J27*100, "na")</f>
        <v>100</v>
      </c>
      <c r="K27" s="86">
        <f>IFERROR('4f'!K27/'4f'!K27*100, "na")</f>
        <v>100</v>
      </c>
      <c r="L27" s="86">
        <f>IFERROR('4f'!L27/'4f'!L27*100, "na")</f>
        <v>100</v>
      </c>
      <c r="M27" s="87">
        <f>IFERROR('4f'!M27/'4f'!M27*100, "na")</f>
        <v>100</v>
      </c>
    </row>
    <row r="28" spans="1:13">
      <c r="A28" s="185">
        <v>2003</v>
      </c>
      <c r="B28" s="85">
        <f>IFERROR('4f'!B28/'4f'!J28*100, "na")</f>
        <v>123.01869279836804</v>
      </c>
      <c r="C28" s="86">
        <f>IFERROR('4f'!C28/'4f'!K28*100, "na")</f>
        <v>259.26864689211897</v>
      </c>
      <c r="D28" s="86">
        <f>IFERROR('4f'!D28/'4f'!L28*100, "na")</f>
        <v>21.649297764903256</v>
      </c>
      <c r="E28" s="87">
        <f>IFERROR('4f'!E28/'4f'!M28*100, "na")</f>
        <v>139.59586516677965</v>
      </c>
      <c r="F28" s="85">
        <f>IFERROR('4f'!F28/'4f'!J28*100, "na")</f>
        <v>52.712750387166139</v>
      </c>
      <c r="G28" s="86">
        <f>IFERROR('4f'!G28/'4f'!K28*100, "na")</f>
        <v>164.10063695973713</v>
      </c>
      <c r="H28" s="86">
        <f>IFERROR('4f'!H28/'4f'!L28*100, "na")</f>
        <v>15.059870979490245</v>
      </c>
      <c r="I28" s="87">
        <f>IFERROR('4f'!I28/'4f'!M28*100, "na")</f>
        <v>82.863271446811908</v>
      </c>
      <c r="J28" s="85">
        <f>IFERROR('4f'!J28/'4f'!J28*100, "na")</f>
        <v>100</v>
      </c>
      <c r="K28" s="86">
        <f>IFERROR('4f'!K28/'4f'!K28*100, "na")</f>
        <v>100</v>
      </c>
      <c r="L28" s="86">
        <f>IFERROR('4f'!L28/'4f'!L28*100, "na")</f>
        <v>100</v>
      </c>
      <c r="M28" s="87">
        <f>IFERROR('4f'!M28/'4f'!M28*100, "na")</f>
        <v>100</v>
      </c>
    </row>
    <row r="29" spans="1:13">
      <c r="A29" s="185">
        <v>2004</v>
      </c>
      <c r="B29" s="85">
        <f>IFERROR('4f'!B29/'4f'!J29*100, "na")</f>
        <v>170.14686094636133</v>
      </c>
      <c r="C29" s="86">
        <f>IFERROR('4f'!C29/'4f'!K29*100, "na")</f>
        <v>300.34108205766057</v>
      </c>
      <c r="D29" s="86">
        <f>IFERROR('4f'!D29/'4f'!L29*100, "na")</f>
        <v>33.107884956134193</v>
      </c>
      <c r="E29" s="87">
        <f>IFERROR('4f'!E29/'4f'!M29*100, "na")</f>
        <v>173.80544139140187</v>
      </c>
      <c r="F29" s="85">
        <f>IFERROR('4f'!F29/'4f'!J29*100, "na")</f>
        <v>54.161177718515319</v>
      </c>
      <c r="G29" s="86">
        <f>IFERROR('4f'!G29/'4f'!K29*100, "na")</f>
        <v>218.94021115891667</v>
      </c>
      <c r="H29" s="86">
        <f>IFERROR('4f'!H29/'4f'!L29*100, "na")</f>
        <v>17.336625336541548</v>
      </c>
      <c r="I29" s="87">
        <f>IFERROR('4f'!I29/'4f'!M29*100, "na")</f>
        <v>105.4760648624294</v>
      </c>
      <c r="J29" s="85">
        <f>IFERROR('4f'!J29/'4f'!J29*100, "na")</f>
        <v>100</v>
      </c>
      <c r="K29" s="86">
        <f>IFERROR('4f'!K29/'4f'!K29*100, "na")</f>
        <v>100</v>
      </c>
      <c r="L29" s="86">
        <f>IFERROR('4f'!L29/'4f'!L29*100, "na")</f>
        <v>100</v>
      </c>
      <c r="M29" s="87">
        <f>IFERROR('4f'!M29/'4f'!M29*100, "na")</f>
        <v>100</v>
      </c>
    </row>
    <row r="30" spans="1:13">
      <c r="A30" s="185">
        <v>2005</v>
      </c>
      <c r="B30" s="85">
        <f>IFERROR('4f'!B30/'4f'!J30*100, "na")</f>
        <v>190.3817920708201</v>
      </c>
      <c r="C30" s="86">
        <f>IFERROR('4f'!C30/'4f'!K30*100, "na")</f>
        <v>311.94907626632283</v>
      </c>
      <c r="D30" s="86">
        <f>IFERROR('4f'!D30/'4f'!L30*100, "na")</f>
        <v>36.41033041132993</v>
      </c>
      <c r="E30" s="87">
        <f>IFERROR('4f'!E30/'4f'!M30*100, "na")</f>
        <v>189.06589813706739</v>
      </c>
      <c r="F30" s="85">
        <f>IFERROR('4f'!F30/'4f'!J30*100, "na")</f>
        <v>69.917333856154201</v>
      </c>
      <c r="G30" s="86">
        <f>IFERROR('4f'!G30/'4f'!K30*100, "na")</f>
        <v>285.44725456290979</v>
      </c>
      <c r="H30" s="86">
        <f>IFERROR('4f'!H30/'4f'!L30*100, "na")</f>
        <v>25.680370411974007</v>
      </c>
      <c r="I30" s="87">
        <f>IFERROR('4f'!I30/'4f'!M30*100, "na")</f>
        <v>139.12829458721495</v>
      </c>
      <c r="J30" s="85">
        <f>IFERROR('4f'!J30/'4f'!J30*100, "na")</f>
        <v>100</v>
      </c>
      <c r="K30" s="86">
        <f>IFERROR('4f'!K30/'4f'!K30*100, "na")</f>
        <v>100</v>
      </c>
      <c r="L30" s="86">
        <f>IFERROR('4f'!L30/'4f'!L30*100, "na")</f>
        <v>100</v>
      </c>
      <c r="M30" s="87">
        <f>IFERROR('4f'!M30/'4f'!M30*100, "na")</f>
        <v>100</v>
      </c>
    </row>
    <row r="31" spans="1:13">
      <c r="A31" s="185">
        <v>2006</v>
      </c>
      <c r="B31" s="85">
        <f>IFERROR('4f'!B31/'4f'!J31*100, "na")</f>
        <v>168.56813902035938</v>
      </c>
      <c r="C31" s="86">
        <f>IFERROR('4f'!C31/'4f'!K31*100, "na")</f>
        <v>302.92624941122364</v>
      </c>
      <c r="D31" s="86">
        <f>IFERROR('4f'!D31/'4f'!L31*100, "na")</f>
        <v>43.898220384511262</v>
      </c>
      <c r="E31" s="87">
        <f>IFERROR('4f'!E31/'4f'!M31*100, "na")</f>
        <v>182.65366848145666</v>
      </c>
      <c r="F31" s="85">
        <f>IFERROR('4f'!F31/'4f'!J31*100, "na")</f>
        <v>67.113302766381238</v>
      </c>
      <c r="G31" s="86">
        <f>IFERROR('4f'!G31/'4f'!K31*100, "na")</f>
        <v>282.94034490700278</v>
      </c>
      <c r="H31" s="86">
        <f>IFERROR('4f'!H31/'4f'!L31*100, "na")</f>
        <v>28.226547601218915</v>
      </c>
      <c r="I31" s="87">
        <f>IFERROR('4f'!I31/'4f'!M31*100, "na")</f>
        <v>136.24211440222899</v>
      </c>
      <c r="J31" s="85">
        <f>IFERROR('4f'!J31/'4f'!J31*100, "na")</f>
        <v>100</v>
      </c>
      <c r="K31" s="86">
        <f>IFERROR('4f'!K31/'4f'!K31*100, "na")</f>
        <v>100</v>
      </c>
      <c r="L31" s="86">
        <f>IFERROR('4f'!L31/'4f'!L31*100, "na")</f>
        <v>100</v>
      </c>
      <c r="M31" s="87">
        <f>IFERROR('4f'!M31/'4f'!M31*100, "na")</f>
        <v>100</v>
      </c>
    </row>
    <row r="32" spans="1:13">
      <c r="A32" s="185">
        <v>2007</v>
      </c>
      <c r="B32" s="85">
        <f>IFERROR('4f'!B32/'4f'!J32*100, "na")</f>
        <v>237.84777429265219</v>
      </c>
      <c r="C32" s="86">
        <f>IFERROR('4f'!C32/'4f'!K32*100, "na")</f>
        <v>282.99336396390544</v>
      </c>
      <c r="D32" s="86">
        <f>IFERROR('4f'!D32/'4f'!L32*100, "na")</f>
        <v>80.418637277385656</v>
      </c>
      <c r="E32" s="87">
        <f>IFERROR('4f'!E32/'4f'!M32*100, "na")</f>
        <v>213.33580207625076</v>
      </c>
      <c r="F32" s="85">
        <f>IFERROR('4f'!F32/'4f'!J32*100, "na")</f>
        <v>53.250555391541489</v>
      </c>
      <c r="G32" s="86">
        <f>IFERROR('4f'!G32/'4f'!K32*100, "na")</f>
        <v>330.98585991247722</v>
      </c>
      <c r="H32" s="86">
        <f>IFERROR('4f'!H32/'4f'!L32*100, "na")</f>
        <v>28.930321644274702</v>
      </c>
      <c r="I32" s="87">
        <f>IFERROR('4f'!I32/'4f'!M32*100, "na")</f>
        <v>151.78632972545802</v>
      </c>
      <c r="J32" s="85">
        <f>IFERROR('4f'!J32/'4f'!J32*100, "na")</f>
        <v>100</v>
      </c>
      <c r="K32" s="86">
        <f>IFERROR('4f'!K32/'4f'!K32*100, "na")</f>
        <v>100</v>
      </c>
      <c r="L32" s="86">
        <f>IFERROR('4f'!L32/'4f'!L32*100, "na")</f>
        <v>100</v>
      </c>
      <c r="M32" s="87">
        <f>IFERROR('4f'!M32/'4f'!M32*100, "na")</f>
        <v>100</v>
      </c>
    </row>
    <row r="33" spans="1:13">
      <c r="A33" s="185">
        <v>2008</v>
      </c>
      <c r="B33" s="85" t="str">
        <f>IFERROR('4f'!B33/'4f'!J33*100, "na")</f>
        <v>na</v>
      </c>
      <c r="C33" s="86" t="str">
        <f>IFERROR('4f'!C33/'4f'!K33*100, "na")</f>
        <v>na</v>
      </c>
      <c r="D33" s="86" t="str">
        <f>IFERROR('4f'!D33/'4f'!L33*100, "na")</f>
        <v>na</v>
      </c>
      <c r="E33" s="87" t="str">
        <f>IFERROR('4f'!E33/'4f'!M33*100, "na")</f>
        <v>na</v>
      </c>
      <c r="F33" s="85" t="str">
        <f>IFERROR('4f'!F33/'4f'!J33*100, "na")</f>
        <v>na</v>
      </c>
      <c r="G33" s="86" t="str">
        <f>IFERROR('4f'!G33/'4f'!K33*100, "na")</f>
        <v>na</v>
      </c>
      <c r="H33" s="86" t="str">
        <f>IFERROR('4f'!H33/'4f'!L33*100, "na")</f>
        <v>na</v>
      </c>
      <c r="I33" s="87" t="str">
        <f>IFERROR('4f'!I33/'4f'!M33*100, "na")</f>
        <v>na</v>
      </c>
      <c r="J33" s="85">
        <f>IFERROR('4f'!J33/'4f'!J33*100, "na")</f>
        <v>100</v>
      </c>
      <c r="K33" s="86">
        <f>IFERROR('4f'!K33/'4f'!K33*100, "na")</f>
        <v>100</v>
      </c>
      <c r="L33" s="86">
        <f>IFERROR('4f'!L33/'4f'!L33*100, "na")</f>
        <v>100</v>
      </c>
      <c r="M33" s="87">
        <f>IFERROR('4f'!M33/'4f'!M33*100, "na")</f>
        <v>100</v>
      </c>
    </row>
    <row r="34" spans="1:13">
      <c r="A34" s="57">
        <f>A33+1</f>
        <v>2009</v>
      </c>
      <c r="B34" s="85" t="str">
        <f>IFERROR('4f'!B34/'4f'!J34*100, "na")</f>
        <v>na</v>
      </c>
      <c r="C34" s="86" t="str">
        <f>IFERROR('4f'!C34/'4f'!K34*100, "na")</f>
        <v>na</v>
      </c>
      <c r="D34" s="86" t="str">
        <f>IFERROR('4f'!D34/'4f'!L34*100, "na")</f>
        <v>na</v>
      </c>
      <c r="E34" s="87" t="str">
        <f>IFERROR('4f'!E34/'4f'!M34*100, "na")</f>
        <v>na</v>
      </c>
      <c r="F34" s="85" t="str">
        <f>IFERROR('4f'!F34/'4f'!J34*100, "na")</f>
        <v>na</v>
      </c>
      <c r="G34" s="86" t="str">
        <f>IFERROR('4f'!G34/'4f'!K34*100, "na")</f>
        <v>na</v>
      </c>
      <c r="H34" s="86" t="str">
        <f>IFERROR('4f'!H34/'4f'!L34*100, "na")</f>
        <v>na</v>
      </c>
      <c r="I34" s="87" t="str">
        <f>IFERROR('4f'!I34/'4f'!M34*100, "na")</f>
        <v>na</v>
      </c>
      <c r="J34" s="85">
        <f>IFERROR('4f'!J34/'4f'!J34*100, "na")</f>
        <v>100</v>
      </c>
      <c r="K34" s="86">
        <f>IFERROR('4f'!K34/'4f'!K34*100, "na")</f>
        <v>100</v>
      </c>
      <c r="L34" s="86">
        <f>IFERROR('4f'!L34/'4f'!L34*100, "na")</f>
        <v>100</v>
      </c>
      <c r="M34" s="87">
        <f>IFERROR('4f'!M34/'4f'!M34*100, "na")</f>
        <v>100</v>
      </c>
    </row>
    <row r="35" spans="1:13">
      <c r="A35" s="58">
        <f t="shared" ref="A35" si="0">A34+1</f>
        <v>2010</v>
      </c>
      <c r="B35" s="88" t="str">
        <f>IFERROR('4f'!B35/'4f'!J35*100, "na")</f>
        <v>na</v>
      </c>
      <c r="C35" s="89" t="str">
        <f>IFERROR('4f'!C35/'4f'!K35*100, "na")</f>
        <v>na</v>
      </c>
      <c r="D35" s="89" t="str">
        <f>IFERROR('4f'!D35/'4f'!L35*100, "na")</f>
        <v>na</v>
      </c>
      <c r="E35" s="90" t="str">
        <f>IFERROR('4f'!E35/'4f'!M35*100, "na")</f>
        <v>na</v>
      </c>
      <c r="F35" s="88" t="str">
        <f>IFERROR('4f'!F35/'4f'!J35*100, "na")</f>
        <v>na</v>
      </c>
      <c r="G35" s="89" t="str">
        <f>IFERROR('4f'!G35/'4f'!K35*100, "na")</f>
        <v>na</v>
      </c>
      <c r="H35" s="89" t="str">
        <f>IFERROR('4f'!H35/'4f'!L35*100, "na")</f>
        <v>na</v>
      </c>
      <c r="I35" s="90" t="str">
        <f>IFERROR('4f'!I35/'4f'!M35*100, "na")</f>
        <v>na</v>
      </c>
      <c r="J35" s="88">
        <f>IFERROR('4f'!J35/'4f'!J35*100, "na")</f>
        <v>100</v>
      </c>
      <c r="K35" s="89">
        <f>IFERROR('4f'!K35/'4f'!K35*100, "na")</f>
        <v>100</v>
      </c>
      <c r="L35" s="89">
        <f>IFERROR('4f'!L35/'4f'!L35*100, "na")</f>
        <v>100</v>
      </c>
      <c r="M35" s="90">
        <f>IFERROR('4f'!M35/'4f'!M35*100,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122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M31"/>
  <sheetViews>
    <sheetView zoomScaleNormal="100" workbookViewId="0">
      <selection activeCell="A32" sqref="A32"/>
    </sheetView>
  </sheetViews>
  <sheetFormatPr defaultRowHeight="15"/>
  <cols>
    <col min="1" max="1" width="10.140625" customWidth="1"/>
    <col min="2" max="2" width="11.140625" customWidth="1"/>
    <col min="4" max="4" width="17.85546875" customWidth="1"/>
    <col min="6" max="6" width="10.85546875" customWidth="1"/>
    <col min="8" max="8" width="17.5703125" customWidth="1"/>
    <col min="10" max="10" width="11.140625" customWidth="1"/>
    <col min="12" max="12" width="18.85546875" customWidth="1"/>
  </cols>
  <sheetData>
    <row r="1" spans="1:13">
      <c r="A1" s="2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112">
        <f>IFERROR('1n'!$B$15*'4c'!B17,"na")</f>
        <v>177.83815322171489</v>
      </c>
      <c r="C5" s="113">
        <f>IFERROR('1n'!$B$15*'4c'!C17,"na")</f>
        <v>2841.8867326230343</v>
      </c>
      <c r="D5" s="113">
        <f>IFERROR('1n'!$B$15*'4c'!D17,"na")</f>
        <v>398.12747336377475</v>
      </c>
      <c r="E5" s="97">
        <f>IFERROR('1n'!$B$15*'4c'!E17,"na")</f>
        <v>3417.8523592085239</v>
      </c>
      <c r="F5" s="112">
        <f>IFERROR('1n'!$B$15*'4c'!F17,"na")</f>
        <v>80.626170564374775</v>
      </c>
      <c r="G5" s="113">
        <f>IFERROR('1n'!$B$15*'4c'!G17,"na")</f>
        <v>408.38840202313588</v>
      </c>
      <c r="H5" s="113">
        <f>IFERROR('1n'!$B$15*'4c'!H17,"na")</f>
        <v>240.79783664680255</v>
      </c>
      <c r="I5" s="97">
        <f>IFERROR('1n'!$B$15*'4c'!I17,"na")</f>
        <v>729.81240923431324</v>
      </c>
      <c r="J5" s="112" t="str">
        <f>IFERROR('1n'!$B$15*'4c'!J17,"na")</f>
        <v>na</v>
      </c>
      <c r="K5" s="113" t="str">
        <f>IFERROR('1n'!$B$15*'4c'!K17,"na")</f>
        <v>na</v>
      </c>
      <c r="L5" s="113" t="str">
        <f>IFERROR('1n'!$B$15*'4c'!L17,"na")</f>
        <v>na</v>
      </c>
      <c r="M5" s="97" t="str">
        <f>IFERROR('1n'!$B$15*'4c'!M17,"na")</f>
        <v>na</v>
      </c>
    </row>
    <row r="6" spans="1:13">
      <c r="A6" s="65">
        <v>1993</v>
      </c>
      <c r="B6" s="112">
        <f>IFERROR('1n'!$B$15*'4c'!B18,"na")</f>
        <v>381.29439624645897</v>
      </c>
      <c r="C6" s="113">
        <f>IFERROR('1n'!$B$15*'4c'!C18,"na")</f>
        <v>2909.4669794617566</v>
      </c>
      <c r="D6" s="113">
        <f>IFERROR('1n'!$B$15*'4c'!D18,"na")</f>
        <v>345.72277797450425</v>
      </c>
      <c r="E6" s="97">
        <f>IFERROR('1n'!$B$15*'4c'!E18,"na")</f>
        <v>3636.4841536827194</v>
      </c>
      <c r="F6" s="112">
        <f>IFERROR('1n'!$B$15*'4c'!F18,"na")</f>
        <v>67.515711063316374</v>
      </c>
      <c r="G6" s="113">
        <f>IFERROR('1n'!$B$15*'4c'!G18,"na")</f>
        <v>473.37103289094051</v>
      </c>
      <c r="H6" s="113">
        <f>IFERROR('1n'!$B$15*'4c'!H18,"na")</f>
        <v>211.80664113728167</v>
      </c>
      <c r="I6" s="97">
        <f>IFERROR('1n'!$B$15*'4c'!I18,"na")</f>
        <v>752.69338509153863</v>
      </c>
      <c r="J6" s="112" t="str">
        <f>IFERROR('1n'!$B$15*'4c'!J18,"na")</f>
        <v>na</v>
      </c>
      <c r="K6" s="113" t="str">
        <f>IFERROR('1n'!$B$15*'4c'!K18,"na")</f>
        <v>na</v>
      </c>
      <c r="L6" s="113" t="str">
        <f>IFERROR('1n'!$B$15*'4c'!L18,"na")</f>
        <v>na</v>
      </c>
      <c r="M6" s="97" t="str">
        <f>IFERROR('1n'!$B$15*'4c'!M18,"na")</f>
        <v>na</v>
      </c>
    </row>
    <row r="7" spans="1:13">
      <c r="A7" s="65">
        <v>1994</v>
      </c>
      <c r="B7" s="112">
        <f>IFERROR('1n'!$B$15*'4c'!B19,"na")</f>
        <v>232.08693165570489</v>
      </c>
      <c r="C7" s="113">
        <f>IFERROR('1n'!$B$15*'4c'!C19,"na")</f>
        <v>2603.2725193022593</v>
      </c>
      <c r="D7" s="113">
        <f>IFERROR('1n'!$B$15*'4c'!D19,"na")</f>
        <v>318.22304832713746</v>
      </c>
      <c r="E7" s="97">
        <f>IFERROR('1n'!$B$15*'4c'!E19,"na")</f>
        <v>3153.5824992851012</v>
      </c>
      <c r="F7" s="112">
        <f>IFERROR('1n'!$B$15*'4c'!F19,"na")</f>
        <v>81.763126741581232</v>
      </c>
      <c r="G7" s="113">
        <f>IFERROR('1n'!$B$15*'4c'!G19,"na")</f>
        <v>539.15278561932007</v>
      </c>
      <c r="H7" s="113">
        <f>IFERROR('1n'!$B$15*'4c'!H19,"na")</f>
        <v>185.29243994390518</v>
      </c>
      <c r="I7" s="97">
        <f>IFERROR('1n'!$B$15*'4c'!I19,"na")</f>
        <v>806.20835230480623</v>
      </c>
      <c r="J7" s="112" t="str">
        <f>IFERROR('1n'!$B$15*'4c'!J19,"na")</f>
        <v>na</v>
      </c>
      <c r="K7" s="113" t="str">
        <f>IFERROR('1n'!$B$15*'4c'!K19,"na")</f>
        <v>na</v>
      </c>
      <c r="L7" s="113" t="str">
        <f>IFERROR('1n'!$B$15*'4c'!L19,"na")</f>
        <v>na</v>
      </c>
      <c r="M7" s="97" t="str">
        <f>IFERROR('1n'!$B$15*'4c'!M19,"na")</f>
        <v>na</v>
      </c>
    </row>
    <row r="8" spans="1:13">
      <c r="A8" s="65">
        <v>1995</v>
      </c>
      <c r="B8" s="112">
        <f>IFERROR('1n'!$B$15*'4c'!B20,"na")</f>
        <v>170.65592264302981</v>
      </c>
      <c r="C8" s="113">
        <f>IFERROR('1n'!$B$15*'4c'!C20,"na")</f>
        <v>2294.3948428686549</v>
      </c>
      <c r="D8" s="113">
        <f>IFERROR('1n'!$B$15*'4c'!D20,"na")</f>
        <v>246.41095890410958</v>
      </c>
      <c r="E8" s="97">
        <f>IFERROR('1n'!$B$15*'4c'!E20,"na")</f>
        <v>2711.4617244157944</v>
      </c>
      <c r="F8" s="112">
        <f>IFERROR('1n'!$B$15*'4c'!F20,"na")</f>
        <v>165.93631524528016</v>
      </c>
      <c r="G8" s="113">
        <f>IFERROR('1n'!$B$15*'4c'!G20,"na")</f>
        <v>676.72833454601164</v>
      </c>
      <c r="H8" s="113">
        <f>IFERROR('1n'!$B$15*'4c'!H20,"na")</f>
        <v>163.66020755945317</v>
      </c>
      <c r="I8" s="97">
        <f>IFERROR('1n'!$B$15*'4c'!I20,"na")</f>
        <v>1006.324857350745</v>
      </c>
      <c r="J8" s="112" t="str">
        <f>IFERROR('1n'!$B$15*'4c'!J20,"na")</f>
        <v>na</v>
      </c>
      <c r="K8" s="113" t="str">
        <f>IFERROR('1n'!$B$15*'4c'!K20,"na")</f>
        <v>na</v>
      </c>
      <c r="L8" s="113" t="str">
        <f>IFERROR('1n'!$B$15*'4c'!L20,"na")</f>
        <v>na</v>
      </c>
      <c r="M8" s="97" t="str">
        <f>IFERROR('1n'!$B$15*'4c'!M20,"na")</f>
        <v>na</v>
      </c>
    </row>
    <row r="9" spans="1:13">
      <c r="A9" s="65">
        <v>1996</v>
      </c>
      <c r="B9" s="112">
        <f>IFERROR('1n'!$B$15*'4c'!B21,"na")</f>
        <v>207.76777793388598</v>
      </c>
      <c r="C9" s="113">
        <f>IFERROR('1n'!$B$15*'4c'!C21,"na")</f>
        <v>2260.122915119523</v>
      </c>
      <c r="D9" s="113">
        <f>IFERROR('1n'!$B$15*'4c'!D21,"na")</f>
        <v>257.16219416735248</v>
      </c>
      <c r="E9" s="97">
        <f>IFERROR('1n'!$B$15*'4c'!E21,"na")</f>
        <v>2725.0528872207615</v>
      </c>
      <c r="F9" s="112">
        <f>IFERROR('1n'!$B$15*'4c'!F21,"na")</f>
        <v>360.02564787603524</v>
      </c>
      <c r="G9" s="113">
        <f>IFERROR('1n'!$B$15*'4c'!G21,"na")</f>
        <v>958.18380977825279</v>
      </c>
      <c r="H9" s="113">
        <f>IFERROR('1n'!$B$15*'4c'!H21,"na")</f>
        <v>147.60993855196367</v>
      </c>
      <c r="I9" s="97">
        <f>IFERROR('1n'!$B$15*'4c'!I21,"na")</f>
        <v>1465.8193962062514</v>
      </c>
      <c r="J9" s="112" t="str">
        <f>IFERROR('1n'!$B$15*'4c'!J21,"na")</f>
        <v>na</v>
      </c>
      <c r="K9" s="113" t="str">
        <f>IFERROR('1n'!$B$15*'4c'!K21,"na")</f>
        <v>na</v>
      </c>
      <c r="L9" s="113" t="str">
        <f>IFERROR('1n'!$B$15*'4c'!L21,"na")</f>
        <v>na</v>
      </c>
      <c r="M9" s="97" t="str">
        <f>IFERROR('1n'!$B$15*'4c'!M21,"na")</f>
        <v>na</v>
      </c>
    </row>
    <row r="10" spans="1:13">
      <c r="A10" s="65">
        <v>1997</v>
      </c>
      <c r="B10" s="112">
        <f>IFERROR('1n'!$B$15*'4c'!B22,"na")</f>
        <v>591.39325802143856</v>
      </c>
      <c r="C10" s="113">
        <f>IFERROR('1n'!$B$15*'4c'!C22,"na")</f>
        <v>2781.0221965568262</v>
      </c>
      <c r="D10" s="113">
        <f>IFERROR('1n'!$B$15*'4c'!D22,"na")</f>
        <v>504.94492366549969</v>
      </c>
      <c r="E10" s="97">
        <f>IFERROR('1n'!$B$15*'4c'!E22,"na")</f>
        <v>3877.3603782437649</v>
      </c>
      <c r="F10" s="112">
        <f>IFERROR('1n'!$B$15*'4c'!F22,"na")</f>
        <v>684.62474240222127</v>
      </c>
      <c r="G10" s="113">
        <f>IFERROR('1n'!$B$15*'4c'!G22,"na")</f>
        <v>1797.7968719495007</v>
      </c>
      <c r="H10" s="113">
        <f>IFERROR('1n'!$B$15*'4c'!H22,"na")</f>
        <v>135.69925594915293</v>
      </c>
      <c r="I10" s="97">
        <f>IFERROR('1n'!$B$15*'4c'!I22,"na")</f>
        <v>2618.1208703008747</v>
      </c>
      <c r="J10" s="112">
        <f>IFERROR('1n'!$B$15*'4c'!J22,"na")</f>
        <v>28.375788844159203</v>
      </c>
      <c r="K10" s="113">
        <f>IFERROR('1n'!$B$15*'4c'!K22,"na")</f>
        <v>118.74511519133098</v>
      </c>
      <c r="L10" s="113">
        <f>IFERROR('1n'!$B$15*'4c'!L22,"na")</f>
        <v>131.60528782212066</v>
      </c>
      <c r="M10" s="97">
        <f>IFERROR('1n'!$B$15*'4c'!M22,"na")</f>
        <v>278.7261918576109</v>
      </c>
    </row>
    <row r="11" spans="1:13">
      <c r="A11" s="65">
        <v>1998</v>
      </c>
      <c r="B11" s="112">
        <f>IFERROR('1n'!$B$15*'4c'!B23,"na")</f>
        <v>1018.8324415657562</v>
      </c>
      <c r="C11" s="113">
        <f>IFERROR('1n'!$B$15*'4c'!C23,"na")</f>
        <v>3243.1820365431445</v>
      </c>
      <c r="D11" s="113">
        <f>IFERROR('1n'!$B$15*'4c'!D23,"na")</f>
        <v>424.76773733993747</v>
      </c>
      <c r="E11" s="97">
        <f>IFERROR('1n'!$B$15*'4c'!E23,"na")</f>
        <v>4686.7822154488376</v>
      </c>
      <c r="F11" s="112">
        <f>IFERROR('1n'!$B$15*'4c'!F23,"na")</f>
        <v>1861.5232174081989</v>
      </c>
      <c r="G11" s="113">
        <f>IFERROR('1n'!$B$15*'4c'!G23,"na")</f>
        <v>2846.4384431060166</v>
      </c>
      <c r="H11" s="113">
        <f>IFERROR('1n'!$B$15*'4c'!H23,"na")</f>
        <v>224.57055890162556</v>
      </c>
      <c r="I11" s="97">
        <f>IFERROR('1n'!$B$15*'4c'!I23,"na")</f>
        <v>4932.5322194158416</v>
      </c>
      <c r="J11" s="112">
        <f>IFERROR('1n'!$B$15*'4c'!J23,"na")</f>
        <v>40.444727786720229</v>
      </c>
      <c r="K11" s="113">
        <f>IFERROR('1n'!$B$15*'4c'!K23,"na")</f>
        <v>131.58076781031153</v>
      </c>
      <c r="L11" s="113">
        <f>IFERROR('1n'!$B$15*'4c'!L23,"na")</f>
        <v>129.00744323184946</v>
      </c>
      <c r="M11" s="97">
        <f>IFERROR('1n'!$B$15*'4c'!M23,"na")</f>
        <v>301.03293882888124</v>
      </c>
    </row>
    <row r="12" spans="1:13">
      <c r="A12" s="65">
        <v>1999</v>
      </c>
      <c r="B12" s="112">
        <f>IFERROR('1n'!$B$15*'4c'!B24,"na")</f>
        <v>1252.2725</v>
      </c>
      <c r="C12" s="113">
        <f>IFERROR('1n'!$B$15*'4c'!C24,"na")</f>
        <v>4296.9350000000004</v>
      </c>
      <c r="D12" s="113">
        <f>IFERROR('1n'!$B$15*'4c'!D24,"na")</f>
        <v>401.59875000000005</v>
      </c>
      <c r="E12" s="97">
        <f>IFERROR('1n'!$B$15*'4c'!E24,"na")</f>
        <v>5950.8062500000005</v>
      </c>
      <c r="F12" s="112">
        <f>IFERROR('1n'!$B$15*'4c'!F24,"na")</f>
        <v>1330.6862075713759</v>
      </c>
      <c r="G12" s="113">
        <f>IFERROR('1n'!$B$15*'4c'!G24,"na")</f>
        <v>2663.1549718410924</v>
      </c>
      <c r="H12" s="113">
        <f>IFERROR('1n'!$B$15*'4c'!H24,"na")</f>
        <v>186.5307356106895</v>
      </c>
      <c r="I12" s="97">
        <f>IFERROR('1n'!$B$15*'4c'!I24,"na")</f>
        <v>4180.3719150231573</v>
      </c>
      <c r="J12" s="112">
        <f>IFERROR('1n'!$B$15*'4c'!J24,"na")</f>
        <v>54.261023690635604</v>
      </c>
      <c r="K12" s="113">
        <f>IFERROR('1n'!$B$15*'4c'!K24,"na")</f>
        <v>140.08793199073213</v>
      </c>
      <c r="L12" s="113">
        <f>IFERROR('1n'!$B$15*'4c'!L24,"na")</f>
        <v>130.83972189656379</v>
      </c>
      <c r="M12" s="97">
        <f>IFERROR('1n'!$B$15*'4c'!M24,"na")</f>
        <v>325.18867757793151</v>
      </c>
    </row>
    <row r="13" spans="1:13">
      <c r="A13" s="65">
        <v>2000</v>
      </c>
      <c r="B13" s="112">
        <f>IFERROR('1n'!$B$15*'4c'!B25,"na")</f>
        <v>904.64387818520845</v>
      </c>
      <c r="C13" s="113">
        <f>IFERROR('1n'!$B$15*'4c'!C25,"na")</f>
        <v>5305.7812305779989</v>
      </c>
      <c r="D13" s="113">
        <f>IFERROR('1n'!$B$15*'4c'!D25,"na")</f>
        <v>333.32131758856434</v>
      </c>
      <c r="E13" s="97">
        <f>IFERROR('1n'!$B$15*'4c'!E25,"na")</f>
        <v>6543.7464263517713</v>
      </c>
      <c r="F13" s="112">
        <f>IFERROR('1n'!$B$15*'4c'!F25,"na")</f>
        <v>1263.6643469063988</v>
      </c>
      <c r="G13" s="113">
        <f>IFERROR('1n'!$B$15*'4c'!G25,"na")</f>
        <v>3171.5237228979377</v>
      </c>
      <c r="H13" s="113">
        <f>IFERROR('1n'!$B$15*'4c'!H25,"na")</f>
        <v>340.60632469592809</v>
      </c>
      <c r="I13" s="97">
        <f>IFERROR('1n'!$B$15*'4c'!I25,"na")</f>
        <v>4775.7943945002635</v>
      </c>
      <c r="J13" s="112">
        <f>IFERROR('1n'!$B$15*'4c'!J25,"na")</f>
        <v>68.682558682045752</v>
      </c>
      <c r="K13" s="113">
        <f>IFERROR('1n'!$B$15*'4c'!K25,"na")</f>
        <v>146.00564877395837</v>
      </c>
      <c r="L13" s="113">
        <f>IFERROR('1n'!$B$15*'4c'!L25,"na")</f>
        <v>140.09592985442285</v>
      </c>
      <c r="M13" s="97">
        <f>IFERROR('1n'!$B$15*'4c'!M25,"na")</f>
        <v>354.78413731042696</v>
      </c>
    </row>
    <row r="14" spans="1:13">
      <c r="A14" s="65">
        <v>2001</v>
      </c>
      <c r="B14" s="112">
        <f>IFERROR('1n'!$B$15*'4c'!B26,"na")</f>
        <v>576.08121974830601</v>
      </c>
      <c r="C14" s="113">
        <f>IFERROR('1n'!$B$15*'4c'!C26,"na")</f>
        <v>5317.5046466602125</v>
      </c>
      <c r="D14" s="113">
        <f>IFERROR('1n'!$B$15*'4c'!D26,"na")</f>
        <v>253.84733785091964</v>
      </c>
      <c r="E14" s="97">
        <f>IFERROR('1n'!$B$15*'4c'!E26,"na")</f>
        <v>6147.4332042594388</v>
      </c>
      <c r="F14" s="112">
        <f>IFERROR('1n'!$B$15*'4c'!F26,"na")</f>
        <v>755.50189498786369</v>
      </c>
      <c r="G14" s="113">
        <f>IFERROR('1n'!$B$15*'4c'!G26,"na")</f>
        <v>3124.045650044714</v>
      </c>
      <c r="H14" s="113">
        <f>IFERROR('1n'!$B$15*'4c'!H26,"na")</f>
        <v>267.97615296171699</v>
      </c>
      <c r="I14" s="97">
        <f>IFERROR('1n'!$B$15*'4c'!I26,"na")</f>
        <v>4147.5236979942938</v>
      </c>
      <c r="J14" s="112">
        <f>IFERROR('1n'!$B$15*'4c'!J26,"na")</f>
        <v>75.344498442631178</v>
      </c>
      <c r="K14" s="113">
        <f>IFERROR('1n'!$B$15*'4c'!K26,"na")</f>
        <v>153.67343377348612</v>
      </c>
      <c r="L14" s="113">
        <f>IFERROR('1n'!$B$15*'4c'!L26,"na")</f>
        <v>147.84543709446274</v>
      </c>
      <c r="M14" s="97">
        <f>IFERROR('1n'!$B$15*'4c'!M26,"na")</f>
        <v>376.86336931058003</v>
      </c>
    </row>
    <row r="15" spans="1:13">
      <c r="A15" s="65">
        <v>2002</v>
      </c>
      <c r="B15" s="112">
        <f>IFERROR('1n'!$B$15*'4c'!B27,"na")</f>
        <v>736.84538410757114</v>
      </c>
      <c r="C15" s="113">
        <f>IFERROR('1n'!$B$15*'4c'!C27,"na")</f>
        <v>5017.8992738264833</v>
      </c>
      <c r="D15" s="113">
        <f>IFERROR('1n'!$B$15*'4c'!D27,"na")</f>
        <v>247.69559779020878</v>
      </c>
      <c r="E15" s="97">
        <f>IFERROR('1n'!$B$15*'4c'!E27,"na")</f>
        <v>6002.440255724262</v>
      </c>
      <c r="F15" s="112">
        <f>IFERROR('1n'!$B$15*'4c'!F27,"na")</f>
        <v>482.78308391862174</v>
      </c>
      <c r="G15" s="113">
        <f>IFERROR('1n'!$B$15*'4c'!G27,"na")</f>
        <v>2834.9252609781602</v>
      </c>
      <c r="H15" s="113">
        <f>IFERROR('1n'!$B$15*'4c'!H27,"na")</f>
        <v>241.3182759430438</v>
      </c>
      <c r="I15" s="97">
        <f>IFERROR('1n'!$B$15*'4c'!I27,"na")</f>
        <v>3559.0266208398261</v>
      </c>
      <c r="J15" s="112">
        <f>IFERROR('1n'!$B$15*'4c'!J27,"na")</f>
        <v>82.668798059171593</v>
      </c>
      <c r="K15" s="113">
        <f>IFERROR('1n'!$B$15*'4c'!K27,"na")</f>
        <v>152.80198756855518</v>
      </c>
      <c r="L15" s="113">
        <f>IFERROR('1n'!$B$15*'4c'!L27,"na")</f>
        <v>146.23843271109868</v>
      </c>
      <c r="M15" s="97">
        <f>IFERROR('1n'!$B$15*'4c'!M27,"na")</f>
        <v>381.70921833882545</v>
      </c>
    </row>
    <row r="16" spans="1:13">
      <c r="A16" s="65">
        <v>2003</v>
      </c>
      <c r="B16" s="112">
        <f>IFERROR('1n'!$B$15*'4c'!B28,"na")</f>
        <v>1244.2271374727238</v>
      </c>
      <c r="C16" s="113">
        <f>IFERROR('1n'!$B$15*'4c'!C28,"na")</f>
        <v>4346.1893473517175</v>
      </c>
      <c r="D16" s="113">
        <f>IFERROR('1n'!$B$15*'4c'!D28,"na")</f>
        <v>337.44941479865111</v>
      </c>
      <c r="E16" s="97">
        <f>IFERROR('1n'!$B$15*'4c'!E28,"na")</f>
        <v>5927.8658996230924</v>
      </c>
      <c r="F16" s="112">
        <f>IFERROR('1n'!$B$15*'4c'!F28,"na")</f>
        <v>557.9673110720563</v>
      </c>
      <c r="G16" s="113">
        <f>IFERROR('1n'!$B$15*'4c'!G28,"na")</f>
        <v>2878.9453866432336</v>
      </c>
      <c r="H16" s="113">
        <f>IFERROR('1n'!$B$15*'4c'!H28,"na")</f>
        <v>245.66915641476271</v>
      </c>
      <c r="I16" s="97">
        <f>IFERROR('1n'!$B$15*'4c'!I28,"na")</f>
        <v>3682.5818541300523</v>
      </c>
      <c r="J16" s="112">
        <f>IFERROR('1n'!$B$15*'4c'!J28,"na")</f>
        <v>93.562242810394793</v>
      </c>
      <c r="K16" s="113">
        <f>IFERROR('1n'!$B$15*'4c'!K28,"na")</f>
        <v>155.07104167934571</v>
      </c>
      <c r="L16" s="113">
        <f>IFERROR('1n'!$B$15*'4c'!L28,"na")</f>
        <v>144.19059300491091</v>
      </c>
      <c r="M16" s="97">
        <f>IFERROR('1n'!$B$15*'4c'!M28,"na")</f>
        <v>392.82387749465141</v>
      </c>
    </row>
    <row r="17" spans="1:13">
      <c r="A17" s="65">
        <v>2004</v>
      </c>
      <c r="B17" s="112">
        <f>IFERROR('1n'!$B$15*'4c'!B29,"na")</f>
        <v>1768.0353598952304</v>
      </c>
      <c r="C17" s="113">
        <f>IFERROR('1n'!$B$15*'4c'!C29,"na")</f>
        <v>4474.0548028005842</v>
      </c>
      <c r="D17" s="113">
        <f>IFERROR('1n'!$B$15*'4c'!D29,"na")</f>
        <v>434.60585301969473</v>
      </c>
      <c r="E17" s="97">
        <f>IFERROR('1n'!$B$15*'4c'!E29,"na")</f>
        <v>6676.6960157155099</v>
      </c>
      <c r="F17" s="112">
        <f>IFERROR('1n'!$B$15*'4c'!F29,"na")</f>
        <v>673.19572319572319</v>
      </c>
      <c r="G17" s="113">
        <f>IFERROR('1n'!$B$15*'4c'!G29,"na")</f>
        <v>3901.2010692010695</v>
      </c>
      <c r="H17" s="113">
        <f>IFERROR('1n'!$B$15*'4c'!H29,"na")</f>
        <v>272.21681021681019</v>
      </c>
      <c r="I17" s="97">
        <f>IFERROR('1n'!$B$15*'4c'!I29,"na")</f>
        <v>4846.6136026136019</v>
      </c>
      <c r="J17" s="112">
        <f>IFERROR('1n'!$B$15*'4c'!J29,"na")</f>
        <v>114.24732505651127</v>
      </c>
      <c r="K17" s="113">
        <f>IFERROR('1n'!$B$15*'4c'!K29,"na")</f>
        <v>163.78178255980538</v>
      </c>
      <c r="L17" s="113">
        <f>IFERROR('1n'!$B$15*'4c'!L29,"na")</f>
        <v>144.32553251668895</v>
      </c>
      <c r="M17" s="97">
        <f>IFERROR('1n'!$B$15*'4c'!M29,"na")</f>
        <v>422.3546401330056</v>
      </c>
    </row>
    <row r="18" spans="1:13">
      <c r="A18" s="65">
        <v>2005</v>
      </c>
      <c r="B18" s="112">
        <f>IFERROR('1n'!$B$15*'4c'!B30,"na")</f>
        <v>2530.7654345456349</v>
      </c>
      <c r="C18" s="113">
        <f>IFERROR('1n'!$B$15*'4c'!C30,"na")</f>
        <v>5292.2625111485486</v>
      </c>
      <c r="D18" s="113">
        <f>IFERROR('1n'!$B$15*'4c'!D30,"na")</f>
        <v>501.40759092260436</v>
      </c>
      <c r="E18" s="97">
        <f>IFERROR('1n'!$B$15*'4c'!E30,"na")</f>
        <v>8324.4355366167874</v>
      </c>
      <c r="F18" s="112">
        <f>IFERROR('1n'!$B$15*'4c'!F30,"na")</f>
        <v>996.06151288445562</v>
      </c>
      <c r="G18" s="113">
        <f>IFERROR('1n'!$B$15*'4c'!G30,"na")</f>
        <v>5189.8924909947355</v>
      </c>
      <c r="H18" s="113">
        <f>IFERROR('1n'!$B$15*'4c'!H30,"na")</f>
        <v>379.00277085065119</v>
      </c>
      <c r="I18" s="97">
        <f>IFERROR('1n'!$B$15*'4c'!I30,"na")</f>
        <v>6564.9567747298415</v>
      </c>
      <c r="J18" s="112">
        <f>IFERROR('1n'!$B$15*'4c'!J30,"na")</f>
        <v>140.13974661809178</v>
      </c>
      <c r="K18" s="113">
        <f>IFERROR('1n'!$B$15*'4c'!K30,"na")</f>
        <v>178.85147188913379</v>
      </c>
      <c r="L18" s="113">
        <f>IFERROR('1n'!$B$15*'4c'!L30,"na")</f>
        <v>145.17810684181032</v>
      </c>
      <c r="M18" s="97">
        <f>IFERROR('1n'!$B$15*'4c'!M30,"na")</f>
        <v>464.16932534903589</v>
      </c>
    </row>
    <row r="19" spans="1:13">
      <c r="A19" s="65">
        <v>2006</v>
      </c>
      <c r="B19" s="112">
        <f>IFERROR('1n'!$B$15*'4c'!B31,"na")</f>
        <v>2759.4622442470932</v>
      </c>
      <c r="C19" s="113">
        <f>IFERROR('1n'!$B$15*'4c'!C31,"na")</f>
        <v>5434.7883813355575</v>
      </c>
      <c r="D19" s="113">
        <f>IFERROR('1n'!$B$15*'4c'!D31,"na")</f>
        <v>609.71856140523028</v>
      </c>
      <c r="E19" s="97">
        <f>IFERROR('1n'!$B$15*'4c'!E31,"na")</f>
        <v>8803.9691869878807</v>
      </c>
      <c r="F19" s="112">
        <f>IFERROR('1n'!$B$15*'4c'!F31,"na")</f>
        <v>1259.0013479957431</v>
      </c>
      <c r="G19" s="113">
        <f>IFERROR('1n'!$B$15*'4c'!G31,"na")</f>
        <v>5817.1361475700614</v>
      </c>
      <c r="H19" s="113">
        <f>IFERROR('1n'!$B$15*'4c'!H31,"na")</f>
        <v>449.27151472153253</v>
      </c>
      <c r="I19" s="97">
        <f>IFERROR('1n'!$B$15*'4c'!I31,"na")</f>
        <v>7525.4090102873361</v>
      </c>
      <c r="J19" s="112">
        <f>IFERROR('1n'!$B$15*'4c'!J31,"na")</f>
        <v>174.10470079265994</v>
      </c>
      <c r="K19" s="113">
        <f>IFERROR('1n'!$B$15*'4c'!K31,"na")</f>
        <v>190.81269417264306</v>
      </c>
      <c r="L19" s="113">
        <f>IFERROR('1n'!$B$15*'4c'!L31,"na")</f>
        <v>147.72161087076452</v>
      </c>
      <c r="M19" s="97">
        <f>IFERROR('1n'!$B$15*'4c'!M31,"na")</f>
        <v>512.63900583606744</v>
      </c>
    </row>
    <row r="20" spans="1:13">
      <c r="A20" s="65">
        <v>2007</v>
      </c>
      <c r="B20" s="112">
        <f>IFERROR('1n'!$B$15*'4c'!B32,"na")</f>
        <v>4075.2401367701204</v>
      </c>
      <c r="C20" s="113">
        <f>IFERROR('1n'!$B$15*'4c'!C32,"na")</f>
        <v>5118.0906540417318</v>
      </c>
      <c r="D20" s="113">
        <f>IFERROR('1n'!$B$15*'4c'!D32,"na")</f>
        <v>1016.3136945467298</v>
      </c>
      <c r="E20" s="97">
        <f>IFERROR('1n'!$B$15*'4c'!E32,"na")</f>
        <v>10209.644485358582</v>
      </c>
      <c r="F20" s="112">
        <f>IFERROR('1n'!$B$15*'4c'!F32,"na")</f>
        <v>1071.3211752786221</v>
      </c>
      <c r="G20" s="113">
        <f>IFERROR('1n'!$B$15*'4c'!G32,"na")</f>
        <v>7028.8228397742087</v>
      </c>
      <c r="H20" s="113">
        <f>IFERROR('1n'!$B$15*'4c'!H32,"na")</f>
        <v>429.30481980026065</v>
      </c>
      <c r="I20" s="97">
        <f>IFERROR('1n'!$B$15*'4c'!I32,"na")</f>
        <v>8529.4488348530904</v>
      </c>
      <c r="J20" s="112">
        <f>IFERROR('1n'!$B$15*'4c'!J32,"na")</f>
        <v>197.51784041271179</v>
      </c>
      <c r="K20" s="113">
        <f>IFERROR('1n'!$B$15*'4c'!K32,"na")</f>
        <v>208.48937993018711</v>
      </c>
      <c r="L20" s="113">
        <f>IFERROR('1n'!$B$15*'4c'!L32,"na")</f>
        <v>145.68783295331849</v>
      </c>
      <c r="M20" s="97">
        <f>IFERROR('1n'!$B$15*'4c'!M32,"na")</f>
        <v>551.69505329621734</v>
      </c>
    </row>
    <row r="21" spans="1:13">
      <c r="A21" s="65">
        <v>2008</v>
      </c>
      <c r="B21" s="112">
        <f>IFERROR('1n'!$B$15*'4c'!B33,"na")</f>
        <v>3539.9587925832716</v>
      </c>
      <c r="C21" s="113">
        <f>IFERROR('1n'!$B$15*'4c'!C33,"na")</f>
        <v>5384.5188374596337</v>
      </c>
      <c r="D21" s="113">
        <f>IFERROR('1n'!$B$15*'4c'!D33,"na")</f>
        <v>945.35517518458425</v>
      </c>
      <c r="E21" s="97">
        <f>IFERROR('1n'!$B$15*'4c'!E33,"na")</f>
        <v>9869.8328052274883</v>
      </c>
      <c r="F21" s="112">
        <f>IFERROR('1n'!$B$15*'4c'!F33,"na")</f>
        <v>983.64393013728181</v>
      </c>
      <c r="G21" s="113">
        <f>IFERROR('1n'!$B$15*'4c'!G33,"na")</f>
        <v>7659.4527420398199</v>
      </c>
      <c r="H21" s="113">
        <f>IFERROR('1n'!$B$15*'4c'!H33,"na")</f>
        <v>446.29813843168262</v>
      </c>
      <c r="I21" s="97">
        <f>IFERROR('1n'!$B$15*'4c'!I33,"na")</f>
        <v>9089.3948106087846</v>
      </c>
      <c r="J21" s="112">
        <f>IFERROR('1n'!$B$15*'4c'!J33,"na")</f>
        <v>221.06472077421395</v>
      </c>
      <c r="K21" s="113">
        <f>IFERROR('1n'!$B$15*'4c'!K33,"na")</f>
        <v>220.06431596071832</v>
      </c>
      <c r="L21" s="113">
        <f>IFERROR('1n'!$B$15*'4c'!L33,"na")</f>
        <v>150.13045232050416</v>
      </c>
      <c r="M21" s="97">
        <f>IFERROR('1n'!$B$15*'4c'!M33,"na")</f>
        <v>591.25948905543646</v>
      </c>
    </row>
    <row r="22" spans="1:13">
      <c r="A22" s="20">
        <f>A21+1</f>
        <v>2009</v>
      </c>
      <c r="B22" s="112">
        <f>IFERROR('1n'!$B$15*'4c'!B34,"na")</f>
        <v>3385.9908573780372</v>
      </c>
      <c r="C22" s="113">
        <f>IFERROR('1n'!$B$15*'4c'!C34,"na")</f>
        <v>5202.1871444740054</v>
      </c>
      <c r="D22" s="113">
        <f>IFERROR('1n'!$B$15*'4c'!D34,"na")</f>
        <v>935.86012670321747</v>
      </c>
      <c r="E22" s="97">
        <f>IFERROR('1n'!$B$15*'4c'!E34,"na")</f>
        <v>9524.0381285552594</v>
      </c>
      <c r="F22" s="112">
        <f>IFERROR('1n'!$B$15*'4c'!F34,"na")</f>
        <v>1242.1209002518756</v>
      </c>
      <c r="G22" s="113">
        <f>IFERROR('1n'!$B$15*'4c'!G34,"na")</f>
        <v>9094.0166833680905</v>
      </c>
      <c r="H22" s="113">
        <f>IFERROR('1n'!$B$15*'4c'!H34,"na")</f>
        <v>443.73154944072797</v>
      </c>
      <c r="I22" s="97">
        <f>IFERROR('1n'!$B$15*'4c'!I34,"na")</f>
        <v>10779.869133060693</v>
      </c>
      <c r="J22" s="112">
        <f>IFERROR('1n'!$B$15*'4c'!J34,"na")</f>
        <v>225.50482802622815</v>
      </c>
      <c r="K22" s="113">
        <f>IFERROR('1n'!$B$15*'4c'!K34,"na")</f>
        <v>231.46119071676208</v>
      </c>
      <c r="L22" s="113">
        <f>IFERROR('1n'!$B$15*'4c'!L34,"na")</f>
        <v>155.04923619702481</v>
      </c>
      <c r="M22" s="97">
        <f>IFERROR('1n'!$B$15*'4c'!M34,"na")</f>
        <v>612.0152549400151</v>
      </c>
    </row>
    <row r="23" spans="1:13">
      <c r="A23" s="21">
        <f t="shared" ref="A23" si="0">A22+1</f>
        <v>2010</v>
      </c>
      <c r="B23" s="114">
        <f>IFERROR('1n'!$B$15*'4c'!B35,"na")</f>
        <v>3503.0154656925133</v>
      </c>
      <c r="C23" s="115">
        <f>IFERROR('1n'!$B$15*'4c'!C35,"na")</f>
        <v>4926.1695087808603</v>
      </c>
      <c r="D23" s="115">
        <f>IFERROR('1n'!$B$15*'4c'!D35,"na")</f>
        <v>1034.509843845912</v>
      </c>
      <c r="E23" s="98">
        <f>IFERROR('1n'!$B$15*'4c'!E35,"na")</f>
        <v>9463.6948183192853</v>
      </c>
      <c r="F23" s="114">
        <f>IFERROR('1n'!$B$15*'4c'!F35,"na")</f>
        <v>1833.6223166111808</v>
      </c>
      <c r="G23" s="115">
        <f>IFERROR('1n'!$B$15*'4c'!G35,"na")</f>
        <v>10130.143668924349</v>
      </c>
      <c r="H23" s="115">
        <f>IFERROR('1n'!$B$15*'4c'!H35,"na")</f>
        <v>502.4064975318563</v>
      </c>
      <c r="I23" s="98">
        <f>IFERROR('1n'!$B$15*'4c'!I35,"na")</f>
        <v>12466.172483067387</v>
      </c>
      <c r="J23" s="114">
        <f>IFERROR('1n'!$B$15*'4c'!J35,"na")</f>
        <v>240.67642837554041</v>
      </c>
      <c r="K23" s="115">
        <f>IFERROR('1n'!$B$15*'4c'!K35,"na")</f>
        <v>234.24721628351392</v>
      </c>
      <c r="L23" s="115">
        <f>IFERROR('1n'!$B$15*'4c'!L35,"na")</f>
        <v>159.98246878753116</v>
      </c>
      <c r="M23" s="98">
        <f>IFERROR('1n'!$B$15*'4c'!M35,"na")</f>
        <v>634.90611344658555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22.548101784011475</v>
      </c>
      <c r="C26" s="86">
        <f t="shared" ref="C26:M26" si="1">IFERROR((POWER(C$13/C5,1/($A$13-$A5))-1)*100,"na")</f>
        <v>8.1167100512054233</v>
      </c>
      <c r="D26" s="86">
        <f t="shared" si="1"/>
        <v>-2.1963376249656386</v>
      </c>
      <c r="E26" s="87">
        <f t="shared" si="1"/>
        <v>8.4573890934177989</v>
      </c>
      <c r="F26" s="85">
        <f t="shared" si="1"/>
        <v>41.05694134340068</v>
      </c>
      <c r="G26" s="86">
        <f t="shared" si="1"/>
        <v>29.203512525331419</v>
      </c>
      <c r="H26" s="86">
        <f t="shared" si="1"/>
        <v>4.4299369756966689</v>
      </c>
      <c r="I26" s="87">
        <f t="shared" si="1"/>
        <v>26.467605909520444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>
        <f>IFERROR((POWER(B$23/B13,1/($A$23-$A$13))-1)*100,"na")</f>
        <v>14.49761506565852</v>
      </c>
      <c r="C27" s="86">
        <f t="shared" ref="C27:M27" si="2">IFERROR((POWER(C$23/C13,1/($A$23-$A$13))-1)*100,"na")</f>
        <v>-0.73960450626264773</v>
      </c>
      <c r="D27" s="86">
        <f>IFERROR((POWER(D$23/D13,1/($A$23-$A$13))-1)*100,"na")</f>
        <v>11.992039515545549</v>
      </c>
      <c r="E27" s="87">
        <f t="shared" si="2"/>
        <v>3.7584383184344761</v>
      </c>
      <c r="F27" s="85">
        <f t="shared" si="2"/>
        <v>3.7929403747043011</v>
      </c>
      <c r="G27" s="86">
        <f t="shared" si="2"/>
        <v>12.3142248303872</v>
      </c>
      <c r="H27" s="86">
        <f t="shared" si="2"/>
        <v>3.9633472838434214</v>
      </c>
      <c r="I27" s="87">
        <f t="shared" si="2"/>
        <v>10.069945390577594</v>
      </c>
      <c r="J27" s="85">
        <f t="shared" si="2"/>
        <v>13.359705560419766</v>
      </c>
      <c r="K27" s="86">
        <f t="shared" si="2"/>
        <v>4.8408366439005812</v>
      </c>
      <c r="L27" s="86">
        <f t="shared" si="2"/>
        <v>1.3362170215770464</v>
      </c>
      <c r="M27" s="87">
        <f t="shared" si="2"/>
        <v>5.9923525165041625</v>
      </c>
    </row>
    <row r="28" spans="1:13">
      <c r="A28" s="29" t="s">
        <v>126</v>
      </c>
      <c r="B28" s="39">
        <f>IFERROR((POWER(B23/B5,1/($A$23-$A5))-1)*100, "na")</f>
        <v>18.008166278963046</v>
      </c>
      <c r="C28" s="89">
        <f t="shared" ref="C28:M28" si="3">IFERROR((POWER(C23/C5,1/($A$23-$A5))-1)*100, "na")</f>
        <v>3.103252543858015</v>
      </c>
      <c r="D28" s="89">
        <f t="shared" si="3"/>
        <v>5.4482999078034</v>
      </c>
      <c r="E28" s="90">
        <f t="shared" si="3"/>
        <v>5.8211885070196256</v>
      </c>
      <c r="F28" s="88">
        <f t="shared" si="3"/>
        <v>18.954166561311148</v>
      </c>
      <c r="G28" s="89">
        <f t="shared" si="3"/>
        <v>19.529352508503095</v>
      </c>
      <c r="H28" s="89">
        <f t="shared" si="3"/>
        <v>4.1704625536612028</v>
      </c>
      <c r="I28" s="90">
        <f t="shared" si="3"/>
        <v>17.077499464878109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 t="s">
        <v>264</v>
      </c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6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zoomScaleNormal="100" workbookViewId="0">
      <selection activeCell="B15" sqref="B15"/>
    </sheetView>
  </sheetViews>
  <sheetFormatPr defaultRowHeight="15"/>
  <cols>
    <col min="1" max="1" width="10.42578125" style="1" customWidth="1"/>
    <col min="2" max="2" width="11.7109375" style="1" customWidth="1"/>
    <col min="3" max="3" width="9.140625" style="1"/>
    <col min="4" max="4" width="17.28515625" style="1" customWidth="1"/>
    <col min="5" max="5" width="10.85546875" style="1" customWidth="1"/>
    <col min="6" max="6" width="10.140625" style="1" customWidth="1"/>
    <col min="7" max="7" width="9.140625" style="1"/>
    <col min="8" max="8" width="19.42578125" style="1" customWidth="1"/>
    <col min="9" max="9" width="12.42578125" style="1" customWidth="1"/>
    <col min="10" max="10" width="10.85546875" style="1" customWidth="1"/>
    <col min="11" max="11" width="9.140625" style="1"/>
    <col min="12" max="12" width="19" style="1" customWidth="1"/>
    <col min="13" max="13" width="10.140625" style="1" customWidth="1"/>
    <col min="14" max="16384" width="9.140625" style="1"/>
  </cols>
  <sheetData>
    <row r="1" spans="1:13">
      <c r="A1" s="2" t="s">
        <v>80</v>
      </c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  <c r="J5" s="3" t="s">
        <v>39</v>
      </c>
      <c r="K5" s="4" t="s">
        <v>41</v>
      </c>
      <c r="L5" s="4" t="s">
        <v>40</v>
      </c>
      <c r="M5" s="5" t="s">
        <v>72</v>
      </c>
    </row>
    <row r="6" spans="1:13">
      <c r="A6" s="15">
        <v>1981</v>
      </c>
      <c r="B6" s="67" t="s">
        <v>37</v>
      </c>
      <c r="C6" s="105" t="s">
        <v>37</v>
      </c>
      <c r="D6" s="105" t="s">
        <v>37</v>
      </c>
      <c r="E6" s="109" t="s">
        <v>37</v>
      </c>
      <c r="F6" s="67" t="s">
        <v>37</v>
      </c>
      <c r="G6" s="105" t="s">
        <v>37</v>
      </c>
      <c r="H6" s="105" t="s">
        <v>37</v>
      </c>
      <c r="I6" s="109" t="s">
        <v>37</v>
      </c>
      <c r="J6" s="171">
        <f>'1a'!J6/'1b'!$D6*100</f>
        <v>0.7851842273514219</v>
      </c>
      <c r="K6" s="171">
        <f>'1a'!K6/'1b'!$D6*100</f>
        <v>0.28620072843257688</v>
      </c>
      <c r="L6" s="171">
        <f>'1a'!L6/'1b'!$D6*100</f>
        <v>0.70120615216626081</v>
      </c>
      <c r="M6" s="110">
        <f>'1a'!M6/'1b'!$D6*100</f>
        <v>1.7725911079502596</v>
      </c>
    </row>
    <row r="7" spans="1:13">
      <c r="A7" s="16">
        <v>1982</v>
      </c>
      <c r="B7" s="106" t="s">
        <v>37</v>
      </c>
      <c r="C7" s="104" t="s">
        <v>37</v>
      </c>
      <c r="D7" s="104" t="s">
        <v>37</v>
      </c>
      <c r="E7" s="110" t="s">
        <v>37</v>
      </c>
      <c r="F7" s="106" t="s">
        <v>37</v>
      </c>
      <c r="G7" s="104" t="s">
        <v>37</v>
      </c>
      <c r="H7" s="104" t="s">
        <v>37</v>
      </c>
      <c r="I7" s="110" t="s">
        <v>37</v>
      </c>
      <c r="J7" s="171">
        <f>'1a'!J7/'1b'!$D7*100</f>
        <v>0.6797957291335095</v>
      </c>
      <c r="K7" s="171">
        <f>'1a'!K7/'1b'!$D7*100</f>
        <v>0.34633322723057974</v>
      </c>
      <c r="L7" s="171">
        <f>'1a'!L7/'1b'!$D7*100</f>
        <v>0.68619649307333541</v>
      </c>
      <c r="M7" s="110">
        <f>'1a'!M7/'1b'!$D7*100</f>
        <v>1.7123254494374247</v>
      </c>
    </row>
    <row r="8" spans="1:13">
      <c r="A8" s="16">
        <v>1983</v>
      </c>
      <c r="B8" s="106" t="s">
        <v>37</v>
      </c>
      <c r="C8" s="104" t="s">
        <v>37</v>
      </c>
      <c r="D8" s="104" t="s">
        <v>37</v>
      </c>
      <c r="E8" s="110" t="s">
        <v>37</v>
      </c>
      <c r="F8" s="106" t="s">
        <v>37</v>
      </c>
      <c r="G8" s="104" t="s">
        <v>37</v>
      </c>
      <c r="H8" s="104" t="s">
        <v>37</v>
      </c>
      <c r="I8" s="110" t="s">
        <v>37</v>
      </c>
      <c r="J8" s="171">
        <f>'1a'!J8/'1b'!$D8*100</f>
        <v>0.73061674287813339</v>
      </c>
      <c r="K8" s="171">
        <f>'1a'!K8/'1b'!$D8*100</f>
        <v>0.37544175206150959</v>
      </c>
      <c r="L8" s="171">
        <f>'1a'!L8/'1b'!$D8*100</f>
        <v>0.54501754341520259</v>
      </c>
      <c r="M8" s="110">
        <f>'1a'!M8/'1b'!$D8*100</f>
        <v>1.6510760383548457</v>
      </c>
    </row>
    <row r="9" spans="1:13">
      <c r="A9" s="16">
        <v>1984</v>
      </c>
      <c r="B9" s="106" t="s">
        <v>37</v>
      </c>
      <c r="C9" s="104" t="s">
        <v>37</v>
      </c>
      <c r="D9" s="104" t="s">
        <v>37</v>
      </c>
      <c r="E9" s="110" t="s">
        <v>37</v>
      </c>
      <c r="F9" s="106" t="s">
        <v>37</v>
      </c>
      <c r="G9" s="104" t="s">
        <v>37</v>
      </c>
      <c r="H9" s="104" t="s">
        <v>37</v>
      </c>
      <c r="I9" s="110" t="s">
        <v>37</v>
      </c>
      <c r="J9" s="171">
        <f>'1a'!J9/'1b'!$D9*100</f>
        <v>0.71792747068098373</v>
      </c>
      <c r="K9" s="171">
        <f>'1a'!K9/'1b'!$D9*100</f>
        <v>0.42367273187630194</v>
      </c>
      <c r="L9" s="171">
        <f>'1a'!L9/'1b'!$D9*100</f>
        <v>0.54195582870098624</v>
      </c>
      <c r="M9" s="110">
        <f>'1a'!M9/'1b'!$D9*100</f>
        <v>1.683556031258272</v>
      </c>
    </row>
    <row r="10" spans="1:13">
      <c r="A10" s="16">
        <v>1985</v>
      </c>
      <c r="B10" s="106" t="s">
        <v>37</v>
      </c>
      <c r="C10" s="104" t="s">
        <v>37</v>
      </c>
      <c r="D10" s="104" t="s">
        <v>37</v>
      </c>
      <c r="E10" s="110" t="s">
        <v>37</v>
      </c>
      <c r="F10" s="106" t="s">
        <v>37</v>
      </c>
      <c r="G10" s="104" t="s">
        <v>37</v>
      </c>
      <c r="H10" s="104" t="s">
        <v>37</v>
      </c>
      <c r="I10" s="110" t="s">
        <v>37</v>
      </c>
      <c r="J10" s="171">
        <f>'1a'!J10/'1b'!$D10*100</f>
        <v>0.69070592861014002</v>
      </c>
      <c r="K10" s="171">
        <f>'1a'!K10/'1b'!$D10*100</f>
        <v>0.46109050721018457</v>
      </c>
      <c r="L10" s="171">
        <f>'1a'!L10/'1b'!$D10*100</f>
        <v>0.51401124299969181</v>
      </c>
      <c r="M10" s="110">
        <f>'1a'!M10/'1b'!$D10*100</f>
        <v>1.6658076788200167</v>
      </c>
    </row>
    <row r="11" spans="1:13">
      <c r="A11" s="16">
        <v>1986</v>
      </c>
      <c r="B11" s="106" t="s">
        <v>37</v>
      </c>
      <c r="C11" s="104" t="s">
        <v>37</v>
      </c>
      <c r="D11" s="104" t="s">
        <v>37</v>
      </c>
      <c r="E11" s="110" t="s">
        <v>37</v>
      </c>
      <c r="F11" s="106" t="s">
        <v>37</v>
      </c>
      <c r="G11" s="104" t="s">
        <v>37</v>
      </c>
      <c r="H11" s="104" t="s">
        <v>37</v>
      </c>
      <c r="I11" s="110" t="s">
        <v>37</v>
      </c>
      <c r="J11" s="171">
        <f>'1a'!J11/'1b'!$D11*100</f>
        <v>0.69092935724483329</v>
      </c>
      <c r="K11" s="171">
        <f>'1a'!K11/'1b'!$D11*100</f>
        <v>0.54157155254244194</v>
      </c>
      <c r="L11" s="171">
        <f>'1a'!L11/'1b'!$D11*100</f>
        <v>0.54689030892049595</v>
      </c>
      <c r="M11" s="110">
        <f>'1a'!M11/'1b'!$D11*100</f>
        <v>1.7793912187077714</v>
      </c>
    </row>
    <row r="12" spans="1:13">
      <c r="A12" s="16">
        <v>1987</v>
      </c>
      <c r="B12" s="106" t="s">
        <v>37</v>
      </c>
      <c r="C12" s="104" t="s">
        <v>37</v>
      </c>
      <c r="D12" s="104" t="s">
        <v>37</v>
      </c>
      <c r="E12" s="110" t="s">
        <v>37</v>
      </c>
      <c r="F12" s="106" t="s">
        <v>37</v>
      </c>
      <c r="G12" s="104" t="s">
        <v>37</v>
      </c>
      <c r="H12" s="104" t="s">
        <v>37</v>
      </c>
      <c r="I12" s="110" t="s">
        <v>37</v>
      </c>
      <c r="J12" s="171">
        <f>'1a'!J12/'1b'!$D12*100</f>
        <v>0.88152233480638509</v>
      </c>
      <c r="K12" s="171">
        <f>'1a'!K12/'1b'!$D12*100</f>
        <v>0.5798304630201836</v>
      </c>
      <c r="L12" s="171">
        <f>'1a'!L12/'1b'!$D12*100</f>
        <v>0.6314144794375196</v>
      </c>
      <c r="M12" s="110">
        <f>'1a'!M12/'1b'!$D12*100</f>
        <v>2.0927672772640884</v>
      </c>
    </row>
    <row r="13" spans="1:13">
      <c r="A13" s="16">
        <v>1988</v>
      </c>
      <c r="B13" s="106" t="s">
        <v>37</v>
      </c>
      <c r="C13" s="104" t="s">
        <v>37</v>
      </c>
      <c r="D13" s="104" t="s">
        <v>37</v>
      </c>
      <c r="E13" s="110" t="s">
        <v>37</v>
      </c>
      <c r="F13" s="106" t="s">
        <v>37</v>
      </c>
      <c r="G13" s="104" t="s">
        <v>37</v>
      </c>
      <c r="H13" s="104" t="s">
        <v>37</v>
      </c>
      <c r="I13" s="110" t="s">
        <v>37</v>
      </c>
      <c r="J13" s="171">
        <f>'1a'!J13/'1b'!$D13*100</f>
        <v>0.67402525921187684</v>
      </c>
      <c r="K13" s="171">
        <f>'1a'!K13/'1b'!$D13*100</f>
        <v>0.65910689581159509</v>
      </c>
      <c r="L13" s="171">
        <f>'1a'!L13/'1b'!$D13*100</f>
        <v>0.67804174166579889</v>
      </c>
      <c r="M13" s="110">
        <f>'1a'!M13/'1b'!$D13*100</f>
        <v>2.0111738966892707</v>
      </c>
    </row>
    <row r="14" spans="1:13">
      <c r="A14" s="16">
        <v>1989</v>
      </c>
      <c r="B14" s="106" t="s">
        <v>37</v>
      </c>
      <c r="C14" s="104" t="s">
        <v>37</v>
      </c>
      <c r="D14" s="104" t="s">
        <v>37</v>
      </c>
      <c r="E14" s="110" t="s">
        <v>37</v>
      </c>
      <c r="F14" s="106" t="s">
        <v>37</v>
      </c>
      <c r="G14" s="104" t="s">
        <v>37</v>
      </c>
      <c r="H14" s="104" t="s">
        <v>37</v>
      </c>
      <c r="I14" s="110" t="s">
        <v>37</v>
      </c>
      <c r="J14" s="171">
        <f>'1a'!J14/'1b'!$D14*100</f>
        <v>0.69652515196477294</v>
      </c>
      <c r="K14" s="171">
        <f>'1a'!K14/'1b'!$D14*100</f>
        <v>0.69700378117072703</v>
      </c>
      <c r="L14" s="171">
        <f>'1a'!L14/'1b'!$D14*100</f>
        <v>0.70290687471082813</v>
      </c>
      <c r="M14" s="110">
        <f>'1a'!M14/'1b'!$D14*100</f>
        <v>2.0964358078463285</v>
      </c>
    </row>
    <row r="15" spans="1:13">
      <c r="A15" s="16">
        <v>1990</v>
      </c>
      <c r="B15" s="106" t="s">
        <v>37</v>
      </c>
      <c r="C15" s="104" t="s">
        <v>37</v>
      </c>
      <c r="D15" s="104" t="s">
        <v>37</v>
      </c>
      <c r="E15" s="110" t="s">
        <v>37</v>
      </c>
      <c r="F15" s="106" t="s">
        <v>37</v>
      </c>
      <c r="G15" s="104" t="s">
        <v>37</v>
      </c>
      <c r="H15" s="104" t="s">
        <v>37</v>
      </c>
      <c r="I15" s="110" t="s">
        <v>37</v>
      </c>
      <c r="J15" s="171">
        <f>'1a'!J15/'1b'!$D15*100</f>
        <v>0.61099804244476896</v>
      </c>
      <c r="K15" s="171">
        <f>'1a'!K15/'1b'!$D15*100</f>
        <v>0.76983578286673082</v>
      </c>
      <c r="L15" s="171">
        <f>'1a'!L15/'1b'!$D15*100</f>
        <v>0.73917130161886702</v>
      </c>
      <c r="M15" s="110">
        <f>'1a'!M15/'1b'!$D15*100</f>
        <v>2.120005126930367</v>
      </c>
    </row>
    <row r="16" spans="1:13">
      <c r="A16" s="16">
        <v>1991</v>
      </c>
      <c r="B16" s="106" t="s">
        <v>37</v>
      </c>
      <c r="C16" s="104" t="s">
        <v>37</v>
      </c>
      <c r="D16" s="104" t="s">
        <v>37</v>
      </c>
      <c r="E16" s="110" t="s">
        <v>37</v>
      </c>
      <c r="F16" s="106" t="s">
        <v>37</v>
      </c>
      <c r="G16" s="104" t="s">
        <v>37</v>
      </c>
      <c r="H16" s="104" t="s">
        <v>37</v>
      </c>
      <c r="I16" s="110" t="s">
        <v>37</v>
      </c>
      <c r="J16" s="171">
        <f>'1a'!J16/'1b'!$D16*100</f>
        <v>0.57714090086565262</v>
      </c>
      <c r="K16" s="171">
        <f>'1a'!K16/'1b'!$D16*100</f>
        <v>0.80690565853181395</v>
      </c>
      <c r="L16" s="171">
        <f>'1a'!L16/'1b'!$D16*100</f>
        <v>0.70519880667090529</v>
      </c>
      <c r="M16" s="110">
        <f>'1a'!M16/'1b'!$D16*100</f>
        <v>2.0892453660683721</v>
      </c>
    </row>
    <row r="17" spans="1:13">
      <c r="A17" s="16">
        <v>1992</v>
      </c>
      <c r="B17" s="106" t="s">
        <v>37</v>
      </c>
      <c r="C17" s="104" t="s">
        <v>37</v>
      </c>
      <c r="D17" s="104" t="s">
        <v>37</v>
      </c>
      <c r="E17" s="110" t="s">
        <v>37</v>
      </c>
      <c r="F17" s="106" t="s">
        <v>37</v>
      </c>
      <c r="G17" s="104" t="s">
        <v>37</v>
      </c>
      <c r="H17" s="104" t="s">
        <v>37</v>
      </c>
      <c r="I17" s="110" t="s">
        <v>37</v>
      </c>
      <c r="J17" s="171">
        <f>'1a'!J17/'1b'!$D17*100</f>
        <v>0.70386834901113005</v>
      </c>
      <c r="K17" s="171">
        <f>'1a'!K17/'1b'!$D17*100</f>
        <v>0.81528406467405068</v>
      </c>
      <c r="L17" s="171">
        <f>'1a'!L17/'1b'!$D17*100</f>
        <v>0.77237539387686893</v>
      </c>
      <c r="M17" s="110">
        <f>'1a'!M17/'1b'!$D17*100</f>
        <v>2.2915278075620495</v>
      </c>
    </row>
    <row r="18" spans="1:13">
      <c r="A18" s="16">
        <v>1993</v>
      </c>
      <c r="B18" s="106" t="s">
        <v>37</v>
      </c>
      <c r="C18" s="104" t="s">
        <v>37</v>
      </c>
      <c r="D18" s="104" t="s">
        <v>37</v>
      </c>
      <c r="E18" s="110" t="s">
        <v>37</v>
      </c>
      <c r="F18" s="106" t="s">
        <v>37</v>
      </c>
      <c r="G18" s="104" t="s">
        <v>37</v>
      </c>
      <c r="H18" s="104" t="s">
        <v>37</v>
      </c>
      <c r="I18" s="110" t="s">
        <v>37</v>
      </c>
      <c r="J18" s="171">
        <f>'1a'!J18/'1b'!$D18*100</f>
        <v>0.6445560317522242</v>
      </c>
      <c r="K18" s="171">
        <f>'1a'!K18/'1b'!$D18*100</f>
        <v>0.96415892460054287</v>
      </c>
      <c r="L18" s="171">
        <f>'1a'!L18/'1b'!$D18*100</f>
        <v>0.68823113062960128</v>
      </c>
      <c r="M18" s="110">
        <f>'1a'!M18/'1b'!$D18*100</f>
        <v>2.2969460869823681</v>
      </c>
    </row>
    <row r="19" spans="1:13">
      <c r="A19" s="16">
        <v>1994</v>
      </c>
      <c r="B19" s="106" t="s">
        <v>37</v>
      </c>
      <c r="C19" s="104" t="s">
        <v>37</v>
      </c>
      <c r="D19" s="104" t="s">
        <v>37</v>
      </c>
      <c r="E19" s="110" t="s">
        <v>37</v>
      </c>
      <c r="F19" s="106" t="s">
        <v>37</v>
      </c>
      <c r="G19" s="104" t="s">
        <v>37</v>
      </c>
      <c r="H19" s="104" t="s">
        <v>37</v>
      </c>
      <c r="I19" s="110" t="s">
        <v>37</v>
      </c>
      <c r="J19" s="171">
        <f>'1a'!J19/'1b'!$D19*100</f>
        <v>0.74941589694191124</v>
      </c>
      <c r="K19" s="171">
        <f>'1a'!K19/'1b'!$D19*100</f>
        <v>1.0460935567941865</v>
      </c>
      <c r="L19" s="171">
        <f>'1a'!L19/'1b'!$D19*100</f>
        <v>0.60200229317736498</v>
      </c>
      <c r="M19" s="110">
        <f>'1a'!M19/'1b'!$D19*100</f>
        <v>2.3975117469134628</v>
      </c>
    </row>
    <row r="20" spans="1:13">
      <c r="A20" s="16">
        <v>1995</v>
      </c>
      <c r="B20" s="106" t="s">
        <v>37</v>
      </c>
      <c r="C20" s="104" t="s">
        <v>37</v>
      </c>
      <c r="D20" s="104" t="s">
        <v>37</v>
      </c>
      <c r="E20" s="110" t="s">
        <v>37</v>
      </c>
      <c r="F20" s="106" t="s">
        <v>37</v>
      </c>
      <c r="G20" s="104" t="s">
        <v>37</v>
      </c>
      <c r="H20" s="104" t="s">
        <v>37</v>
      </c>
      <c r="I20" s="110" t="s">
        <v>37</v>
      </c>
      <c r="J20" s="171">
        <f>'1a'!J20/'1b'!$D20*100</f>
        <v>0.80506305172295733</v>
      </c>
      <c r="K20" s="171">
        <f>'1a'!K20/'1b'!$D20*100</f>
        <v>0.98511998904298992</v>
      </c>
      <c r="L20" s="171">
        <f>'1a'!L20/'1b'!$D20*100</f>
        <v>0.56500344037071215</v>
      </c>
      <c r="M20" s="110">
        <f>'1a'!M20/'1b'!$D20*100</f>
        <v>2.3551864811366596</v>
      </c>
    </row>
    <row r="21" spans="1:13">
      <c r="A21" s="16">
        <v>1996</v>
      </c>
      <c r="B21" s="106" t="s">
        <v>37</v>
      </c>
      <c r="C21" s="104" t="s">
        <v>37</v>
      </c>
      <c r="D21" s="104" t="s">
        <v>37</v>
      </c>
      <c r="E21" s="110" t="s">
        <v>37</v>
      </c>
      <c r="F21" s="106" t="s">
        <v>37</v>
      </c>
      <c r="G21" s="104" t="s">
        <v>37</v>
      </c>
      <c r="H21" s="104" t="s">
        <v>37</v>
      </c>
      <c r="I21" s="110" t="s">
        <v>37</v>
      </c>
      <c r="J21" s="171">
        <f>'1a'!J21/'1b'!$D21*100</f>
        <v>0.7928943553041311</v>
      </c>
      <c r="K21" s="171">
        <f>'1a'!K21/'1b'!$D21*100</f>
        <v>1.0716804899754293</v>
      </c>
      <c r="L21" s="171">
        <f>'1a'!L21/'1b'!$D21*100</f>
        <v>0.58617815098712966</v>
      </c>
      <c r="M21" s="110">
        <f>'1a'!M21/'1b'!$D21*100</f>
        <v>2.4507529962666901</v>
      </c>
    </row>
    <row r="22" spans="1:13">
      <c r="A22" s="16">
        <v>1997</v>
      </c>
      <c r="B22" s="106" t="s">
        <v>37</v>
      </c>
      <c r="C22" s="104" t="s">
        <v>37</v>
      </c>
      <c r="D22" s="104" t="s">
        <v>37</v>
      </c>
      <c r="E22" s="110" t="s">
        <v>37</v>
      </c>
      <c r="F22" s="106" t="s">
        <v>37</v>
      </c>
      <c r="G22" s="104" t="s">
        <v>37</v>
      </c>
      <c r="H22" s="104" t="s">
        <v>37</v>
      </c>
      <c r="I22" s="110" t="s">
        <v>37</v>
      </c>
      <c r="J22" s="171">
        <f>'1a'!J22/'1b'!$D22*100</f>
        <v>0.8665272539171206</v>
      </c>
      <c r="K22" s="171">
        <f>'1a'!K22/'1b'!$D22*100</f>
        <v>1.153451642858089</v>
      </c>
      <c r="L22" s="171">
        <f>'1a'!L22/'1b'!$D22*100</f>
        <v>0.75015047452823103</v>
      </c>
      <c r="M22" s="110">
        <f>'1a'!M22/'1b'!$D22*100</f>
        <v>2.7701293713034403</v>
      </c>
    </row>
    <row r="23" spans="1:13">
      <c r="A23" s="16">
        <v>1998</v>
      </c>
      <c r="B23" s="106" t="s">
        <v>37</v>
      </c>
      <c r="C23" s="104" t="s">
        <v>37</v>
      </c>
      <c r="D23" s="104" t="s">
        <v>37</v>
      </c>
      <c r="E23" s="110" t="s">
        <v>37</v>
      </c>
      <c r="F23" s="106" t="s">
        <v>37</v>
      </c>
      <c r="G23" s="104" t="s">
        <v>37</v>
      </c>
      <c r="H23" s="104" t="s">
        <v>37</v>
      </c>
      <c r="I23" s="110" t="s">
        <v>37</v>
      </c>
      <c r="J23" s="171">
        <f>'1a'!J23/'1b'!$D23*100</f>
        <v>1.1297405698095211</v>
      </c>
      <c r="K23" s="171">
        <f>'1a'!K23/'1b'!$D23*100</f>
        <v>1.2681665527387287</v>
      </c>
      <c r="L23" s="171">
        <f>'1a'!L23/'1b'!$D23*100</f>
        <v>0.70946677479206388</v>
      </c>
      <c r="M23" s="110">
        <f>'1a'!M23/'1b'!$D23*100</f>
        <v>3.107373897340314</v>
      </c>
    </row>
    <row r="24" spans="1:13">
      <c r="A24" s="16">
        <v>1999</v>
      </c>
      <c r="B24" s="106">
        <f>'1a'!B24/'1b'!$B24*100</f>
        <v>1.9345664038811401</v>
      </c>
      <c r="C24" s="104">
        <f>'1a'!C24/'1b'!$B24*100</f>
        <v>4.0606225995552858</v>
      </c>
      <c r="D24" s="104">
        <f>'1a'!D24/'1b'!$B24*100</f>
        <v>0.16523145340610468</v>
      </c>
      <c r="E24" s="110">
        <f>'1a'!E24/'1b'!$B24*100</f>
        <v>6.1604204568425303</v>
      </c>
      <c r="F24" s="106">
        <f>'1a'!F24/'1b'!$C24*100</f>
        <v>0.56389629270656649</v>
      </c>
      <c r="G24" s="104">
        <f>'1a'!G24/'1b'!$C24*100</f>
        <v>1.2350375575478556</v>
      </c>
      <c r="H24" s="104">
        <f>'1a'!H24/'1b'!$C24*100</f>
        <v>1.7058395929246427E-2</v>
      </c>
      <c r="I24" s="110">
        <f>'1a'!I24/'1b'!$C24*100</f>
        <v>1.8159922461836682</v>
      </c>
      <c r="J24" s="171">
        <f>'1a'!J6/'1b'!$D6*100</f>
        <v>0.7851842273514219</v>
      </c>
      <c r="K24" s="171">
        <f>'1a'!K6/'1b'!$D6*100</f>
        <v>0.28620072843257688</v>
      </c>
      <c r="L24" s="171">
        <f>'1a'!L6/'1b'!$D6*100</f>
        <v>0.70120615216626081</v>
      </c>
      <c r="M24" s="196">
        <f>'1a'!M6/'1b'!$D6*100</f>
        <v>1.7725911079502596</v>
      </c>
    </row>
    <row r="25" spans="1:13">
      <c r="A25" s="16">
        <v>2000</v>
      </c>
      <c r="B25" s="106">
        <f>'1a'!B25/'1b'!$B25*100</f>
        <v>0.43717001055966209</v>
      </c>
      <c r="C25" s="104">
        <f>'1a'!C25/'1b'!$B25*100</f>
        <v>4.9368321013727563</v>
      </c>
      <c r="D25" s="104">
        <f>'1a'!D25/'1b'!$B25*100</f>
        <v>6.2449841605068633E-2</v>
      </c>
      <c r="E25" s="110">
        <f>'1a'!E25/'1b'!$B25*100</f>
        <v>5.4364519535374871</v>
      </c>
      <c r="F25" s="106">
        <f>'1a'!F25/'1b'!$C25*100</f>
        <v>0.97605371900826432</v>
      </c>
      <c r="G25" s="104">
        <f>'1a'!G25/'1b'!$C25*100</f>
        <v>2.119793388429752</v>
      </c>
      <c r="H25" s="104">
        <f>'1a'!H25/'1b'!$C25*100</f>
        <v>0.27882231404958679</v>
      </c>
      <c r="I25" s="110">
        <f>'1a'!I25/'1b'!$C25*100</f>
        <v>3.3746694214876034</v>
      </c>
      <c r="J25" s="171">
        <f>'1a'!J7/'1b'!$D7*100</f>
        <v>0.6797957291335095</v>
      </c>
      <c r="K25" s="171">
        <f>'1a'!K7/'1b'!$D7*100</f>
        <v>0.34633322723057974</v>
      </c>
      <c r="L25" s="171">
        <f>'1a'!L7/'1b'!$D7*100</f>
        <v>0.68619649307333541</v>
      </c>
      <c r="M25" s="196">
        <f>'1a'!M7/'1b'!$D7*100</f>
        <v>1.7123254494374247</v>
      </c>
    </row>
    <row r="26" spans="1:13">
      <c r="A26" s="16">
        <v>2001</v>
      </c>
      <c r="B26" s="106">
        <f>'1a'!B26/'1b'!$B26*100</f>
        <v>9.1110557768924294E-2</v>
      </c>
      <c r="C26" s="104">
        <f>'1a'!C26/'1b'!$B26*100</f>
        <v>4.2731573705179287</v>
      </c>
      <c r="D26" s="104">
        <f>'1a'!D26/'1b'!$B26*100</f>
        <v>2.9880478087649406E-4</v>
      </c>
      <c r="E26" s="110">
        <f>'1a'!E26/'1b'!$B26*100</f>
        <v>4.3645667330677291</v>
      </c>
      <c r="F26" s="106">
        <f>'1a'!F26/'1b'!$C26*100</f>
        <v>3.7227478403948993E-3</v>
      </c>
      <c r="G26" s="104">
        <f>'1a'!G26/'1b'!$C26*100</f>
        <v>1.5178938708350473</v>
      </c>
      <c r="H26" s="104">
        <f>'1a'!H26/'1b'!$C26*100</f>
        <v>1.4890991361579597E-2</v>
      </c>
      <c r="I26" s="110">
        <f>'1a'!I26/'1b'!$C26*100</f>
        <v>1.5365076100370216</v>
      </c>
      <c r="J26" s="171">
        <f>'1a'!J8/'1b'!$D8*100</f>
        <v>0.73061674287813339</v>
      </c>
      <c r="K26" s="171">
        <f>'1a'!K8/'1b'!$D8*100</f>
        <v>0.37544175206150959</v>
      </c>
      <c r="L26" s="171">
        <f>'1a'!L8/'1b'!$D8*100</f>
        <v>0.54501754341520259</v>
      </c>
      <c r="M26" s="196">
        <f>'1a'!M8/'1b'!$D8*100</f>
        <v>1.6510760383548457</v>
      </c>
    </row>
    <row r="27" spans="1:13">
      <c r="A27" s="16">
        <v>2002</v>
      </c>
      <c r="B27" s="106">
        <f>'1a'!B27/'1b'!$B27*100</f>
        <v>0.86978161503301166</v>
      </c>
      <c r="C27" s="104">
        <f>'1a'!C27/'1b'!$B27*100</f>
        <v>2.9670391061452515</v>
      </c>
      <c r="D27" s="104">
        <f>'1a'!D27/'1b'!$B27*100</f>
        <v>9.3169121381411882E-2</v>
      </c>
      <c r="E27" s="110">
        <f>'1a'!E27/'1b'!$B27*100</f>
        <v>3.9299898425596753</v>
      </c>
      <c r="F27" s="106">
        <f>'1a'!F27/'1b'!$C27*100</f>
        <v>5.0808040993299171E-2</v>
      </c>
      <c r="G27" s="104">
        <f>'1a'!G27/'1b'!$C27*100</f>
        <v>1.170457232952306</v>
      </c>
      <c r="H27" s="104">
        <f>'1a'!H27/'1b'!$C27*100</f>
        <v>5.4828537642885297E-2</v>
      </c>
      <c r="I27" s="110">
        <f>'1a'!I27/'1b'!$C27*100</f>
        <v>1.2760938115884906</v>
      </c>
      <c r="J27" s="171">
        <f>'1a'!J9/'1b'!$D9*100</f>
        <v>0.71792747068098373</v>
      </c>
      <c r="K27" s="171">
        <f>'1a'!K9/'1b'!$D9*100</f>
        <v>0.42367273187630194</v>
      </c>
      <c r="L27" s="171">
        <f>'1a'!L9/'1b'!$D9*100</f>
        <v>0.54195582870098624</v>
      </c>
      <c r="M27" s="196">
        <f>'1a'!M9/'1b'!$D9*100</f>
        <v>1.683556031258272</v>
      </c>
    </row>
    <row r="28" spans="1:13">
      <c r="A28" s="16">
        <v>2003</v>
      </c>
      <c r="B28" s="106">
        <f>'1a'!B28/'1b'!$B28*100</f>
        <v>2.1606495940037473</v>
      </c>
      <c r="C28" s="104">
        <f>'1a'!C28/'1b'!$B28*100</f>
        <v>3.3618363522798256</v>
      </c>
      <c r="D28" s="104">
        <f>'1a'!D28/'1b'!$B28*100</f>
        <v>0.39250468457214238</v>
      </c>
      <c r="E28" s="110">
        <f>'1a'!E28/'1b'!$B28*100</f>
        <v>5.9149906308557147</v>
      </c>
      <c r="F28" s="106">
        <f>'1a'!F28/'1b'!$C28*100</f>
        <v>0.34044694986913632</v>
      </c>
      <c r="G28" s="104">
        <f>'1a'!G28/'1b'!$C28*100</f>
        <v>1.3233742701832092</v>
      </c>
      <c r="H28" s="104">
        <f>'1a'!H28/'1b'!$C28*100</f>
        <v>7.1391181799879203E-2</v>
      </c>
      <c r="I28" s="110">
        <f>'1a'!I28/'1b'!$C28*100</f>
        <v>1.7352124018522246</v>
      </c>
      <c r="J28" s="171">
        <f>'1a'!J10/'1b'!$D10*100</f>
        <v>0.69070592861014002</v>
      </c>
      <c r="K28" s="171">
        <f>'1a'!K10/'1b'!$D10*100</f>
        <v>0.46109050721018457</v>
      </c>
      <c r="L28" s="171">
        <f>'1a'!L10/'1b'!$D10*100</f>
        <v>0.51401124299969181</v>
      </c>
      <c r="M28" s="196">
        <f>'1a'!M10/'1b'!$D10*100</f>
        <v>1.6658076788200167</v>
      </c>
    </row>
    <row r="29" spans="1:13">
      <c r="A29" s="16">
        <v>2004</v>
      </c>
      <c r="B29" s="106">
        <f>'1a'!B29/'1b'!$B29*100</f>
        <v>2.0935502785107007</v>
      </c>
      <c r="C29" s="104">
        <f>'1a'!C29/'1b'!$B29*100</f>
        <v>3.92919964819701</v>
      </c>
      <c r="D29" s="104">
        <f>'1a'!D29/'1b'!$B29*100</f>
        <v>0.36962767516857231</v>
      </c>
      <c r="E29" s="110">
        <f>'1a'!E29/'1b'!$B29*100</f>
        <v>6.3923776018762828</v>
      </c>
      <c r="F29" s="106">
        <f>'1a'!F29/'1b'!$C29*100</f>
        <v>0.3062207838906868</v>
      </c>
      <c r="G29" s="104">
        <f>'1a'!G29/'1b'!$C29*100</f>
        <v>2.1236785329018337</v>
      </c>
      <c r="H29" s="104">
        <f>'1a'!H29/'1b'!$C29*100</f>
        <v>7.5782092772384027E-2</v>
      </c>
      <c r="I29" s="110">
        <f>'1a'!I29/'1b'!$C29*100</f>
        <v>2.5056814095649047</v>
      </c>
      <c r="J29" s="171">
        <f>'1a'!J11/'1b'!$D11*100</f>
        <v>0.69092935724483329</v>
      </c>
      <c r="K29" s="171">
        <f>'1a'!K11/'1b'!$D11*100</f>
        <v>0.54157155254244194</v>
      </c>
      <c r="L29" s="171">
        <f>'1a'!L11/'1b'!$D11*100</f>
        <v>0.54689030892049595</v>
      </c>
      <c r="M29" s="196">
        <f>'1a'!M11/'1b'!$D11*100</f>
        <v>1.7793912187077714</v>
      </c>
    </row>
    <row r="30" spans="1:13">
      <c r="A30" s="16">
        <v>2005</v>
      </c>
      <c r="B30" s="106">
        <f>'1a'!B30/'1b'!$B30*100</f>
        <v>2.1651129607609989</v>
      </c>
      <c r="C30" s="104">
        <f>'1a'!C30/'1b'!$B30*100</f>
        <v>4.730059453032105</v>
      </c>
      <c r="D30" s="104">
        <f>'1a'!D30/'1b'!$B30*100</f>
        <v>0.29426872770511298</v>
      </c>
      <c r="E30" s="110">
        <f>'1a'!E30/'1b'!$B30*100</f>
        <v>7.1894411414982162</v>
      </c>
      <c r="F30" s="106">
        <f>'1a'!F30/'1b'!$C30*100</f>
        <v>0.41591572123176662</v>
      </c>
      <c r="G30" s="104">
        <f>'1a'!G30/'1b'!$C30*100</f>
        <v>2.4537277147487844</v>
      </c>
      <c r="H30" s="104">
        <f>'1a'!H30/'1b'!$C30*100</f>
        <v>0.13575364667747161</v>
      </c>
      <c r="I30" s="110">
        <f>'1a'!I30/'1b'!$C30*100</f>
        <v>3.005397082658023</v>
      </c>
      <c r="J30" s="171">
        <f>'1a'!J12/'1b'!$D12*100</f>
        <v>0.88152233480638509</v>
      </c>
      <c r="K30" s="171">
        <f>'1a'!K12/'1b'!$D12*100</f>
        <v>0.5798304630201836</v>
      </c>
      <c r="L30" s="171">
        <f>'1a'!L12/'1b'!$D12*100</f>
        <v>0.6314144794375196</v>
      </c>
      <c r="M30" s="196">
        <f>'1a'!M12/'1b'!$D12*100</f>
        <v>2.0927672772640884</v>
      </c>
    </row>
    <row r="31" spans="1:13">
      <c r="A31" s="16">
        <v>2006</v>
      </c>
      <c r="B31" s="106">
        <f>'1a'!B31/'1b'!$B31*100</f>
        <v>1.5160859083936007</v>
      </c>
      <c r="C31" s="104">
        <f>'1a'!C31/'1b'!$B31*100</f>
        <v>3.5044488275257502</v>
      </c>
      <c r="D31" s="104">
        <f>'1a'!D31/'1b'!$B31*100</f>
        <v>0.34201183431952664</v>
      </c>
      <c r="E31" s="110">
        <f>'1a'!E31/'1b'!$B31*100</f>
        <v>5.3625465702388775</v>
      </c>
      <c r="F31" s="106">
        <f>'1a'!F31/'1b'!$C31*100</f>
        <v>0.37671843764416424</v>
      </c>
      <c r="G31" s="104">
        <f>'1a'!G31/'1b'!$C31*100</f>
        <v>1.9579117330462863</v>
      </c>
      <c r="H31" s="104">
        <f>'1a'!H31/'1b'!$C31*100</f>
        <v>0.11151776103336922</v>
      </c>
      <c r="I31" s="110">
        <f>'1a'!I31/'1b'!$C31*100</f>
        <v>2.4461479317238197</v>
      </c>
      <c r="J31" s="171">
        <f>'1a'!J13/'1b'!$D13*100</f>
        <v>0.67402525921187684</v>
      </c>
      <c r="K31" s="171">
        <f>'1a'!K13/'1b'!$D13*100</f>
        <v>0.65910689581159509</v>
      </c>
      <c r="L31" s="171">
        <f>'1a'!L13/'1b'!$D13*100</f>
        <v>0.67804174166579889</v>
      </c>
      <c r="M31" s="196">
        <f>'1a'!M13/'1b'!$D13*100</f>
        <v>2.0111738966892707</v>
      </c>
    </row>
    <row r="32" spans="1:13">
      <c r="A32" s="16">
        <v>2007</v>
      </c>
      <c r="B32" s="106">
        <f>'1a'!B32/'1b'!$B32*100</f>
        <v>2.9970364272484051</v>
      </c>
      <c r="C32" s="104">
        <f>'1a'!C32/'1b'!$B32*100</f>
        <v>3.5381765795431153</v>
      </c>
      <c r="D32" s="104">
        <f>'1a'!D32/'1b'!$B32*100</f>
        <v>0.8554023461617617</v>
      </c>
      <c r="E32" s="110">
        <f>'1a'!E32/'1b'!$B32*100</f>
        <v>7.3906153529532821</v>
      </c>
      <c r="F32" s="106">
        <f>'1a'!F32/'1b'!$C32*100</f>
        <v>0.16140432819554729</v>
      </c>
      <c r="G32" s="104">
        <f>'1a'!G32/'1b'!$C32*100</f>
        <v>2.4414292386735168</v>
      </c>
      <c r="H32" s="104">
        <f>'1a'!H32/'1b'!$C32*100</f>
        <v>5.9240230421921225E-2</v>
      </c>
      <c r="I32" s="110">
        <f>'1a'!I32/'1b'!$C32*100</f>
        <v>2.6620737972909851</v>
      </c>
      <c r="J32" s="171">
        <f>'1a'!J14/'1b'!$D14*100</f>
        <v>0.69652515196477294</v>
      </c>
      <c r="K32" s="171">
        <f>'1a'!K14/'1b'!$D14*100</f>
        <v>0.69700378117072703</v>
      </c>
      <c r="L32" s="171">
        <f>'1a'!L14/'1b'!$D14*100</f>
        <v>0.70290687471082813</v>
      </c>
      <c r="M32" s="196">
        <f>'1a'!M14/'1b'!$D14*100</f>
        <v>2.0964358078463285</v>
      </c>
    </row>
    <row r="33" spans="1:13">
      <c r="A33" s="17">
        <v>2008</v>
      </c>
      <c r="B33" s="107">
        <f>'1a'!B33/'1b'!$B33*100</f>
        <v>1.1193421912437378</v>
      </c>
      <c r="C33" s="108">
        <f>'1a'!C33/'1b'!$B33*100</f>
        <v>3.765715530385537</v>
      </c>
      <c r="D33" s="108">
        <f>'1a'!D33/'1b'!$B33*100</f>
        <v>0.24541494227837071</v>
      </c>
      <c r="E33" s="111">
        <f>'1a'!E33/'1b'!$B33*100</f>
        <v>5.1304726639076454</v>
      </c>
      <c r="F33" s="107">
        <f>'1a'!F33/'1b'!$C33*100</f>
        <v>0.1740799241825936</v>
      </c>
      <c r="G33" s="108">
        <f>'1a'!G33/'1b'!$C33*100</f>
        <v>2.4173748223029539</v>
      </c>
      <c r="H33" s="108">
        <f>'1a'!H33/'1b'!$C33*100</f>
        <v>8.6463433896698791E-2</v>
      </c>
      <c r="I33" s="111">
        <f>'1a'!I33/'1b'!$C33*100</f>
        <v>2.677918180382246</v>
      </c>
      <c r="J33" s="198">
        <f>'1a'!J15/'1b'!$D15*100</f>
        <v>0.61099804244476896</v>
      </c>
      <c r="K33" s="198">
        <f>'1a'!K15/'1b'!$D15*100</f>
        <v>0.76983578286673082</v>
      </c>
      <c r="L33" s="198">
        <f>'1a'!L15/'1b'!$D15*100</f>
        <v>0.73917130161886702</v>
      </c>
      <c r="M33" s="199">
        <f>'1a'!M15/'1b'!$D15*100</f>
        <v>2.120005126930367</v>
      </c>
    </row>
    <row r="34" spans="1:13">
      <c r="A34" s="26"/>
      <c r="B34" s="10"/>
      <c r="C34" s="10"/>
      <c r="D34" s="10"/>
      <c r="E34" s="10"/>
      <c r="F34" s="10"/>
      <c r="G34" s="10"/>
      <c r="H34" s="10"/>
      <c r="I34" s="10"/>
    </row>
    <row r="35" spans="1:13">
      <c r="A35" s="384" t="s">
        <v>52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3"/>
    </row>
    <row r="36" spans="1:13">
      <c r="A36" s="27" t="s">
        <v>53</v>
      </c>
      <c r="B36" s="82" t="s">
        <v>37</v>
      </c>
      <c r="C36" s="83" t="s">
        <v>37</v>
      </c>
      <c r="D36" s="83" t="s">
        <v>37</v>
      </c>
      <c r="E36" s="84" t="s">
        <v>37</v>
      </c>
      <c r="F36" s="83" t="s">
        <v>37</v>
      </c>
      <c r="G36" s="83" t="s">
        <v>37</v>
      </c>
      <c r="H36" s="83" t="s">
        <v>37</v>
      </c>
      <c r="I36" s="83" t="s">
        <v>37</v>
      </c>
      <c r="J36" s="82">
        <f>(POWER(J15/J6,1/($A15-$A6))-1)*100</f>
        <v>-2.748463308785043</v>
      </c>
      <c r="K36" s="83">
        <f t="shared" ref="K36:M36" si="0">(POWER(K15/K6,1/($A15-$A6))-1)*100</f>
        <v>11.621404888451558</v>
      </c>
      <c r="L36" s="83">
        <f t="shared" si="0"/>
        <v>0.58758364269912988</v>
      </c>
      <c r="M36" s="84">
        <f t="shared" si="0"/>
        <v>2.0085284910421164</v>
      </c>
    </row>
    <row r="37" spans="1:13">
      <c r="A37" s="28" t="s">
        <v>71</v>
      </c>
      <c r="B37" s="85" t="s">
        <v>37</v>
      </c>
      <c r="C37" s="86" t="s">
        <v>37</v>
      </c>
      <c r="D37" s="86" t="s">
        <v>37</v>
      </c>
      <c r="E37" s="87" t="s">
        <v>37</v>
      </c>
      <c r="F37" s="86" t="s">
        <v>37</v>
      </c>
      <c r="G37" s="86" t="s">
        <v>37</v>
      </c>
      <c r="H37" s="86" t="s">
        <v>37</v>
      </c>
      <c r="I37" s="86" t="s">
        <v>37</v>
      </c>
      <c r="J37" s="37">
        <f>(POWER(J25/J6,1/($A25-$A6))-1)*100</f>
        <v>-0.75568821006306575</v>
      </c>
      <c r="K37" s="34">
        <f t="shared" ref="K37:M37" si="1">(POWER(K25/K6,1/($A25-$A6))-1)*100</f>
        <v>1.0087804581165871</v>
      </c>
      <c r="L37" s="34">
        <f>(POWER(L25/L6,1/($A25-$A6))-1)*100</f>
        <v>-0.11381889822396074</v>
      </c>
      <c r="M37" s="38">
        <f t="shared" si="1"/>
        <v>-0.18188712292983578</v>
      </c>
    </row>
    <row r="38" spans="1:13">
      <c r="A38" s="28" t="s">
        <v>59</v>
      </c>
      <c r="B38" s="37">
        <f>(POWER(B$33/B25,1/($A$33-$A$25))-1)*100</f>
        <v>12.47061346159799</v>
      </c>
      <c r="C38" s="34">
        <f t="shared" ref="C38:M38" si="2">(POWER(C$33/C25,1/($A$33-$A$25))-1)*100</f>
        <v>-3.3281802096412294</v>
      </c>
      <c r="D38" s="34">
        <f t="shared" si="2"/>
        <v>18.657776939717419</v>
      </c>
      <c r="E38" s="38">
        <f t="shared" si="2"/>
        <v>-0.72149515514738916</v>
      </c>
      <c r="F38" s="34">
        <f t="shared" si="2"/>
        <v>-19.386204179093593</v>
      </c>
      <c r="G38" s="34">
        <f t="shared" si="2"/>
        <v>1.6555999111361519</v>
      </c>
      <c r="H38" s="34">
        <f t="shared" si="2"/>
        <v>-13.615043471017652</v>
      </c>
      <c r="I38" s="34">
        <f t="shared" si="2"/>
        <v>-2.8493393137244971</v>
      </c>
      <c r="J38" s="37">
        <f>(POWER(J$33/J25,1/($A$33-$A$25))-1)*100</f>
        <v>-1.3248776908218907</v>
      </c>
      <c r="K38" s="34">
        <f>(POWER(K$33/K25,1/($A$33-$A$25))-1)*100</f>
        <v>10.500181596813718</v>
      </c>
      <c r="L38" s="34">
        <f t="shared" si="2"/>
        <v>0.93390488239473157</v>
      </c>
      <c r="M38" s="38">
        <f t="shared" si="2"/>
        <v>2.7055292709957213</v>
      </c>
    </row>
    <row r="39" spans="1:13">
      <c r="A39" s="29" t="s">
        <v>58</v>
      </c>
      <c r="B39" s="88" t="s">
        <v>37</v>
      </c>
      <c r="C39" s="89" t="s">
        <v>37</v>
      </c>
      <c r="D39" s="89" t="s">
        <v>37</v>
      </c>
      <c r="E39" s="90" t="s">
        <v>37</v>
      </c>
      <c r="F39" s="89" t="s">
        <v>37</v>
      </c>
      <c r="G39" s="89" t="s">
        <v>37</v>
      </c>
      <c r="H39" s="89" t="s">
        <v>37</v>
      </c>
      <c r="I39" s="89" t="s">
        <v>37</v>
      </c>
      <c r="J39" s="39">
        <f t="shared" ref="J39:M39" si="3">(POWER(J33/J24,1/($A33-$A24))-1)*100</f>
        <v>-2.748463308785043</v>
      </c>
      <c r="K39" s="40">
        <f t="shared" si="3"/>
        <v>11.621404888451558</v>
      </c>
      <c r="L39" s="40">
        <f t="shared" si="3"/>
        <v>0.58758364269912988</v>
      </c>
      <c r="M39" s="41">
        <f t="shared" si="3"/>
        <v>2.0085284910421164</v>
      </c>
    </row>
    <row r="41" spans="1:13">
      <c r="A41" s="389" t="s">
        <v>77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0"/>
    </row>
    <row r="42" spans="1:13">
      <c r="A42" s="27" t="s">
        <v>53</v>
      </c>
      <c r="B42" s="82" t="s">
        <v>37</v>
      </c>
      <c r="C42" s="83" t="s">
        <v>37</v>
      </c>
      <c r="D42" s="83" t="s">
        <v>37</v>
      </c>
      <c r="E42" s="84" t="s">
        <v>37</v>
      </c>
      <c r="F42" s="82" t="s">
        <v>37</v>
      </c>
      <c r="G42" s="83" t="s">
        <v>37</v>
      </c>
      <c r="H42" s="83" t="s">
        <v>37</v>
      </c>
      <c r="I42" s="84" t="s">
        <v>37</v>
      </c>
      <c r="J42" s="83">
        <f>J15-J6</f>
        <v>-0.17418618490665294</v>
      </c>
      <c r="K42" s="83">
        <f t="shared" ref="K42:M42" si="4">K15-K6</f>
        <v>0.48363505443415394</v>
      </c>
      <c r="L42" s="83">
        <f t="shared" si="4"/>
        <v>3.7965149452606206E-2</v>
      </c>
      <c r="M42" s="84">
        <f t="shared" si="4"/>
        <v>0.34741401898010738</v>
      </c>
    </row>
    <row r="43" spans="1:13">
      <c r="A43" s="28" t="s">
        <v>71</v>
      </c>
      <c r="B43" s="85" t="s">
        <v>37</v>
      </c>
      <c r="C43" s="86" t="s">
        <v>37</v>
      </c>
      <c r="D43" s="86" t="s">
        <v>37</v>
      </c>
      <c r="E43" s="87" t="s">
        <v>37</v>
      </c>
      <c r="F43" s="85" t="s">
        <v>37</v>
      </c>
      <c r="G43" s="86" t="s">
        <v>37</v>
      </c>
      <c r="H43" s="86" t="s">
        <v>37</v>
      </c>
      <c r="I43" s="87" t="s">
        <v>37</v>
      </c>
      <c r="J43" s="86">
        <f>J25-J15</f>
        <v>6.8797686688740534E-2</v>
      </c>
      <c r="K43" s="86">
        <f t="shared" ref="K43:M43" si="5">K25-K15</f>
        <v>-0.42350255563615108</v>
      </c>
      <c r="L43" s="86">
        <f t="shared" si="5"/>
        <v>-5.2974808545531604E-2</v>
      </c>
      <c r="M43" s="87">
        <f t="shared" si="5"/>
        <v>-0.40767967749294232</v>
      </c>
    </row>
    <row r="44" spans="1:13">
      <c r="A44" s="28" t="s">
        <v>59</v>
      </c>
      <c r="B44" s="85">
        <f>B33-B25</f>
        <v>0.6821721806840757</v>
      </c>
      <c r="C44" s="86">
        <f t="shared" ref="C44:J44" si="6">C33-C25</f>
        <v>-1.1711165709872193</v>
      </c>
      <c r="D44" s="86">
        <f t="shared" si="6"/>
        <v>0.18296510067330207</v>
      </c>
      <c r="E44" s="87">
        <f t="shared" si="6"/>
        <v>-0.30597928962984167</v>
      </c>
      <c r="F44" s="85">
        <f t="shared" si="6"/>
        <v>-0.80197379482567066</v>
      </c>
      <c r="G44" s="86">
        <f t="shared" si="6"/>
        <v>0.29758143387320191</v>
      </c>
      <c r="H44" s="86">
        <f t="shared" si="6"/>
        <v>-0.19235888015288799</v>
      </c>
      <c r="I44" s="87">
        <f t="shared" si="6"/>
        <v>-0.69675124110535736</v>
      </c>
      <c r="J44" s="86">
        <f t="shared" si="6"/>
        <v>-6.8797686688740534E-2</v>
      </c>
      <c r="K44" s="86">
        <f t="shared" ref="K44:M44" si="7">K33-K25</f>
        <v>0.42350255563615108</v>
      </c>
      <c r="L44" s="86">
        <f t="shared" si="7"/>
        <v>5.2974808545531604E-2</v>
      </c>
      <c r="M44" s="87">
        <f t="shared" si="7"/>
        <v>0.40767967749294232</v>
      </c>
    </row>
    <row r="45" spans="1:13">
      <c r="A45" s="29" t="s">
        <v>58</v>
      </c>
      <c r="B45" s="88" t="s">
        <v>37</v>
      </c>
      <c r="C45" s="89" t="s">
        <v>37</v>
      </c>
      <c r="D45" s="89" t="s">
        <v>37</v>
      </c>
      <c r="E45" s="90" t="s">
        <v>37</v>
      </c>
      <c r="F45" s="88" t="s">
        <v>37</v>
      </c>
      <c r="G45" s="89" t="s">
        <v>37</v>
      </c>
      <c r="H45" s="89" t="s">
        <v>37</v>
      </c>
      <c r="I45" s="90" t="s">
        <v>37</v>
      </c>
      <c r="J45" s="89">
        <f>J33-J6</f>
        <v>-0.17418618490665294</v>
      </c>
      <c r="K45" s="89">
        <f t="shared" ref="K45:M45" si="8">K33-K6</f>
        <v>0.48363505443415394</v>
      </c>
      <c r="L45" s="89">
        <f t="shared" si="8"/>
        <v>3.7965149452606206E-2</v>
      </c>
      <c r="M45" s="90">
        <f t="shared" si="8"/>
        <v>0.34741401898010738</v>
      </c>
    </row>
    <row r="46" spans="1:13">
      <c r="A46" s="26"/>
    </row>
    <row r="47" spans="1:13">
      <c r="A47" s="204" t="s">
        <v>208</v>
      </c>
    </row>
  </sheetData>
  <mergeCells count="5">
    <mergeCell ref="B4:E4"/>
    <mergeCell ref="F4:I4"/>
    <mergeCell ref="J4:M4"/>
    <mergeCell ref="A35:M35"/>
    <mergeCell ref="A41:M41"/>
  </mergeCells>
  <pageMargins left="0.7" right="0.7" top="0.75" bottom="0.75" header="0.3" footer="0.3"/>
  <pageSetup scale="6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50"/>
  <dimension ref="A1:M30"/>
  <sheetViews>
    <sheetView zoomScaleNormal="100" workbookViewId="0">
      <selection activeCell="B15" sqref="B15"/>
    </sheetView>
  </sheetViews>
  <sheetFormatPr defaultRowHeight="15"/>
  <cols>
    <col min="2" max="2" width="11.5703125" customWidth="1"/>
    <col min="4" max="4" width="18.5703125" customWidth="1"/>
    <col min="6" max="6" width="12.5703125" customWidth="1"/>
    <col min="8" max="8" width="18.140625" customWidth="1"/>
    <col min="10" max="10" width="11.28515625" customWidth="1"/>
    <col min="12" max="12" width="17.42578125" customWidth="1"/>
  </cols>
  <sheetData>
    <row r="1" spans="1:13">
      <c r="A1" s="2" t="s">
        <v>243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8"/>
      <c r="B3" s="393" t="s">
        <v>54</v>
      </c>
      <c r="C3" s="394"/>
      <c r="D3" s="394"/>
      <c r="E3" s="395"/>
      <c r="F3" s="393" t="s">
        <v>55</v>
      </c>
      <c r="G3" s="394"/>
      <c r="H3" s="394"/>
      <c r="I3" s="395"/>
      <c r="J3" s="393" t="s">
        <v>56</v>
      </c>
      <c r="K3" s="394"/>
      <c r="L3" s="394"/>
      <c r="M3" s="395"/>
    </row>
    <row r="4" spans="1:13" ht="30">
      <c r="A4" s="18"/>
      <c r="B4" s="273" t="s">
        <v>0</v>
      </c>
      <c r="C4" s="274" t="s">
        <v>1</v>
      </c>
      <c r="D4" s="274" t="s">
        <v>2</v>
      </c>
      <c r="E4" s="275" t="s">
        <v>88</v>
      </c>
      <c r="F4" s="273" t="s">
        <v>0</v>
      </c>
      <c r="G4" s="274" t="s">
        <v>1</v>
      </c>
      <c r="H4" s="274" t="s">
        <v>2</v>
      </c>
      <c r="I4" s="275" t="s">
        <v>88</v>
      </c>
      <c r="J4" s="273" t="s">
        <v>0</v>
      </c>
      <c r="K4" s="274" t="s">
        <v>1</v>
      </c>
      <c r="L4" s="274" t="s">
        <v>2</v>
      </c>
      <c r="M4" s="275" t="s">
        <v>88</v>
      </c>
    </row>
    <row r="5" spans="1:13">
      <c r="A5" s="64">
        <v>1992</v>
      </c>
      <c r="B5" s="292">
        <f>IFERROR('1n'!$B$15*'4f'!B17, "na")</f>
        <v>8.5787464206172476E-2</v>
      </c>
      <c r="C5" s="293">
        <f>IFERROR('1n'!$B$15*'4f'!C17, "na")</f>
        <v>1.3708996181991731</v>
      </c>
      <c r="D5" s="293">
        <f>IFERROR('1n'!$B$15*'4f'!D17, "na")</f>
        <v>0.1920529748647789</v>
      </c>
      <c r="E5" s="294">
        <f>IFERROR('1n'!$B$15*'4f'!E17, "na")</f>
        <v>1.6487400572701241</v>
      </c>
      <c r="F5" s="292">
        <f>IFERROR('1n'!$B$15*'4f'!F17, "na")</f>
        <v>3.7410286358693458E-2</v>
      </c>
      <c r="G5" s="293">
        <f>IFERROR('1n'!$B$15*'4f'!G17, "na")</f>
        <v>0.18949091787828748</v>
      </c>
      <c r="H5" s="293">
        <f>IFERROR('1n'!$B$15*'4f'!H17, "na")</f>
        <v>0.11172942929638729</v>
      </c>
      <c r="I5" s="294">
        <f>IFERROR('1n'!$B$15*'4f'!I17, "na")</f>
        <v>0.3386306335333682</v>
      </c>
      <c r="J5" s="292" t="str">
        <f>IFERROR('1n'!$B$15*'4f'!J17, "na")</f>
        <v>na</v>
      </c>
      <c r="K5" s="293" t="str">
        <f>IFERROR('1n'!$B$15*'4f'!K17, "na")</f>
        <v>na</v>
      </c>
      <c r="L5" s="293" t="str">
        <f>IFERROR('1n'!$B$15*'4f'!L17, "na")</f>
        <v>na</v>
      </c>
      <c r="M5" s="294" t="str">
        <f>IFERROR('1n'!$B$15*'4f'!M17, "na")</f>
        <v>na</v>
      </c>
    </row>
    <row r="6" spans="1:13">
      <c r="A6" s="65">
        <v>1993</v>
      </c>
      <c r="B6" s="292">
        <f>IFERROR('1n'!$B$15*'4f'!B18, "na")</f>
        <v>0.17602566145999363</v>
      </c>
      <c r="C6" s="293">
        <f>IFERROR('1n'!$B$15*'4f'!C18, "na")</f>
        <v>1.3431638508128783</v>
      </c>
      <c r="D6" s="293">
        <f>IFERROR('1n'!$B$15*'4f'!D18, "na")</f>
        <v>0.15960392094357662</v>
      </c>
      <c r="E6" s="294">
        <f>IFERROR('1n'!$B$15*'4f'!E18, "na")</f>
        <v>1.6787934332164489</v>
      </c>
      <c r="F6" s="292">
        <f>IFERROR('1n'!$B$15*'4f'!F18, "na")</f>
        <v>3.1726627926850111E-2</v>
      </c>
      <c r="G6" s="293">
        <f>IFERROR('1n'!$B$15*'4f'!G18, "na")</f>
        <v>0.22244402666210902</v>
      </c>
      <c r="H6" s="293">
        <f>IFERROR('1n'!$B$15*'4f'!H18, "na")</f>
        <v>9.9531063066142553E-2</v>
      </c>
      <c r="I6" s="294">
        <f>IFERROR('1n'!$B$15*'4f'!I18, "na")</f>
        <v>0.35370171765510172</v>
      </c>
      <c r="J6" s="292" t="str">
        <f>IFERROR('1n'!$B$15*'4f'!J18, "na")</f>
        <v>na</v>
      </c>
      <c r="K6" s="293" t="str">
        <f>IFERROR('1n'!$B$15*'4f'!K18, "na")</f>
        <v>na</v>
      </c>
      <c r="L6" s="293" t="str">
        <f>IFERROR('1n'!$B$15*'4f'!L18, "na")</f>
        <v>na</v>
      </c>
      <c r="M6" s="294" t="str">
        <f>IFERROR('1n'!$B$15*'4f'!M18, "na")</f>
        <v>na</v>
      </c>
    </row>
    <row r="7" spans="1:13">
      <c r="A7" s="65">
        <v>1994</v>
      </c>
      <c r="B7" s="292">
        <f>IFERROR('1n'!$B$15*'4f'!B19, "na")</f>
        <v>9.6873716877536403E-2</v>
      </c>
      <c r="C7" s="293">
        <f>IFERROR('1n'!$B$15*'4f'!C19, "na")</f>
        <v>1.0866130341370255</v>
      </c>
      <c r="D7" s="293">
        <f>IFERROR('1n'!$B$15*'4f'!D19, "na")</f>
        <v>0.13282716638815945</v>
      </c>
      <c r="E7" s="294">
        <f>IFERROR('1n'!$B$15*'4f'!E19, "na")</f>
        <v>1.3163139174027216</v>
      </c>
      <c r="F7" s="292">
        <f>IFERROR('1n'!$B$15*'4f'!F19, "na")</f>
        <v>3.3766426783479346E-2</v>
      </c>
      <c r="G7" s="293">
        <f>IFERROR('1n'!$B$15*'4f'!G19, "na")</f>
        <v>0.22265859668335417</v>
      </c>
      <c r="H7" s="293">
        <f>IFERROR('1n'!$B$15*'4f'!H19, "na")</f>
        <v>7.6521824155193999E-2</v>
      </c>
      <c r="I7" s="294">
        <f>IFERROR('1n'!$B$15*'4f'!I19, "na")</f>
        <v>0.33294684762202753</v>
      </c>
      <c r="J7" s="292" t="str">
        <f>IFERROR('1n'!$B$15*'4f'!J19, "na")</f>
        <v>na</v>
      </c>
      <c r="K7" s="293" t="str">
        <f>IFERROR('1n'!$B$15*'4f'!K19, "na")</f>
        <v>na</v>
      </c>
      <c r="L7" s="293" t="str">
        <f>IFERROR('1n'!$B$15*'4f'!L19, "na")</f>
        <v>na</v>
      </c>
      <c r="M7" s="294" t="str">
        <f>IFERROR('1n'!$B$15*'4f'!M19, "na")</f>
        <v>na</v>
      </c>
    </row>
    <row r="8" spans="1:13">
      <c r="A8" s="65">
        <v>1995</v>
      </c>
      <c r="B8" s="292">
        <f>IFERROR('1n'!$B$15*'4f'!B20, "na")</f>
        <v>8.7091786380085537E-2</v>
      </c>
      <c r="C8" s="293">
        <f>IFERROR('1n'!$B$15*'4f'!C20, "na")</f>
        <v>1.1709112841320324</v>
      </c>
      <c r="D8" s="293">
        <f>IFERROR('1n'!$B$15*'4f'!D20, "na")</f>
        <v>0.12575227546880141</v>
      </c>
      <c r="E8" s="294">
        <f>IFERROR('1n'!$B$15*'4f'!E20, "na")</f>
        <v>1.3837553459809193</v>
      </c>
      <c r="F8" s="292">
        <f>IFERROR('1n'!$B$15*'4f'!F20, "na")</f>
        <v>7.4583799507719858E-2</v>
      </c>
      <c r="G8" s="293">
        <f>IFERROR('1n'!$B$15*'4f'!G20, "na")</f>
        <v>0.30417073170731707</v>
      </c>
      <c r="H8" s="293">
        <f>IFERROR('1n'!$B$15*'4f'!H20, "na")</f>
        <v>7.3560751846050584E-2</v>
      </c>
      <c r="I8" s="294">
        <f>IFERROR('1n'!$B$15*'4f'!I20, "na")</f>
        <v>0.45231528306108754</v>
      </c>
      <c r="J8" s="292" t="str">
        <f>IFERROR('1n'!$B$15*'4f'!J20, "na")</f>
        <v>na</v>
      </c>
      <c r="K8" s="293" t="str">
        <f>IFERROR('1n'!$B$15*'4f'!K20, "na")</f>
        <v>na</v>
      </c>
      <c r="L8" s="293" t="str">
        <f>IFERROR('1n'!$B$15*'4f'!L20, "na")</f>
        <v>na</v>
      </c>
      <c r="M8" s="294" t="str">
        <f>IFERROR('1n'!$B$15*'4f'!M20, "na")</f>
        <v>na</v>
      </c>
    </row>
    <row r="9" spans="1:13">
      <c r="A9" s="65">
        <v>1996</v>
      </c>
      <c r="B9" s="292">
        <f>IFERROR('1n'!$B$15*'4f'!B21, "na")</f>
        <v>9.720665071536698E-2</v>
      </c>
      <c r="C9" s="293">
        <f>IFERROR('1n'!$B$15*'4f'!C21, "na")</f>
        <v>1.0574256555495873</v>
      </c>
      <c r="D9" s="293">
        <f>IFERROR('1n'!$B$15*'4f'!D21, "na")</f>
        <v>0.12031642170027833</v>
      </c>
      <c r="E9" s="294">
        <f>IFERROR('1n'!$B$15*'4f'!E21, "na")</f>
        <v>1.2749487279652325</v>
      </c>
      <c r="F9" s="292">
        <f>IFERROR('1n'!$B$15*'4f'!F21, "na")</f>
        <v>0.16874229902329074</v>
      </c>
      <c r="G9" s="293">
        <f>IFERROR('1n'!$B$15*'4f'!G21, "na")</f>
        <v>0.44909616829451532</v>
      </c>
      <c r="H9" s="293">
        <f>IFERROR('1n'!$B$15*'4f'!H21, "na")</f>
        <v>6.9184072126220894E-2</v>
      </c>
      <c r="I9" s="294">
        <f>IFERROR('1n'!$B$15*'4f'!I21, "na")</f>
        <v>0.68702253944402691</v>
      </c>
      <c r="J9" s="292" t="str">
        <f>IFERROR('1n'!$B$15*'4f'!J21, "na")</f>
        <v>na</v>
      </c>
      <c r="K9" s="293" t="str">
        <f>IFERROR('1n'!$B$15*'4f'!K21, "na")</f>
        <v>na</v>
      </c>
      <c r="L9" s="293" t="str">
        <f>IFERROR('1n'!$B$15*'4f'!L21, "na")</f>
        <v>na</v>
      </c>
      <c r="M9" s="294" t="str">
        <f>IFERROR('1n'!$B$15*'4f'!M21, "na")</f>
        <v>na</v>
      </c>
    </row>
    <row r="10" spans="1:13">
      <c r="A10" s="65">
        <v>1997</v>
      </c>
      <c r="B10" s="292">
        <f>IFERROR('1n'!$B$15*'4f'!B22, "na")</f>
        <v>0.30010500000000001</v>
      </c>
      <c r="C10" s="293">
        <f>IFERROR('1n'!$B$15*'4f'!C22, "na")</f>
        <v>1.4112414285714285</v>
      </c>
      <c r="D10" s="293">
        <f>IFERROR('1n'!$B$15*'4f'!D22, "na")</f>
        <v>0.25623642857142859</v>
      </c>
      <c r="E10" s="294">
        <f>IFERROR('1n'!$B$15*'4f'!E22, "na")</f>
        <v>1.9675828571428573</v>
      </c>
      <c r="F10" s="292">
        <f>IFERROR('1n'!$B$15*'4f'!F22, "na")</f>
        <v>0.33922032193158946</v>
      </c>
      <c r="G10" s="293">
        <f>IFERROR('1n'!$B$15*'4f'!G22, "na")</f>
        <v>0.89077883970489613</v>
      </c>
      <c r="H10" s="293">
        <f>IFERROR('1n'!$B$15*'4f'!H22, "na")</f>
        <v>6.7236753856472167E-2</v>
      </c>
      <c r="I10" s="294">
        <f>IFERROR('1n'!$B$15*'4f'!I22, "na")</f>
        <v>1.2972359154929578</v>
      </c>
      <c r="J10" s="292">
        <f>IFERROR('1n'!$B$15*'4f'!J22, "na")</f>
        <v>0.15570213504599895</v>
      </c>
      <c r="K10" s="293">
        <f>IFERROR('1n'!$B$15*'4f'!K22, "na")</f>
        <v>0.65157194617971004</v>
      </c>
      <c r="L10" s="293">
        <f>IFERROR('1n'!$B$15*'4f'!L22, "na")</f>
        <v>0.72213760857137388</v>
      </c>
      <c r="M10" s="294">
        <f>IFERROR('1n'!$B$15*'4f'!M22, "na")</f>
        <v>1.5294116897970831</v>
      </c>
    </row>
    <row r="11" spans="1:13">
      <c r="A11" s="65">
        <v>1998</v>
      </c>
      <c r="B11" s="292">
        <f>IFERROR('1n'!$B$15*'4f'!B23, "na")</f>
        <v>0.52161697905181925</v>
      </c>
      <c r="C11" s="293">
        <f>IFERROR('1n'!$B$15*'4f'!C23, "na")</f>
        <v>1.6604288864388093</v>
      </c>
      <c r="D11" s="293">
        <f>IFERROR('1n'!$B$15*'4f'!D23, "na")</f>
        <v>0.21747056229327458</v>
      </c>
      <c r="E11" s="294">
        <f>IFERROR('1n'!$B$15*'4f'!E23, "na")</f>
        <v>2.3995164277839032</v>
      </c>
      <c r="F11" s="292">
        <f>IFERROR('1n'!$B$15*'4f'!F23, "na")</f>
        <v>0.7924567523654783</v>
      </c>
      <c r="G11" s="293">
        <f>IFERROR('1n'!$B$15*'4f'!G23, "na")</f>
        <v>1.2117385071203288</v>
      </c>
      <c r="H11" s="293">
        <f>IFERROR('1n'!$B$15*'4f'!H23, "na")</f>
        <v>9.5600449201949739E-2</v>
      </c>
      <c r="I11" s="294">
        <f>IFERROR('1n'!$B$15*'4f'!I23, "na")</f>
        <v>2.0997957086877572</v>
      </c>
      <c r="J11" s="292">
        <f>IFERROR('1n'!$B$15*'4f'!J23, "na")</f>
        <v>0.22231963736629487</v>
      </c>
      <c r="K11" s="293">
        <f>IFERROR('1n'!$B$15*'4f'!K23, "na")</f>
        <v>0.72328311215812247</v>
      </c>
      <c r="L11" s="293">
        <f>IFERROR('1n'!$B$15*'4f'!L23, "na")</f>
        <v>0.70913786706891457</v>
      </c>
      <c r="M11" s="294">
        <f>IFERROR('1n'!$B$15*'4f'!M23, "na")</f>
        <v>1.6547406165933318</v>
      </c>
    </row>
    <row r="12" spans="1:13">
      <c r="A12" s="65">
        <v>1999</v>
      </c>
      <c r="B12" s="292">
        <f>IFERROR('1n'!$B$15*'4f'!B24, "na")</f>
        <v>0.63585960309736389</v>
      </c>
      <c r="C12" s="293">
        <f>IFERROR('1n'!$B$15*'4f'!C24, "na")</f>
        <v>2.1818313375364955</v>
      </c>
      <c r="D12" s="293">
        <f>IFERROR('1n'!$B$15*'4f'!D24, "na")</f>
        <v>0.20391761519908605</v>
      </c>
      <c r="E12" s="294">
        <f>IFERROR('1n'!$B$15*'4f'!E24, "na")</f>
        <v>3.0216085558329455</v>
      </c>
      <c r="F12" s="292">
        <f>IFERROR('1n'!$B$15*'4f'!F24, "na")</f>
        <v>0.61525721455457982</v>
      </c>
      <c r="G12" s="293">
        <f>IFERROR('1n'!$B$15*'4f'!G24, "na")</f>
        <v>1.2313386135508155</v>
      </c>
      <c r="H12" s="293">
        <f>IFERROR('1n'!$B$15*'4f'!H24, "na")</f>
        <v>8.6244510664993737E-2</v>
      </c>
      <c r="I12" s="294">
        <f>IFERROR('1n'!$B$15*'4f'!I24, "na")</f>
        <v>1.932840338770389</v>
      </c>
      <c r="J12" s="292">
        <f>IFERROR('1n'!$B$15*'4f'!J24, "na")</f>
        <v>0.29893085872970226</v>
      </c>
      <c r="K12" s="293">
        <f>IFERROR('1n'!$B$15*'4f'!K24, "na")</f>
        <v>0.77176217769892119</v>
      </c>
      <c r="L12" s="293">
        <f>IFERROR('1n'!$B$15*'4f'!L24, "na")</f>
        <v>0.72081261580115019</v>
      </c>
      <c r="M12" s="294">
        <f>IFERROR('1n'!$B$15*'4f'!M24, "na")</f>
        <v>1.7915056522297736</v>
      </c>
    </row>
    <row r="13" spans="1:13">
      <c r="A13" s="65">
        <v>2000</v>
      </c>
      <c r="B13" s="292">
        <f>IFERROR('1n'!$B$15*'4f'!B25, "na")</f>
        <v>0.47228163530175227</v>
      </c>
      <c r="C13" s="293">
        <f>IFERROR('1n'!$B$15*'4f'!C25, "na")</f>
        <v>2.7699552238805971</v>
      </c>
      <c r="D13" s="293">
        <f>IFERROR('1n'!$B$15*'4f'!D25, "na")</f>
        <v>0.17401492537313434</v>
      </c>
      <c r="E13" s="294">
        <f>IFERROR('1n'!$B$15*'4f'!E25, "na")</f>
        <v>3.4162517845554836</v>
      </c>
      <c r="F13" s="292">
        <f>IFERROR('1n'!$B$15*'4f'!F25, "na")</f>
        <v>0.67970713525026616</v>
      </c>
      <c r="G13" s="293">
        <f>IFERROR('1n'!$B$15*'4f'!G25, "na")</f>
        <v>1.7059176428824987</v>
      </c>
      <c r="H13" s="293">
        <f>IFERROR('1n'!$B$15*'4f'!H25, "na")</f>
        <v>0.18320731274405394</v>
      </c>
      <c r="I13" s="294">
        <f>IFERROR('1n'!$B$15*'4f'!I25, "na")</f>
        <v>2.568832090876819</v>
      </c>
      <c r="J13" s="292">
        <f>IFERROR('1n'!$B$15*'4f'!J25, "na")</f>
        <v>0.37897366901794666</v>
      </c>
      <c r="K13" s="293">
        <f>IFERROR('1n'!$B$15*'4f'!K25, "na")</f>
        <v>0.80562369071548623</v>
      </c>
      <c r="L13" s="293">
        <f>IFERROR('1n'!$B$15*'4f'!L25, "na")</f>
        <v>0.77301529777297606</v>
      </c>
      <c r="M13" s="294">
        <f>IFERROR('1n'!$B$15*'4f'!M25, "na")</f>
        <v>1.9576126575064094</v>
      </c>
    </row>
    <row r="14" spans="1:13">
      <c r="A14" s="65">
        <v>2001</v>
      </c>
      <c r="B14" s="292">
        <f>IFERROR('1n'!$B$15*'4f'!B26, "na")</f>
        <v>0.29670922997148053</v>
      </c>
      <c r="C14" s="293">
        <f>IFERROR('1n'!$B$15*'4f'!C26, "na")</f>
        <v>2.7387678247342495</v>
      </c>
      <c r="D14" s="293">
        <f>IFERROR('1n'!$B$15*'4f'!D26, "na")</f>
        <v>0.13074345346123931</v>
      </c>
      <c r="E14" s="294">
        <f>IFERROR('1n'!$B$15*'4f'!E26, "na")</f>
        <v>3.1662205081669694</v>
      </c>
      <c r="F14" s="292">
        <f>IFERROR('1n'!$B$15*'4f'!F26, "na")</f>
        <v>0.40357434350603272</v>
      </c>
      <c r="G14" s="293">
        <f>IFERROR('1n'!$B$15*'4f'!G26, "na")</f>
        <v>1.6688041163946068</v>
      </c>
      <c r="H14" s="293">
        <f>IFERROR('1n'!$B$15*'4f'!H26, "na")</f>
        <v>0.14314762242725337</v>
      </c>
      <c r="I14" s="294">
        <f>IFERROR('1n'!$B$15*'4f'!I26, "na")</f>
        <v>2.2155260823278926</v>
      </c>
      <c r="J14" s="292">
        <f>IFERROR('1n'!$B$15*'4f'!J26, "na")</f>
        <v>0.41807178948146778</v>
      </c>
      <c r="K14" s="293">
        <f>IFERROR('1n'!$B$15*'4f'!K26, "na")</f>
        <v>0.85270363173711716</v>
      </c>
      <c r="L14" s="293">
        <f>IFERROR('1n'!$B$15*'4f'!L26, "na")</f>
        <v>0.82036522546918533</v>
      </c>
      <c r="M14" s="294">
        <f>IFERROR('1n'!$B$15*'4f'!M26, "na")</f>
        <v>2.0911406466877707</v>
      </c>
    </row>
    <row r="15" spans="1:13">
      <c r="A15" s="65">
        <v>2002</v>
      </c>
      <c r="B15" s="292">
        <f>IFERROR('1n'!$B$15*'4f'!B27, "na")</f>
        <v>0.37153115605356657</v>
      </c>
      <c r="C15" s="293">
        <f>IFERROR('1n'!$B$15*'4f'!C27, "na")</f>
        <v>2.5301182016944517</v>
      </c>
      <c r="D15" s="293">
        <f>IFERROR('1n'!$B$15*'4f'!D27, "na")</f>
        <v>0.12489273025416781</v>
      </c>
      <c r="E15" s="294">
        <f>IFERROR('1n'!$B$15*'4f'!E27, "na")</f>
        <v>3.026542088002186</v>
      </c>
      <c r="F15" s="292">
        <f>IFERROR('1n'!$B$15*'4f'!F27, "na")</f>
        <v>0.25296882270823634</v>
      </c>
      <c r="G15" s="293">
        <f>IFERROR('1n'!$B$15*'4f'!G27, "na")</f>
        <v>1.4854449744067004</v>
      </c>
      <c r="H15" s="293">
        <f>IFERROR('1n'!$B$15*'4f'!H27, "na")</f>
        <v>0.12644602140530478</v>
      </c>
      <c r="I15" s="294">
        <f>IFERROR('1n'!$B$15*'4f'!I27, "na")</f>
        <v>1.8648598185202416</v>
      </c>
      <c r="J15" s="292">
        <f>IFERROR('1n'!$B$15*'4f'!J27, "na")</f>
        <v>0.46433836746641421</v>
      </c>
      <c r="K15" s="293">
        <f>IFERROR('1n'!$B$15*'4f'!K27, "na")</f>
        <v>0.85826608247553393</v>
      </c>
      <c r="L15" s="293">
        <f>IFERROR('1n'!$B$15*'4f'!L27, "na")</f>
        <v>0.82139956912540446</v>
      </c>
      <c r="M15" s="294">
        <f>IFERROR('1n'!$B$15*'4f'!M27, "na")</f>
        <v>2.1440040190673533</v>
      </c>
    </row>
    <row r="16" spans="1:13">
      <c r="A16" s="65">
        <v>2003</v>
      </c>
      <c r="B16" s="292">
        <f>IFERROR('1n'!$B$15*'4f'!B28, "na")</f>
        <v>0.65002874208469941</v>
      </c>
      <c r="C16" s="293">
        <f>IFERROR('1n'!$B$15*'4f'!C28, "na")</f>
        <v>2.2706047065163699</v>
      </c>
      <c r="D16" s="293">
        <f>IFERROR('1n'!$B$15*'4f'!D28, "na")</f>
        <v>0.17629563928683706</v>
      </c>
      <c r="E16" s="294">
        <f>IFERROR('1n'!$B$15*'4f'!E28, "na")</f>
        <v>3.0969290878879066</v>
      </c>
      <c r="F16" s="292">
        <f>IFERROR('1n'!$B$15*'4f'!F28, "na")</f>
        <v>0.27853330291970807</v>
      </c>
      <c r="G16" s="293">
        <f>IFERROR('1n'!$B$15*'4f'!G28, "na")</f>
        <v>1.4371490077554745</v>
      </c>
      <c r="H16" s="293">
        <f>IFERROR('1n'!$B$15*'4f'!H28, "na")</f>
        <v>0.12263629105839416</v>
      </c>
      <c r="I16" s="294">
        <f>IFERROR('1n'!$B$15*'4f'!I28, "na")</f>
        <v>1.8383186017335764</v>
      </c>
      <c r="J16" s="292">
        <f>IFERROR('1n'!$B$15*'4f'!J28, "na")</f>
        <v>0.52839834930624674</v>
      </c>
      <c r="K16" s="293">
        <f>IFERROR('1n'!$B$15*'4f'!K28, "na")</f>
        <v>0.87577296126406001</v>
      </c>
      <c r="L16" s="293">
        <f>IFERROR('1n'!$B$15*'4f'!L28, "na")</f>
        <v>0.81432497811840632</v>
      </c>
      <c r="M16" s="294">
        <f>IFERROR('1n'!$B$15*'4f'!M28, "na")</f>
        <v>2.2184962886887134</v>
      </c>
    </row>
    <row r="17" spans="1:13">
      <c r="A17" s="65">
        <v>2004</v>
      </c>
      <c r="B17" s="292">
        <f>IFERROR('1n'!$B$15*'4f'!B29, "na")</f>
        <v>1.0854666059176676</v>
      </c>
      <c r="C17" s="293">
        <f>IFERROR('1n'!$B$15*'4f'!C29, "na")</f>
        <v>2.7467986170668954</v>
      </c>
      <c r="D17" s="293">
        <f>IFERROR('1n'!$B$15*'4f'!D29, "na")</f>
        <v>0.26682166595197254</v>
      </c>
      <c r="E17" s="294">
        <f>IFERROR('1n'!$B$15*'4f'!E29, "na")</f>
        <v>4.0990868889365357</v>
      </c>
      <c r="F17" s="292">
        <f>IFERROR('1n'!$B$15*'4f'!F29, "na")</f>
        <v>0.34552591463414639</v>
      </c>
      <c r="G17" s="293">
        <f>IFERROR('1n'!$B$15*'4f'!G29, "na")</f>
        <v>2.0023390243902437</v>
      </c>
      <c r="H17" s="293">
        <f>IFERROR('1n'!$B$15*'4f'!H29, "na")</f>
        <v>0.1397185975609756</v>
      </c>
      <c r="I17" s="294">
        <f>IFERROR('1n'!$B$15*'4f'!I29, "na")</f>
        <v>2.4875835365853654</v>
      </c>
      <c r="J17" s="292">
        <f>IFERROR('1n'!$B$15*'4f'!J29, "na")</f>
        <v>0.63795864342149688</v>
      </c>
      <c r="K17" s="293">
        <f>IFERROR('1n'!$B$15*'4f'!K29, "na")</f>
        <v>0.91455973929652246</v>
      </c>
      <c r="L17" s="293">
        <f>IFERROR('1n'!$B$15*'4f'!L29, "na")</f>
        <v>0.8059157699306192</v>
      </c>
      <c r="M17" s="294">
        <f>IFERROR('1n'!$B$15*'4f'!M29, "na")</f>
        <v>2.3584341526486385</v>
      </c>
    </row>
    <row r="18" spans="1:13">
      <c r="A18" s="65">
        <v>2005</v>
      </c>
      <c r="B18" s="292">
        <f>IFERROR('1n'!$B$15*'4f'!B30, "na")</f>
        <v>1.5021088851506346</v>
      </c>
      <c r="C18" s="293">
        <f>IFERROR('1n'!$B$15*'4f'!C30, "na")</f>
        <v>3.141166080440434</v>
      </c>
      <c r="D18" s="293">
        <f>IFERROR('1n'!$B$15*'4f'!D30, "na")</f>
        <v>0.29760513840036701</v>
      </c>
      <c r="E18" s="294">
        <f>IFERROR('1n'!$B$15*'4f'!E30, "na")</f>
        <v>4.9408801039914358</v>
      </c>
      <c r="F18" s="292">
        <f>IFERROR('1n'!$B$15*'4f'!F30, "na")</f>
        <v>0.55164649554462042</v>
      </c>
      <c r="G18" s="293">
        <f>IFERROR('1n'!$B$15*'4f'!G30, "na")</f>
        <v>2.8743064237265594</v>
      </c>
      <c r="H18" s="293">
        <f>IFERROR('1n'!$B$15*'4f'!H30, "na")</f>
        <v>0.20990224763931381</v>
      </c>
      <c r="I18" s="294">
        <f>IFERROR('1n'!$B$15*'4f'!I30, "na")</f>
        <v>3.6358551669104942</v>
      </c>
      <c r="J18" s="292">
        <f>IFERROR('1n'!$B$15*'4f'!J30, "na")</f>
        <v>0.78899818559952695</v>
      </c>
      <c r="K18" s="293">
        <f>IFERROR('1n'!$B$15*'4f'!K30, "na")</f>
        <v>1.0069483513260031</v>
      </c>
      <c r="L18" s="293">
        <f>IFERROR('1n'!$B$15*'4f'!L30, "na")</f>
        <v>0.81736456395287249</v>
      </c>
      <c r="M18" s="294">
        <f>IFERROR('1n'!$B$15*'4f'!M30, "na")</f>
        <v>2.6133111008784029</v>
      </c>
    </row>
    <row r="19" spans="1:13">
      <c r="A19" s="65">
        <v>2006</v>
      </c>
      <c r="B19" s="292">
        <f>IFERROR('1n'!$B$15*'4f'!B31, "na")</f>
        <v>1.6540834013050572</v>
      </c>
      <c r="C19" s="293">
        <f>IFERROR('1n'!$B$15*'4f'!C31, "na")</f>
        <v>3.2577337377650903</v>
      </c>
      <c r="D19" s="293">
        <f>IFERROR('1n'!$B$15*'4f'!D31, "na")</f>
        <v>0.36547894575856443</v>
      </c>
      <c r="E19" s="294">
        <f>IFERROR('1n'!$B$15*'4f'!E31, "na")</f>
        <v>5.2772960848287109</v>
      </c>
      <c r="F19" s="292">
        <f>IFERROR('1n'!$B$15*'4f'!F31, "na")</f>
        <v>0.65855268236202236</v>
      </c>
      <c r="G19" s="293">
        <f>IFERROR('1n'!$B$15*'4f'!G31, "na")</f>
        <v>3.0428010420686999</v>
      </c>
      <c r="H19" s="293">
        <f>IFERROR('1n'!$B$15*'4f'!H31, "na")</f>
        <v>0.23500289463527599</v>
      </c>
      <c r="I19" s="294">
        <f>IFERROR('1n'!$B$15*'4f'!I31, "na")</f>
        <v>3.9363566190659984</v>
      </c>
      <c r="J19" s="292">
        <f>IFERROR('1n'!$B$15*'4f'!J31, "na")</f>
        <v>0.98125506452039535</v>
      </c>
      <c r="K19" s="293">
        <f>IFERROR('1n'!$B$15*'4f'!K31, "na")</f>
        <v>1.0754214083780846</v>
      </c>
      <c r="L19" s="293">
        <f>IFERROR('1n'!$B$15*'4f'!L31, "na")</f>
        <v>0.83255982260164119</v>
      </c>
      <c r="M19" s="294">
        <f>IFERROR('1n'!$B$15*'4f'!M31, "na")</f>
        <v>2.8892362955001212</v>
      </c>
    </row>
    <row r="20" spans="1:13">
      <c r="A20" s="65">
        <v>2007</v>
      </c>
      <c r="B20" s="292">
        <f>IFERROR('1n'!$B$15*'4f'!B32, "na")</f>
        <v>2.6490810530475155</v>
      </c>
      <c r="C20" s="293">
        <f>IFERROR('1n'!$B$15*'4f'!C32, "na")</f>
        <v>3.3269786624518427</v>
      </c>
      <c r="D20" s="293">
        <f>IFERROR('1n'!$B$15*'4f'!D32, "na")</f>
        <v>0.66064753531561804</v>
      </c>
      <c r="E20" s="294">
        <f>IFERROR('1n'!$B$15*'4f'!E32, "na")</f>
        <v>6.6367072508149754</v>
      </c>
      <c r="F20" s="292">
        <f>IFERROR('1n'!$B$15*'4f'!F32, "na")</f>
        <v>0.59308958333333328</v>
      </c>
      <c r="G20" s="293">
        <f>IFERROR('1n'!$B$15*'4f'!G32, "na")</f>
        <v>3.8911968749999999</v>
      </c>
      <c r="H20" s="293">
        <f>IFERROR('1n'!$B$15*'4f'!H32, "na")</f>
        <v>0.23766562500000005</v>
      </c>
      <c r="I20" s="294">
        <f>IFERROR('1n'!$B$15*'4f'!I32, "na")</f>
        <v>4.7219520833333339</v>
      </c>
      <c r="J20" s="292">
        <f>IFERROR('1n'!$B$15*'4f'!J32, "na")</f>
        <v>1.1137716385725094</v>
      </c>
      <c r="K20" s="293">
        <f>IFERROR('1n'!$B$15*'4f'!K32, "na")</f>
        <v>1.1756384022051429</v>
      </c>
      <c r="L20" s="293">
        <f>IFERROR('1n'!$B$15*'4f'!L32, "na")</f>
        <v>0.82151048274651295</v>
      </c>
      <c r="M20" s="294">
        <f>IFERROR('1n'!$B$15*'4f'!M32, "na")</f>
        <v>3.110920523524165</v>
      </c>
    </row>
    <row r="21" spans="1:13">
      <c r="A21" s="65">
        <v>2008</v>
      </c>
      <c r="B21" s="292" t="str">
        <f>IFERROR('1n'!$B$15*'4f'!B33, "na")</f>
        <v>na</v>
      </c>
      <c r="C21" s="293" t="str">
        <f>IFERROR('1n'!$B$15*'4f'!C33, "na")</f>
        <v>na</v>
      </c>
      <c r="D21" s="293" t="str">
        <f>IFERROR('1n'!$B$15*'4f'!D33, "na")</f>
        <v>na</v>
      </c>
      <c r="E21" s="294" t="str">
        <f>IFERROR('1n'!$B$15*'4f'!E33, "na")</f>
        <v>na</v>
      </c>
      <c r="F21" s="292" t="str">
        <f>IFERROR('1n'!$B$15*'4f'!F33, "na")</f>
        <v>na</v>
      </c>
      <c r="G21" s="293" t="str">
        <f>IFERROR('1n'!$B$15*'4f'!G33, "na")</f>
        <v>na</v>
      </c>
      <c r="H21" s="293" t="str">
        <f>IFERROR('1n'!$B$15*'4f'!H33, "na")</f>
        <v>na</v>
      </c>
      <c r="I21" s="294" t="str">
        <f>IFERROR('1n'!$B$15*'4f'!I33, "na")</f>
        <v>na</v>
      </c>
      <c r="J21" s="292">
        <f>IFERROR('1n'!$B$15*'4f'!J33, "na")</f>
        <v>1.2537223688527352</v>
      </c>
      <c r="K21" s="293">
        <f>IFERROR('1n'!$B$15*'4f'!K33, "na")</f>
        <v>1.2480487820036223</v>
      </c>
      <c r="L21" s="293">
        <f>IFERROR('1n'!$B$15*'4f'!L33, "na")</f>
        <v>0.85143348817035758</v>
      </c>
      <c r="M21" s="294">
        <f>IFERROR('1n'!$B$15*'4f'!M33, "na")</f>
        <v>3.353204639026715</v>
      </c>
    </row>
    <row r="22" spans="1:13">
      <c r="A22" s="20">
        <f>A21+1</f>
        <v>2009</v>
      </c>
      <c r="B22" s="292" t="str">
        <f>IFERROR('1n'!$B$15*'4f'!B34, "na")</f>
        <v>na</v>
      </c>
      <c r="C22" s="293" t="str">
        <f>IFERROR('1n'!$B$15*'4f'!C34, "na")</f>
        <v>na</v>
      </c>
      <c r="D22" s="293" t="str">
        <f>IFERROR('1n'!$B$15*'4f'!D34, "na")</f>
        <v>na</v>
      </c>
      <c r="E22" s="294" t="str">
        <f>IFERROR('1n'!$B$15*'4f'!E34, "na")</f>
        <v>na</v>
      </c>
      <c r="F22" s="292" t="str">
        <f>IFERROR('1n'!$B$15*'4f'!F34, "na")</f>
        <v>na</v>
      </c>
      <c r="G22" s="293" t="str">
        <f>IFERROR('1n'!$B$15*'4f'!G34, "na")</f>
        <v>na</v>
      </c>
      <c r="H22" s="293" t="str">
        <f>IFERROR('1n'!$B$15*'4f'!H34, "na")</f>
        <v>na</v>
      </c>
      <c r="I22" s="294" t="str">
        <f>IFERROR('1n'!$B$15*'4f'!I34, "na")</f>
        <v>na</v>
      </c>
      <c r="J22" s="292">
        <f>IFERROR('1n'!$B$15*'4f'!J34, "na")</f>
        <v>1.3023754136650429</v>
      </c>
      <c r="K22" s="293">
        <f>IFERROR('1n'!$B$15*'4f'!K34, "na")</f>
        <v>1.3367756541872584</v>
      </c>
      <c r="L22" s="293">
        <f>IFERROR('1n'!$B$15*'4f'!L34, "na")</f>
        <v>0.89546780394015624</v>
      </c>
      <c r="M22" s="294">
        <f>IFERROR('1n'!$B$15*'4f'!M34, "na")</f>
        <v>3.5346188717924578</v>
      </c>
    </row>
    <row r="23" spans="1:13">
      <c r="A23" s="21">
        <f t="shared" ref="A23" si="0">A22+1</f>
        <v>2010</v>
      </c>
      <c r="B23" s="295" t="str">
        <f>IFERROR('1n'!$B$15*'4f'!B35, "na")</f>
        <v>na</v>
      </c>
      <c r="C23" s="296" t="str">
        <f>IFERROR('1n'!$B$15*'4f'!C35, "na")</f>
        <v>na</v>
      </c>
      <c r="D23" s="296" t="str">
        <f>IFERROR('1n'!$B$15*'4f'!D35, "na")</f>
        <v>na</v>
      </c>
      <c r="E23" s="297" t="str">
        <f>IFERROR('1n'!$B$15*'4f'!E35, "na")</f>
        <v>na</v>
      </c>
      <c r="F23" s="295" t="str">
        <f>IFERROR('1n'!$B$15*'4f'!F35, "na")</f>
        <v>na</v>
      </c>
      <c r="G23" s="296" t="str">
        <f>IFERROR('1n'!$B$15*'4f'!G35, "na")</f>
        <v>na</v>
      </c>
      <c r="H23" s="296" t="str">
        <f>IFERROR('1n'!$B$15*'4f'!H35, "na")</f>
        <v>na</v>
      </c>
      <c r="I23" s="297" t="str">
        <f>IFERROR('1n'!$B$15*'4f'!I35, "na")</f>
        <v>na</v>
      </c>
      <c r="J23" s="295">
        <f>IFERROR('1n'!$B$15*'4f'!J35, "na")</f>
        <v>1.389432307973675</v>
      </c>
      <c r="K23" s="296">
        <f>IFERROR('1n'!$B$15*'4f'!K35, "na")</f>
        <v>1.3523162719091126</v>
      </c>
      <c r="L23" s="296">
        <f>IFERROR('1n'!$B$15*'4f'!L35, "na")</f>
        <v>0.92358363610059446</v>
      </c>
      <c r="M23" s="297">
        <f>IFERROR('1n'!$B$15*'4f'!M35, "na")</f>
        <v>3.6653322159833825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384" t="s">
        <v>52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</row>
    <row r="26" spans="1:13">
      <c r="A26" s="28" t="s">
        <v>125</v>
      </c>
      <c r="B26" s="37">
        <f>IFERROR((POWER(B$13/B5,1/($A$13-$A5))-1)*100,"na")</f>
        <v>23.764802590560997</v>
      </c>
      <c r="C26" s="86">
        <f t="shared" ref="C26:M26" si="1">IFERROR((POWER(C$13/C5,1/($A$13-$A5))-1)*100,"na")</f>
        <v>9.1901309072267345</v>
      </c>
      <c r="D26" s="86">
        <f t="shared" si="1"/>
        <v>-1.225308346152898</v>
      </c>
      <c r="E26" s="87">
        <f t="shared" si="1"/>
        <v>9.5341923312092014</v>
      </c>
      <c r="F26" s="85">
        <f t="shared" si="1"/>
        <v>43.686626862709254</v>
      </c>
      <c r="G26" s="86">
        <f t="shared" si="1"/>
        <v>31.612217851675606</v>
      </c>
      <c r="H26" s="86">
        <f t="shared" si="1"/>
        <v>6.3767953892698293</v>
      </c>
      <c r="I26" s="87">
        <f t="shared" si="1"/>
        <v>28.825306486000791</v>
      </c>
      <c r="J26" s="85" t="str">
        <f t="shared" si="1"/>
        <v>na</v>
      </c>
      <c r="K26" s="86" t="str">
        <f t="shared" si="1"/>
        <v>na</v>
      </c>
      <c r="L26" s="86" t="str">
        <f t="shared" si="1"/>
        <v>na</v>
      </c>
      <c r="M26" s="87" t="str">
        <f t="shared" si="1"/>
        <v>na</v>
      </c>
    </row>
    <row r="27" spans="1:13">
      <c r="A27" s="28" t="s">
        <v>69</v>
      </c>
      <c r="B27" s="37" t="str">
        <f>IFERROR((POWER(B$23/B13,1/($A$23-$A$13))-1)*100,"na")</f>
        <v>na</v>
      </c>
      <c r="C27" s="86" t="str">
        <f t="shared" ref="C27:M27" si="2">IFERROR((POWER(C$23/C13,1/($A$23-$A$13))-1)*100,"na")</f>
        <v>na</v>
      </c>
      <c r="D27" s="86" t="str">
        <f t="shared" si="2"/>
        <v>na</v>
      </c>
      <c r="E27" s="87" t="str">
        <f t="shared" si="2"/>
        <v>na</v>
      </c>
      <c r="F27" s="85" t="str">
        <f t="shared" si="2"/>
        <v>na</v>
      </c>
      <c r="G27" s="86" t="str">
        <f t="shared" si="2"/>
        <v>na</v>
      </c>
      <c r="H27" s="86" t="str">
        <f t="shared" si="2"/>
        <v>na</v>
      </c>
      <c r="I27" s="87" t="str">
        <f t="shared" si="2"/>
        <v>na</v>
      </c>
      <c r="J27" s="85">
        <f t="shared" si="2"/>
        <v>13.873543633124651</v>
      </c>
      <c r="K27" s="86">
        <f t="shared" si="2"/>
        <v>5.3160602974514193</v>
      </c>
      <c r="L27" s="86">
        <f t="shared" si="2"/>
        <v>1.7955548982251157</v>
      </c>
      <c r="M27" s="87">
        <f t="shared" si="2"/>
        <v>6.4727957733853092</v>
      </c>
    </row>
    <row r="28" spans="1:13">
      <c r="A28" s="29" t="s">
        <v>126</v>
      </c>
      <c r="B28" s="39" t="str">
        <f>IFERROR((POWER(B23/B5,1/($A$23-$A5))-1)*100, "na")</f>
        <v>na</v>
      </c>
      <c r="C28" s="89" t="str">
        <f t="shared" ref="C28:M28" si="3">IFERROR((POWER(C23/C5,1/($A$23-$A5))-1)*100, "na")</f>
        <v>na</v>
      </c>
      <c r="D28" s="89" t="str">
        <f t="shared" si="3"/>
        <v>na</v>
      </c>
      <c r="E28" s="90" t="str">
        <f t="shared" si="3"/>
        <v>na</v>
      </c>
      <c r="F28" s="88" t="str">
        <f t="shared" si="3"/>
        <v>na</v>
      </c>
      <c r="G28" s="89" t="str">
        <f t="shared" si="3"/>
        <v>na</v>
      </c>
      <c r="H28" s="89" t="str">
        <f t="shared" si="3"/>
        <v>na</v>
      </c>
      <c r="I28" s="90" t="str">
        <f t="shared" si="3"/>
        <v>na</v>
      </c>
      <c r="J28" s="88" t="str">
        <f t="shared" si="3"/>
        <v>na</v>
      </c>
      <c r="K28" s="89" t="str">
        <f t="shared" si="3"/>
        <v>na</v>
      </c>
      <c r="L28" s="89" t="str">
        <f t="shared" si="3"/>
        <v>na</v>
      </c>
      <c r="M28" s="90" t="str">
        <f t="shared" si="3"/>
        <v>na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 t="s">
        <v>166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4">
    <mergeCell ref="B3:E3"/>
    <mergeCell ref="F3:I3"/>
    <mergeCell ref="J3:M3"/>
    <mergeCell ref="A25:M25"/>
  </mergeCells>
  <pageMargins left="0.7" right="0.7" top="0.75" bottom="0.75" header="0.3" footer="0.3"/>
  <pageSetup scale="75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101"/>
  <dimension ref="A1:M44"/>
  <sheetViews>
    <sheetView zoomScaleNormal="100" workbookViewId="0">
      <selection activeCell="B15" sqref="B15"/>
    </sheetView>
  </sheetViews>
  <sheetFormatPr defaultRowHeight="15"/>
  <cols>
    <col min="1" max="1" width="10.5703125" customWidth="1"/>
    <col min="2" max="2" width="11.140625" customWidth="1"/>
    <col min="4" max="4" width="18.5703125" customWidth="1"/>
    <col min="5" max="5" width="11.28515625" customWidth="1"/>
    <col min="6" max="6" width="11.42578125" customWidth="1"/>
    <col min="8" max="8" width="18.5703125" customWidth="1"/>
    <col min="9" max="9" width="13.28515625" customWidth="1"/>
    <col min="10" max="10" width="11.7109375" customWidth="1"/>
    <col min="12" max="12" width="17.28515625" customWidth="1"/>
    <col min="13" max="13" width="13.5703125" customWidth="1"/>
  </cols>
  <sheetData>
    <row r="1" spans="1:13">
      <c r="A1" s="2" t="s">
        <v>260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A5" s="1"/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  <c r="J5" s="273" t="s">
        <v>39</v>
      </c>
      <c r="K5" s="274" t="s">
        <v>41</v>
      </c>
      <c r="L5" s="274" t="s">
        <v>40</v>
      </c>
      <c r="M5" s="275" t="s">
        <v>72</v>
      </c>
    </row>
    <row r="6" spans="1:13">
      <c r="A6" s="27">
        <v>1981</v>
      </c>
      <c r="B6" s="167">
        <f>IFERROR('4a'!B6/'4b'!$B5*100, "na")</f>
        <v>1.6638130095348803E-2</v>
      </c>
      <c r="C6" s="155">
        <f>IFERROR('4a'!C6/'4b'!$B5*100, "na")</f>
        <v>0.38716482618871828</v>
      </c>
      <c r="D6" s="155">
        <f>IFERROR('4a'!D6/'4b'!$B5*100, "na")</f>
        <v>0.20573663624511082</v>
      </c>
      <c r="E6" s="168">
        <f>IFERROR('4a'!E6/'4b'!$B5*100, "na")</f>
        <v>0.60953959252917789</v>
      </c>
      <c r="F6" s="167">
        <f>IFERROR('4a'!F6/'4b'!$C5*100, "na")</f>
        <v>8.8383072623873932E-3</v>
      </c>
      <c r="G6" s="155">
        <f>IFERROR('4a'!G6/'4b'!$C5*100, "na")</f>
        <v>6.8317385969741226E-2</v>
      </c>
      <c r="H6" s="155">
        <f>IFERROR('4a'!H6/'4b'!$C5*100, "na")</f>
        <v>9.2825319219411159E-2</v>
      </c>
      <c r="I6" s="155">
        <f>IFERROR('4a'!I6/'4b'!$C5*100, "na")</f>
        <v>0.16998101245153976</v>
      </c>
      <c r="J6" s="167">
        <f>IFERROR('4a'!J6/'4b'!$D5*100, "na")</f>
        <v>1.840697202157766E-2</v>
      </c>
      <c r="K6" s="261">
        <f>IFERROR('4a'!K6/'4b'!$D5*100, "na")</f>
        <v>0.2395358290572005</v>
      </c>
      <c r="L6" s="261">
        <f>IFERROR('4a'!L6/'4b'!$D5*100, "na")</f>
        <v>2.1676442561052558</v>
      </c>
      <c r="M6" s="262">
        <f>IFERROR('4a'!M6/'4b'!$D5*100, "na")</f>
        <v>2.4255870571840341</v>
      </c>
    </row>
    <row r="7" spans="1:13">
      <c r="A7" s="28">
        <v>1982</v>
      </c>
      <c r="B7" s="169">
        <f>IFERROR('4a'!B7/'4b'!$B6*100, "na")</f>
        <v>1.6229981879621921E-2</v>
      </c>
      <c r="C7" s="156">
        <f>IFERROR('4a'!C7/'4b'!$B6*100, "na")</f>
        <v>0.41479994123120623</v>
      </c>
      <c r="D7" s="156">
        <f>IFERROR('4a'!D7/'4b'!$B6*100, "na")</f>
        <v>0.20589973390796154</v>
      </c>
      <c r="E7" s="170">
        <f>IFERROR('4a'!E7/'4b'!$B6*100, "na")</f>
        <v>0.63692965701878979</v>
      </c>
      <c r="F7" s="169">
        <f>IFERROR('4a'!F7/'4b'!$C6*100, "na")</f>
        <v>9.9551021907192828E-3</v>
      </c>
      <c r="G7" s="156">
        <f>IFERROR('4a'!G7/'4b'!$C6*100, "na")</f>
        <v>8.7662284003892976E-2</v>
      </c>
      <c r="H7" s="156">
        <f>IFERROR('4a'!H7/'4b'!$C6*100, "na")</f>
        <v>9.4278972400242397E-2</v>
      </c>
      <c r="I7" s="156">
        <f>IFERROR('4a'!I7/'4b'!$C6*100, "na")</f>
        <v>0.19189635859485465</v>
      </c>
      <c r="J7" s="263">
        <f>IFERROR('4a'!J7/'4b'!$D6*100, "na")</f>
        <v>2.221496642854557E-2</v>
      </c>
      <c r="K7" s="264">
        <f>IFERROR('4a'!K7/'4b'!$D6*100, "na")</f>
        <v>0.28282864680260006</v>
      </c>
      <c r="L7" s="264">
        <f>IFERROR('4a'!L7/'4b'!$D6*100, "na")</f>
        <v>2.1582511263429898</v>
      </c>
      <c r="M7" s="265">
        <f>IFERROR('4a'!M7/'4b'!$D6*100, "na")</f>
        <v>2.4632947395741356</v>
      </c>
    </row>
    <row r="8" spans="1:13">
      <c r="A8" s="28">
        <v>1983</v>
      </c>
      <c r="B8" s="169">
        <f>IFERROR('4a'!B8/'4b'!$B7*100, "na")</f>
        <v>2.116929158561837E-2</v>
      </c>
      <c r="C8" s="156">
        <f>IFERROR('4a'!C8/'4b'!$B7*100, "na")</f>
        <v>0.49773326221999126</v>
      </c>
      <c r="D8" s="156">
        <f>IFERROR('4a'!D8/'4b'!$B7*100, "na")</f>
        <v>0.20654138169040598</v>
      </c>
      <c r="E8" s="170">
        <f>IFERROR('4a'!E8/'4b'!$B7*100, "na")</f>
        <v>0.7254439354960156</v>
      </c>
      <c r="F8" s="169">
        <f>IFERROR('4a'!F8/'4b'!$C7*100, "na")</f>
        <v>1.2032750265713103E-2</v>
      </c>
      <c r="G8" s="156">
        <f>IFERROR('4a'!G8/'4b'!$C7*100, "na")</f>
        <v>0.1021369638450037</v>
      </c>
      <c r="H8" s="156">
        <f>IFERROR('4a'!H8/'4b'!$C7*100, "na")</f>
        <v>9.3549026319107914E-2</v>
      </c>
      <c r="I8" s="156">
        <f>IFERROR('4a'!I8/'4b'!$C7*100, "na")</f>
        <v>0.20771874042982472</v>
      </c>
      <c r="J8" s="263">
        <f>IFERROR('4a'!J8/'4b'!$D7*100, "na")</f>
        <v>3.112582094352739E-2</v>
      </c>
      <c r="K8" s="264">
        <f>IFERROR('4a'!K8/'4b'!$D7*100, "na")</f>
        <v>0.33292914390939643</v>
      </c>
      <c r="L8" s="264">
        <f>IFERROR('4a'!L8/'4b'!$D7*100, "na")</f>
        <v>2.1020304410528832</v>
      </c>
      <c r="M8" s="265">
        <f>IFERROR('4a'!M8/'4b'!$D7*100, "na")</f>
        <v>2.4660854059058068</v>
      </c>
    </row>
    <row r="9" spans="1:13">
      <c r="A9" s="28">
        <v>1984</v>
      </c>
      <c r="B9" s="169">
        <f>IFERROR('4a'!B9/'4b'!$B8*100, "na")</f>
        <v>2.7165168007572169E-2</v>
      </c>
      <c r="C9" s="156">
        <f>IFERROR('4a'!C9/'4b'!$B8*100, "na")</f>
        <v>0.67110151443445332</v>
      </c>
      <c r="D9" s="156">
        <f>IFERROR('4a'!D9/'4b'!$B8*100, "na")</f>
        <v>0.20845214150496924</v>
      </c>
      <c r="E9" s="170">
        <f>IFERROR('4a'!E9/'4b'!$B8*100, "na")</f>
        <v>0.90671882394699455</v>
      </c>
      <c r="F9" s="169">
        <f>IFERROR('4a'!F9/'4b'!$C8*100, "na")</f>
        <v>1.381138096082255E-2</v>
      </c>
      <c r="G9" s="156">
        <f>IFERROR('4a'!G9/'4b'!$C8*100, "na")</f>
        <v>0.11500531820599184</v>
      </c>
      <c r="H9" s="156">
        <f>IFERROR('4a'!H9/'4b'!$C8*100, "na")</f>
        <v>9.2242510193228128E-2</v>
      </c>
      <c r="I9" s="156">
        <f>IFERROR('4a'!I9/'4b'!$C8*100, "na")</f>
        <v>0.2210592093600425</v>
      </c>
      <c r="J9" s="263">
        <f>IFERROR('4a'!J9/'4b'!$D8*100, "na")</f>
        <v>4.0496403694830464E-2</v>
      </c>
      <c r="K9" s="264">
        <f>IFERROR('4a'!K9/'4b'!$D8*100, "na")</f>
        <v>0.39694069728434717</v>
      </c>
      <c r="L9" s="264">
        <f>IFERROR('4a'!L9/'4b'!$D8*100, "na")</f>
        <v>2.0673967135344165</v>
      </c>
      <c r="M9" s="265">
        <f>IFERROR('4a'!M9/'4b'!$D8*100, "na")</f>
        <v>2.504833814513594</v>
      </c>
    </row>
    <row r="10" spans="1:13">
      <c r="A10" s="28">
        <v>1985</v>
      </c>
      <c r="B10" s="169">
        <f>IFERROR('4a'!B10/'4b'!$B9*100, "na")</f>
        <v>6.3540572276126334E-2</v>
      </c>
      <c r="C10" s="156">
        <f>IFERROR('4a'!C10/'4b'!$B9*100, "na")</f>
        <v>0.77433718558803533</v>
      </c>
      <c r="D10" s="156">
        <f>IFERROR('4a'!D10/'4b'!$B9*100, "na")</f>
        <v>0.47750293554168477</v>
      </c>
      <c r="E10" s="170">
        <f>IFERROR('4a'!E10/'4b'!$B9*100, "na")</f>
        <v>1.3153806934058463</v>
      </c>
      <c r="F10" s="169">
        <f>IFERROR('4a'!F10/'4b'!$C9*100, "na")</f>
        <v>1.5828274067649608E-2</v>
      </c>
      <c r="G10" s="156">
        <f>IFERROR('4a'!G10/'4b'!$C9*100, "na")</f>
        <v>0.15042237640936687</v>
      </c>
      <c r="H10" s="156">
        <f>IFERROR('4a'!H10/'4b'!$C9*100, "na")</f>
        <v>0.12108456201214222</v>
      </c>
      <c r="I10" s="156">
        <f>IFERROR('4a'!I10/'4b'!$C9*100, "na")</f>
        <v>0.28733521248915872</v>
      </c>
      <c r="J10" s="263">
        <f>IFERROR('4a'!J10/'4b'!$D9*100, "na")</f>
        <v>5.1060356645174249E-2</v>
      </c>
      <c r="K10" s="264">
        <f>IFERROR('4a'!K10/'4b'!$D9*100, "na")</f>
        <v>0.46134076755715953</v>
      </c>
      <c r="L10" s="264">
        <f>IFERROR('4a'!L10/'4b'!$D9*100, "na")</f>
        <v>2.0212322339351374</v>
      </c>
      <c r="M10" s="265">
        <f>IFERROR('4a'!M10/'4b'!$D9*100, "na")</f>
        <v>2.5336333581374713</v>
      </c>
    </row>
    <row r="11" spans="1:13">
      <c r="A11" s="28">
        <v>1986</v>
      </c>
      <c r="B11" s="169">
        <f>IFERROR('4a'!B11/'4b'!$B10*100, "na")</f>
        <v>7.342332140538417E-2</v>
      </c>
      <c r="C11" s="156">
        <f>IFERROR('4a'!C11/'4b'!$B10*100, "na")</f>
        <v>0.96301580830728817</v>
      </c>
      <c r="D11" s="156">
        <f>IFERROR('4a'!D11/'4b'!$B10*100, "na")</f>
        <v>0.47885884253597255</v>
      </c>
      <c r="E11" s="170">
        <f>IFERROR('4a'!E11/'4b'!$B10*100, "na")</f>
        <v>1.5152979722486448</v>
      </c>
      <c r="F11" s="169">
        <f>IFERROR('4a'!F11/'4b'!$C10*100, "na")</f>
        <v>1.5692920799667172E-2</v>
      </c>
      <c r="G11" s="156">
        <f>IFERROR('4a'!G11/'4b'!$C10*100, "na")</f>
        <v>0.14980840395016312</v>
      </c>
      <c r="H11" s="156">
        <f>IFERROR('4a'!H11/'4b'!$C10*100, "na")</f>
        <v>0.12576539884823404</v>
      </c>
      <c r="I11" s="156">
        <f>IFERROR('4a'!I11/'4b'!$C10*100, "na")</f>
        <v>0.29126672359806433</v>
      </c>
      <c r="J11" s="263">
        <f>IFERROR('4a'!J11/'4b'!$D10*100, "na")</f>
        <v>6.3665826706651829E-2</v>
      </c>
      <c r="K11" s="264">
        <f>IFERROR('4a'!K11/'4b'!$D10*100, "na")</f>
        <v>0.55171741672802876</v>
      </c>
      <c r="L11" s="264">
        <f>IFERROR('4a'!L11/'4b'!$D10*100, "na")</f>
        <v>2.003037105169958</v>
      </c>
      <c r="M11" s="265">
        <f>IFERROR('4a'!M11/'4b'!$D10*100, "na")</f>
        <v>2.6184203486046385</v>
      </c>
    </row>
    <row r="12" spans="1:13">
      <c r="A12" s="28">
        <v>1987</v>
      </c>
      <c r="B12" s="169">
        <f>IFERROR('4a'!B12/'4b'!$B11*100, "na")</f>
        <v>7.1964355660007834E-2</v>
      </c>
      <c r="C12" s="156">
        <f>IFERROR('4a'!C12/'4b'!$B11*100, "na")</f>
        <v>1.0166617704661183</v>
      </c>
      <c r="D12" s="156">
        <f>IFERROR('4a'!D12/'4b'!$B11*100, "na")</f>
        <v>0.46828567698132911</v>
      </c>
      <c r="E12" s="170">
        <f>IFERROR('4a'!E12/'4b'!$B11*100, "na")</f>
        <v>1.5569118031074556</v>
      </c>
      <c r="F12" s="169">
        <f>IFERROR('4a'!F12/'4b'!$C11*100, "na")</f>
        <v>1.9719548956123704E-2</v>
      </c>
      <c r="G12" s="156">
        <f>IFERROR('4a'!G12/'4b'!$C11*100, "na")</f>
        <v>0.16026571396672995</v>
      </c>
      <c r="H12" s="156">
        <f>IFERROR('4a'!H12/'4b'!$C11*100, "na")</f>
        <v>0.12208373339287706</v>
      </c>
      <c r="I12" s="156">
        <f>IFERROR('4a'!I12/'4b'!$C11*100, "na")</f>
        <v>0.3020689963157307</v>
      </c>
      <c r="J12" s="263">
        <f>IFERROR('4a'!J12/'4b'!$D11*100, "na")</f>
        <v>9.1610872711730046E-2</v>
      </c>
      <c r="K12" s="264">
        <f>IFERROR('4a'!K12/'4b'!$D11*100, "na")</f>
        <v>0.643561716295183</v>
      </c>
      <c r="L12" s="264">
        <f>IFERROR('4a'!L12/'4b'!$D11*100, "na")</f>
        <v>2.042804294018659</v>
      </c>
      <c r="M12" s="265">
        <f>IFERROR('4a'!M12/'4b'!$D11*100, "na")</f>
        <v>2.777976883025572</v>
      </c>
    </row>
    <row r="13" spans="1:13">
      <c r="A13" s="28">
        <v>1988</v>
      </c>
      <c r="B13" s="169">
        <f>IFERROR('4a'!B13/'4b'!$B12*100, "na")</f>
        <v>5.7734106029233394E-2</v>
      </c>
      <c r="C13" s="156">
        <f>IFERROR('4a'!C13/'4b'!$B12*100, "na")</f>
        <v>1.0880211715409402</v>
      </c>
      <c r="D13" s="156">
        <f>IFERROR('4a'!D13/'4b'!$B12*100, "na")</f>
        <v>0.30904813830113087</v>
      </c>
      <c r="E13" s="170">
        <f>IFERROR('4a'!E13/'4b'!$B12*100, "na")</f>
        <v>1.4548034158713044</v>
      </c>
      <c r="F13" s="169">
        <f>IFERROR('4a'!F13/'4b'!$C12*100, "na")</f>
        <v>2.1583849519287615E-2</v>
      </c>
      <c r="G13" s="156">
        <f>IFERROR('4a'!G13/'4b'!$C12*100, "na")</f>
        <v>0.15887748883492053</v>
      </c>
      <c r="H13" s="156">
        <f>IFERROR('4a'!H13/'4b'!$C12*100, "na")</f>
        <v>0.10993078105529328</v>
      </c>
      <c r="I13" s="156">
        <f>IFERROR('4a'!I13/'4b'!$C12*100, "na")</f>
        <v>0.29039211940950144</v>
      </c>
      <c r="J13" s="263">
        <f>IFERROR('4a'!J13/'4b'!$D12*100, "na")</f>
        <v>0.10327044554784058</v>
      </c>
      <c r="K13" s="264">
        <f>IFERROR('4a'!K13/'4b'!$D12*100, "na")</f>
        <v>0.76194169415375701</v>
      </c>
      <c r="L13" s="264">
        <f>IFERROR('4a'!L13/'4b'!$D12*100, "na")</f>
        <v>2.1053865007306998</v>
      </c>
      <c r="M13" s="265">
        <f>IFERROR('4a'!M13/'4b'!$D12*100, "na")</f>
        <v>2.9705986404322973</v>
      </c>
    </row>
    <row r="14" spans="1:13">
      <c r="A14" s="28">
        <v>1989</v>
      </c>
      <c r="B14" s="169">
        <f>IFERROR('4a'!B14/'4b'!$B13*100, "na")</f>
        <v>6.710956995171273E-2</v>
      </c>
      <c r="C14" s="156">
        <f>IFERROR('4a'!C14/'4b'!$B13*100, "na")</f>
        <v>1.1185565673915157</v>
      </c>
      <c r="D14" s="156">
        <f>IFERROR('4a'!D14/'4b'!$B13*100, "na")</f>
        <v>0.27122640999881176</v>
      </c>
      <c r="E14" s="170">
        <f>IFERROR('4a'!E14/'4b'!$B13*100, "na")</f>
        <v>1.45689254734204</v>
      </c>
      <c r="F14" s="169">
        <f>IFERROR('4a'!F14/'4b'!$C13*100, "na")</f>
        <v>2.2642764461474323E-2</v>
      </c>
      <c r="G14" s="156">
        <f>IFERROR('4a'!G14/'4b'!$C13*100, "na")</f>
        <v>0.16736337191600192</v>
      </c>
      <c r="H14" s="156">
        <f>IFERROR('4a'!H14/'4b'!$C13*100, "na")</f>
        <v>0.13328118193188154</v>
      </c>
      <c r="I14" s="156">
        <f>IFERROR('4a'!I14/'4b'!$C13*100, "na")</f>
        <v>0.32328731830935781</v>
      </c>
      <c r="J14" s="263">
        <f>IFERROR('4a'!J14/'4b'!$D13*100, "na")</f>
        <v>0.12395988554081618</v>
      </c>
      <c r="K14" s="264">
        <f>IFERROR('4a'!K14/'4b'!$D13*100, "na")</f>
        <v>0.88499845555806944</v>
      </c>
      <c r="L14" s="264">
        <f>IFERROR('4a'!L14/'4b'!$D13*100, "na")</f>
        <v>2.1919372907454555</v>
      </c>
      <c r="M14" s="265">
        <f>IFERROR('4a'!M14/'4b'!$D13*100, "na")</f>
        <v>3.2008956318443413</v>
      </c>
    </row>
    <row r="15" spans="1:13">
      <c r="A15" s="28">
        <v>1990</v>
      </c>
      <c r="B15" s="169">
        <f>IFERROR('4a'!B15/'4b'!$B14*100, "na")</f>
        <v>4.1311870016548818E-2</v>
      </c>
      <c r="C15" s="156">
        <f>IFERROR('4a'!C15/'4b'!$B14*100, "na")</f>
        <v>1.2104718920816409</v>
      </c>
      <c r="D15" s="156">
        <f>IFERROR('4a'!D15/'4b'!$B14*100, "na")</f>
        <v>0.23109272353442656</v>
      </c>
      <c r="E15" s="170">
        <f>IFERROR('4a'!E15/'4b'!$B14*100, "na")</f>
        <v>1.4828764856326162</v>
      </c>
      <c r="F15" s="169">
        <f>IFERROR('4a'!F15/'4b'!$C14*100, "na")</f>
        <v>2.3279609669292399E-2</v>
      </c>
      <c r="G15" s="156">
        <f>IFERROR('4a'!G15/'4b'!$C14*100, "na")</f>
        <v>0.17486061344590642</v>
      </c>
      <c r="H15" s="156">
        <f>IFERROR('4a'!H15/'4b'!$C14*100, "na")</f>
        <v>0.12071721816836638</v>
      </c>
      <c r="I15" s="156">
        <f>IFERROR('4a'!I15/'4b'!$C14*100, "na")</f>
        <v>0.31885744128356519</v>
      </c>
      <c r="J15" s="263">
        <f>IFERROR('4a'!J15/'4b'!$D14*100, "na")</f>
        <v>0.13672849731511114</v>
      </c>
      <c r="K15" s="264">
        <f>IFERROR('4a'!K15/'4b'!$D14*100, "na")</f>
        <v>1.0220226472494844</v>
      </c>
      <c r="L15" s="264">
        <f>IFERROR('4a'!L15/'4b'!$D14*100, "na")</f>
        <v>2.2915639854182541</v>
      </c>
      <c r="M15" s="265">
        <f>IFERROR('4a'!M15/'4b'!$D14*100, "na")</f>
        <v>3.4503151299828496</v>
      </c>
    </row>
    <row r="16" spans="1:13">
      <c r="A16" s="28">
        <v>1991</v>
      </c>
      <c r="B16" s="169">
        <f>IFERROR('4a'!B16/'4b'!$B15*100, "na")</f>
        <v>4.6805876739767723E-2</v>
      </c>
      <c r="C16" s="156">
        <f>IFERROR('4a'!C16/'4b'!$B15*100, "na")</f>
        <v>1.2657006782837443</v>
      </c>
      <c r="D16" s="156">
        <f>IFERROR('4a'!D16/'4b'!$B15*100, "na")</f>
        <v>0.25038556433379466</v>
      </c>
      <c r="E16" s="170">
        <f>IFERROR('4a'!E16/'4b'!$B15*100, "na")</f>
        <v>1.5628921193573069</v>
      </c>
      <c r="F16" s="169">
        <f>IFERROR('4a'!F16/'4b'!$C15*100, "na")</f>
        <v>2.8389638391552726E-2</v>
      </c>
      <c r="G16" s="156">
        <f>IFERROR('4a'!G16/'4b'!$C15*100, "na")</f>
        <v>0.17175041057520832</v>
      </c>
      <c r="H16" s="156">
        <f>IFERROR('4a'!H16/'4b'!$C15*100, "na")</f>
        <v>0.11098729483833916</v>
      </c>
      <c r="I16" s="156">
        <f>IFERROR('4a'!I16/'4b'!$C15*100, "na")</f>
        <v>0.31112734380510021</v>
      </c>
      <c r="J16" s="263">
        <f>IFERROR('4a'!J16/'4b'!$D15*100, "na")</f>
        <v>0.15945252560448894</v>
      </c>
      <c r="K16" s="264">
        <f>IFERROR('4a'!K16/'4b'!$D15*100, "na")</f>
        <v>1.1363669334064301</v>
      </c>
      <c r="L16" s="264">
        <f>IFERROR('4a'!L16/'4b'!$D15*100, "na")</f>
        <v>2.3638930180075937</v>
      </c>
      <c r="M16" s="265">
        <f>IFERROR('4a'!M16/'4b'!$D15*100, "na")</f>
        <v>3.6597124770185125</v>
      </c>
    </row>
    <row r="17" spans="1:13">
      <c r="A17" s="28">
        <v>1992</v>
      </c>
      <c r="B17" s="169">
        <f>IFERROR('4a'!B17/'4b'!$B16*100, "na")</f>
        <v>8.5756768576312967E-2</v>
      </c>
      <c r="C17" s="156">
        <f>IFERROR('4a'!C17/'4b'!$B16*100, "na")</f>
        <v>1.3704090963304578</v>
      </c>
      <c r="D17" s="156">
        <f>IFERROR('4a'!D17/'4b'!$B16*100, "na")</f>
        <v>0.19198425635113106</v>
      </c>
      <c r="E17" s="156">
        <f>IFERROR('4a'!E17/'4b'!$B16*100, "na")</f>
        <v>1.6481501212579015</v>
      </c>
      <c r="F17" s="169">
        <f>IFERROR('4a'!F17/'4b'!$C16*100, "na")</f>
        <v>3.2340007729347496E-2</v>
      </c>
      <c r="G17" s="156">
        <f>IFERROR('4a'!G17/'4b'!$C16*100, "na")</f>
        <v>0.16380889710567273</v>
      </c>
      <c r="H17" s="156">
        <f>IFERROR('4a'!H17/'4b'!$C16*100, "na")</f>
        <v>9.6586553024368332E-2</v>
      </c>
      <c r="I17" s="156">
        <f>IFERROR('4a'!I17/'4b'!$C16*100, "na")</f>
        <v>0.29273545785938854</v>
      </c>
      <c r="J17" s="263">
        <f>IFERROR('4a'!J17/'4b'!$D16*100, "na")</f>
        <v>0.20115395077812934</v>
      </c>
      <c r="K17" s="264">
        <f>IFERROR('4a'!K17/'4b'!$D16*100, "na")</f>
        <v>1.2680050131551268</v>
      </c>
      <c r="L17" s="264">
        <f>IFERROR('4a'!L17/'4b'!$D16*100, "na")</f>
        <v>2.4788934275025305</v>
      </c>
      <c r="M17" s="170">
        <f>IFERROR('4a'!M17/'4b'!$D16*100, "na")</f>
        <v>3.9480523914357866</v>
      </c>
    </row>
    <row r="18" spans="1:13">
      <c r="A18" s="28">
        <v>1993</v>
      </c>
      <c r="B18" s="169">
        <f>IFERROR('4a'!B18/'4b'!$B17*100, "na")</f>
        <v>0.19495741206584583</v>
      </c>
      <c r="C18" s="156">
        <f>IFERROR('4a'!C18/'4b'!$B17*100, "na")</f>
        <v>1.4876225782249879</v>
      </c>
      <c r="D18" s="156">
        <f>IFERROR('4a'!D18/'4b'!$B17*100, "na")</f>
        <v>0.17676949556467628</v>
      </c>
      <c r="E18" s="156">
        <f>IFERROR('4a'!E18/'4b'!$B17*100, "na")</f>
        <v>1.85934948585551</v>
      </c>
      <c r="F18" s="169">
        <f>IFERROR('4a'!F18/'4b'!$C17*100, "na")</f>
        <v>2.658267953323774E-2</v>
      </c>
      <c r="G18" s="156">
        <f>IFERROR('4a'!G18/'4b'!$C17*100, "na")</f>
        <v>0.18637840392226357</v>
      </c>
      <c r="H18" s="156">
        <f>IFERROR('4a'!H18/'4b'!$C17*100, "na")</f>
        <v>8.3393746073171904E-2</v>
      </c>
      <c r="I18" s="156">
        <f>IFERROR('4a'!I18/'4b'!$C17*100, "na")</f>
        <v>0.2963548295286732</v>
      </c>
      <c r="J18" s="263">
        <f>IFERROR('4a'!J18/'4b'!$D17*100, "na")</f>
        <v>0.22273204856910384</v>
      </c>
      <c r="K18" s="264">
        <f>IFERROR('4a'!K18/'4b'!$D17*100, "na")</f>
        <v>1.4702572671475527</v>
      </c>
      <c r="L18" s="264">
        <f>IFERROR('4a'!L18/'4b'!$D17*100, "na")</f>
        <v>2.5190153649462066</v>
      </c>
      <c r="M18" s="170">
        <f>IFERROR('4a'!M18/'4b'!$D17*100, "na")</f>
        <v>4.2120046806628633</v>
      </c>
    </row>
    <row r="19" spans="1:13">
      <c r="A19" s="28">
        <v>1994</v>
      </c>
      <c r="B19" s="169">
        <f>IFERROR('4a'!B19/'4b'!$B18*100, "na")</f>
        <v>0.12792630911962474</v>
      </c>
      <c r="C19" s="156">
        <f>IFERROR('4a'!C19/'4b'!$B18*100, "na")</f>
        <v>1.434923727290782</v>
      </c>
      <c r="D19" s="156">
        <f>IFERROR('4a'!D19/'4b'!$B18*100, "na")</f>
        <v>0.17540453380493476</v>
      </c>
      <c r="E19" s="170">
        <f>IFERROR('4a'!E19/'4b'!$B18*100, "na")</f>
        <v>1.7382545702153414</v>
      </c>
      <c r="F19" s="169">
        <f>IFERROR('4a'!F19/'4b'!$C18*100, "na")</f>
        <v>3.1736649113616941E-2</v>
      </c>
      <c r="G19" s="156">
        <f>IFERROR('4a'!G19/'4b'!$C18*100, "na")</f>
        <v>0.2092740757078658</v>
      </c>
      <c r="H19" s="156">
        <f>IFERROR('4a'!H19/'4b'!$C18*100, "na")</f>
        <v>7.1921921093986929E-2</v>
      </c>
      <c r="I19" s="156">
        <f>IFERROR('4a'!I19/'4b'!$C18*100, "na")</f>
        <v>0.31293264591546965</v>
      </c>
      <c r="J19" s="263">
        <f>IFERROR('4a'!J19/'4b'!$D18*100, "na")</f>
        <v>0.26668776739718852</v>
      </c>
      <c r="K19" s="264">
        <f>IFERROR('4a'!K19/'4b'!$D18*100, "na")</f>
        <v>1.6924877761285251</v>
      </c>
      <c r="L19" s="264">
        <f>IFERROR('4a'!L19/'4b'!$D18*100, "na")</f>
        <v>2.4910230943857505</v>
      </c>
      <c r="M19" s="170">
        <f>IFERROR('4a'!M19/'4b'!$D18*100, "na")</f>
        <v>4.4501986379114644</v>
      </c>
    </row>
    <row r="20" spans="1:13">
      <c r="A20" s="28">
        <v>1995</v>
      </c>
      <c r="B20" s="169">
        <f>IFERROR('4a'!B20/'4b'!$B19*100, "na")</f>
        <v>0.1080585744170621</v>
      </c>
      <c r="C20" s="156">
        <f>IFERROR('4a'!C20/'4b'!$B19*100, "na")</f>
        <v>1.4528006530945459</v>
      </c>
      <c r="D20" s="156">
        <f>IFERROR('4a'!D20/'4b'!$B19*100, "na")</f>
        <v>0.15602632787387111</v>
      </c>
      <c r="E20" s="156">
        <f>IFERROR('4a'!E20/'4b'!$B19*100, "na")</f>
        <v>1.7168855553854792</v>
      </c>
      <c r="F20" s="169">
        <f>IFERROR('4a'!F20/'4b'!$C19*100, "na")</f>
        <v>6.2871710135414247E-2</v>
      </c>
      <c r="G20" s="156">
        <f>IFERROR('4a'!G20/'4b'!$C19*100, "na")</f>
        <v>0.25640600508157108</v>
      </c>
      <c r="H20" s="156">
        <f>IFERROR('4a'!H20/'4b'!$C19*100, "na")</f>
        <v>6.2009314327427463E-2</v>
      </c>
      <c r="I20" s="156">
        <f>IFERROR('4a'!I20/'4b'!$C19*100, "na")</f>
        <v>0.38128702954441285</v>
      </c>
      <c r="J20" s="263">
        <f>IFERROR('4a'!J20/'4b'!$D19*100, "na")</f>
        <v>0.33182275951965345</v>
      </c>
      <c r="K20" s="264">
        <f>IFERROR('4a'!K20/'4b'!$D19*100, "na")</f>
        <v>1.8397709005908167</v>
      </c>
      <c r="L20" s="264">
        <f>IFERROR('4a'!L20/'4b'!$D19*100, "na")</f>
        <v>2.4598221336892334</v>
      </c>
      <c r="M20" s="170">
        <f>IFERROR('4a'!M20/'4b'!$D19*100, "na")</f>
        <v>4.6314157937997038</v>
      </c>
    </row>
    <row r="21" spans="1:13">
      <c r="A21" s="28">
        <v>1996</v>
      </c>
      <c r="B21" s="169">
        <f>IFERROR('4a'!B21/'4b'!$B20*100, "na")</f>
        <v>0.13877467793207293</v>
      </c>
      <c r="C21" s="156">
        <f>IFERROR('4a'!C21/'4b'!$B20*100, "na")</f>
        <v>1.5096076627070434</v>
      </c>
      <c r="D21" s="156">
        <f>IFERROR('4a'!D21/'4b'!$B20*100, "na")</f>
        <v>0.17176677262840889</v>
      </c>
      <c r="E21" s="170">
        <f>IFERROR('4a'!E21/'4b'!$B20*100, "na")</f>
        <v>1.8201491132675254</v>
      </c>
      <c r="F21" s="169">
        <f>IFERROR('4a'!F21/'4b'!$C20*100, "na")</f>
        <v>0.12926239697960309</v>
      </c>
      <c r="G21" s="156">
        <f>IFERROR('4a'!G21/'4b'!$C20*100, "na")</f>
        <v>0.34402309038169337</v>
      </c>
      <c r="H21" s="156">
        <f>IFERROR('4a'!H21/'4b'!$C20*100, "na")</f>
        <v>5.2997375569777606E-2</v>
      </c>
      <c r="I21" s="156">
        <f>IFERROR('4a'!I21/'4b'!$C20*100, "na")</f>
        <v>0.52628286293107407</v>
      </c>
      <c r="J21" s="263">
        <f>IFERROR('4a'!J21/'4b'!$D20*100, "na")</f>
        <v>0.4215004136883877</v>
      </c>
      <c r="K21" s="264">
        <f>IFERROR('4a'!K21/'4b'!$D20*100, "na")</f>
        <v>2.0290865083894714</v>
      </c>
      <c r="L21" s="264">
        <f>IFERROR('4a'!L21/'4b'!$D20*100, "na")</f>
        <v>2.4243723399514532</v>
      </c>
      <c r="M21" s="170">
        <f>IFERROR('4a'!M21/'4b'!$D20*100, "na")</f>
        <v>4.8749592620293116</v>
      </c>
    </row>
    <row r="22" spans="1:13">
      <c r="A22" s="28">
        <v>1997</v>
      </c>
      <c r="B22" s="169">
        <f>IFERROR('4a'!B22/'4b'!$B21*100, "na")</f>
        <v>0.40571177504393674</v>
      </c>
      <c r="C22" s="156">
        <f>IFERROR('4a'!C22/'4b'!$B21*100, "na")</f>
        <v>1.9078564669074334</v>
      </c>
      <c r="D22" s="156">
        <f>IFERROR('4a'!D22/'4b'!$B21*100, "na")</f>
        <v>0.3464058788311864</v>
      </c>
      <c r="E22" s="170">
        <f>IFERROR('4a'!E22/'4b'!$B21*100, "na")</f>
        <v>2.6599741207825565</v>
      </c>
      <c r="F22" s="169">
        <f>IFERROR('4a'!F22/'4b'!$C21*100, "na")</f>
        <v>0.23167194379712916</v>
      </c>
      <c r="G22" s="156">
        <f>IFERROR('4a'!G22/'4b'!$C21*100, "na")</f>
        <v>0.60836115039535543</v>
      </c>
      <c r="H22" s="156">
        <f>IFERROR('4a'!H22/'4b'!$C21*100, "na")</f>
        <v>4.5919623481990003E-2</v>
      </c>
      <c r="I22" s="156">
        <f>IFERROR('4a'!I22/'4b'!$C21*100, "na")</f>
        <v>0.88595271767447459</v>
      </c>
      <c r="J22" s="263">
        <f>IFERROR('4a'!J22/'4b'!$D21*100, "na")</f>
        <v>0.53156579489667621</v>
      </c>
      <c r="K22" s="264">
        <f>IFERROR('4a'!K22/'4b'!$D21*100, "na")</f>
        <v>2.2244612085830999</v>
      </c>
      <c r="L22" s="264">
        <f>IFERROR('4a'!L22/'4b'!$D21*100, "na")</f>
        <v>2.4653717934672033</v>
      </c>
      <c r="M22" s="265">
        <f>IFERROR('4a'!M22/'4b'!$D21*100, "na")</f>
        <v>5.2213987969469793</v>
      </c>
    </row>
    <row r="23" spans="1:13">
      <c r="A23" s="28">
        <v>1998</v>
      </c>
      <c r="B23" s="169">
        <f>IFERROR('4a'!B23/'4b'!$B22*100, "na")</f>
        <v>0.72628975655585948</v>
      </c>
      <c r="C23" s="156">
        <f>IFERROR('4a'!C23/'4b'!$B22*100, "na")</f>
        <v>2.3119502242854639</v>
      </c>
      <c r="D23" s="156">
        <f>IFERROR('4a'!D23/'4b'!$B22*100, "na")</f>
        <v>0.30280195639558982</v>
      </c>
      <c r="E23" s="170">
        <f>IFERROR('4a'!E23/'4b'!$B22*100, "na")</f>
        <v>3.3410419372369131</v>
      </c>
      <c r="F23" s="169">
        <f>IFERROR('4a'!F23/'4b'!$C22*100, "na")</f>
        <v>0.62079131196513992</v>
      </c>
      <c r="G23" s="156">
        <f>IFERROR('4a'!G23/'4b'!$C22*100, "na")</f>
        <v>0.94924642303632001</v>
      </c>
      <c r="H23" s="156">
        <f>IFERROR('4a'!H23/'4b'!$C22*100, "na")</f>
        <v>7.4891062644594678E-2</v>
      </c>
      <c r="I23" s="156">
        <f>IFERROR('4a'!I23/'4b'!$C22*100, "na")</f>
        <v>1.6449287976460547</v>
      </c>
      <c r="J23" s="263">
        <f>IFERROR('4a'!J23/'4b'!$D22*100, "na")</f>
        <v>0.75804775421691029</v>
      </c>
      <c r="K23" s="264">
        <f>IFERROR('4a'!K23/'4b'!$D22*100, "na")</f>
        <v>2.466193024285698</v>
      </c>
      <c r="L23" s="264">
        <f>IFERROR('4a'!L23/'4b'!$D22*100, "na")</f>
        <v>2.4179616966362425</v>
      </c>
      <c r="M23" s="265">
        <f>IFERROR('4a'!M23/'4b'!$D22*100, "na")</f>
        <v>5.6422024751388511</v>
      </c>
    </row>
    <row r="24" spans="1:13">
      <c r="A24" s="28">
        <v>1999</v>
      </c>
      <c r="B24" s="169">
        <f>IFERROR('4a'!B24/'4b'!$B23*100, "na")</f>
        <v>0.80668169739914652</v>
      </c>
      <c r="C24" s="156">
        <f>IFERROR('4a'!C24/'4b'!$B23*100, "na")</f>
        <v>2.7679748772042836</v>
      </c>
      <c r="D24" s="156">
        <f>IFERROR('4a'!D24/'4b'!$B23*100, "na")</f>
        <v>0.25869957323456</v>
      </c>
      <c r="E24" s="170">
        <f>IFERROR('4a'!E24/'4b'!$B23*100, "na")</f>
        <v>3.8333561478379901</v>
      </c>
      <c r="F24" s="169">
        <f>IFERROR('4a'!F24/'4b'!$C23*100, "na")</f>
        <v>0.44008570883676057</v>
      </c>
      <c r="G24" s="156">
        <f>IFERROR('4a'!G24/'4b'!$C23*100, "na")</f>
        <v>0.88076094638710334</v>
      </c>
      <c r="H24" s="156">
        <f>IFERROR('4a'!H24/'4b'!$C23*100, "na")</f>
        <v>6.1689608364464486E-2</v>
      </c>
      <c r="I24" s="156">
        <f>IFERROR('4a'!I24/'4b'!$C23*100, "na")</f>
        <v>1.3825362635883283</v>
      </c>
      <c r="J24" s="263">
        <f>IFERROR('4a'!J24/'4b'!$D23*100, "na")</f>
        <v>1.0206034546198985</v>
      </c>
      <c r="K24" s="264">
        <f>IFERROR('4a'!K24/'4b'!$D23*100, "na")</f>
        <v>2.6349342053598819</v>
      </c>
      <c r="L24" s="264">
        <f>IFERROR('4a'!L24/'4b'!$D23*100, "na")</f>
        <v>2.4609832820420117</v>
      </c>
      <c r="M24" s="265">
        <f>IFERROR('4a'!M24/'4b'!$D23*100, "na")</f>
        <v>6.1165209420217916</v>
      </c>
    </row>
    <row r="25" spans="1:13">
      <c r="A25" s="28">
        <v>2000</v>
      </c>
      <c r="B25" s="169">
        <f>IFERROR('4a'!B25/'4b'!$B24*100, "na")</f>
        <v>0.56569687453848738</v>
      </c>
      <c r="C25" s="156">
        <f>IFERROR('4a'!C25/'4b'!$B24*100, "na")</f>
        <v>3.3178402369163562</v>
      </c>
      <c r="D25" s="156">
        <f>IFERROR('4a'!D25/'4b'!$B24*100, "na")</f>
        <v>0.20843431556201567</v>
      </c>
      <c r="E25" s="170">
        <f>IFERROR('4a'!E25/'4b'!$B24*100, "na")</f>
        <v>4.0919714270168592</v>
      </c>
      <c r="F25" s="169">
        <f>IFERROR('4a'!F25/'4b'!$C24*100, "na")</f>
        <v>0.42832839326659583</v>
      </c>
      <c r="G25" s="156">
        <f>IFERROR('4a'!G25/'4b'!$C24*100, "na")</f>
        <v>1.0750114646831832</v>
      </c>
      <c r="H25" s="156">
        <f>IFERROR('4a'!H25/'4b'!$C24*100, "na")</f>
        <v>0.11545103741401486</v>
      </c>
      <c r="I25" s="156">
        <f>IFERROR('4a'!I25/'4b'!$C24*100, "na")</f>
        <v>1.6187908953637937</v>
      </c>
      <c r="J25" s="263">
        <f>IFERROR('4a'!J25/'4b'!$D24*100, "na")</f>
        <v>1.2931041755499735</v>
      </c>
      <c r="K25" s="264">
        <f>IFERROR('4a'!K25/'4b'!$D24*100, "na")</f>
        <v>2.7488858555417011</v>
      </c>
      <c r="L25" s="264">
        <f>IFERROR('4a'!L25/'4b'!$D24*100, "na")</f>
        <v>2.6376220593492081</v>
      </c>
      <c r="M25" s="265">
        <f>IFERROR('4a'!M25/'4b'!$D24*100, "na")</f>
        <v>6.6796120904408829</v>
      </c>
    </row>
    <row r="26" spans="1:13">
      <c r="A26" s="28">
        <v>2001</v>
      </c>
      <c r="B26" s="169">
        <f>IFERROR('4a'!B26/'4b'!$B25*100, "na")</f>
        <v>0.31916319216878392</v>
      </c>
      <c r="C26" s="156">
        <f>IFERROR('4a'!C26/'4b'!$B25*100, "na")</f>
        <v>2.9460286140588177</v>
      </c>
      <c r="D26" s="156">
        <f>IFERROR('4a'!D26/'4b'!$B25*100, "na")</f>
        <v>0.14063768075523267</v>
      </c>
      <c r="E26" s="170">
        <f>IFERROR('4a'!E26/'4b'!$B25*100, "na")</f>
        <v>3.4058294869828338</v>
      </c>
      <c r="F26" s="169">
        <f>IFERROR('4a'!F26/'4b'!$C25*100, "na")</f>
        <v>0.25352865446884876</v>
      </c>
      <c r="G26" s="156">
        <f>IFERROR('4a'!G26/'4b'!$C25*100, "na")</f>
        <v>1.0483561926311509</v>
      </c>
      <c r="H26" s="156">
        <f>IFERROR('4a'!H26/'4b'!$C25*100, "na")</f>
        <v>8.9926489848465435E-2</v>
      </c>
      <c r="I26" s="156">
        <f>IFERROR('4a'!I26/'4b'!$C25*100, "na")</f>
        <v>1.3918113369484653</v>
      </c>
      <c r="J26" s="263">
        <f>IFERROR('4a'!J26/'4b'!$D25*100, "na")</f>
        <v>1.4086746242923318</v>
      </c>
      <c r="K26" s="264">
        <f>IFERROR('4a'!K26/'4b'!$D25*100, "na")</f>
        <v>2.8731476227080757</v>
      </c>
      <c r="L26" s="264">
        <f>IFERROR('4a'!L26/'4b'!$D25*100, "na")</f>
        <v>2.7641847760252314</v>
      </c>
      <c r="M26" s="265">
        <f>IFERROR('4a'!M26/'4b'!$D25*100, "na")</f>
        <v>7.0460070230256386</v>
      </c>
    </row>
    <row r="27" spans="1:13">
      <c r="A27" s="28">
        <v>2002</v>
      </c>
      <c r="B27" s="169">
        <f>IFERROR('4a'!B27/'4b'!$B26*100, "na")</f>
        <v>0.37361673182495903</v>
      </c>
      <c r="C27" s="156">
        <f>IFERROR('4a'!C27/'4b'!$B26*100, "na")</f>
        <v>2.5443209223391028</v>
      </c>
      <c r="D27" s="156">
        <f>IFERROR('4a'!D27/'4b'!$B26*100, "na")</f>
        <v>0.12559381076382925</v>
      </c>
      <c r="E27" s="170">
        <f>IFERROR('4a'!E27/'4b'!$B26*100, "na")</f>
        <v>3.0435314649278902</v>
      </c>
      <c r="F27" s="169">
        <f>IFERROR('4a'!F27/'4b'!$C26*100, "na")</f>
        <v>0.16411347838884233</v>
      </c>
      <c r="G27" s="156">
        <f>IFERROR('4a'!G27/'4b'!$C26*100, "na")</f>
        <v>0.96368216088935177</v>
      </c>
      <c r="H27" s="156">
        <f>IFERROR('4a'!H27/'4b'!$C26*100, "na")</f>
        <v>8.2031833722009645E-2</v>
      </c>
      <c r="I27" s="156">
        <f>IFERROR('4a'!I27/'4b'!$C26*100, "na")</f>
        <v>1.2098274730002034</v>
      </c>
      <c r="J27" s="263">
        <f>IFERROR('4a'!J27/'4b'!$D26*100, "na")</f>
        <v>1.5736968420545732</v>
      </c>
      <c r="K27" s="264">
        <f>IFERROR('4a'!K27/'4b'!$D26*100, "na")</f>
        <v>2.9087637771651313</v>
      </c>
      <c r="L27" s="264">
        <f>IFERROR('4a'!L27/'4b'!$D26*100, "na")</f>
        <v>2.7838188669411066</v>
      </c>
      <c r="M27" s="265">
        <f>IFERROR('4a'!M27/'4b'!$D26*100, "na")</f>
        <v>7.2662794861608111</v>
      </c>
    </row>
    <row r="28" spans="1:13">
      <c r="A28" s="28">
        <v>2003</v>
      </c>
      <c r="B28" s="169">
        <f>IFERROR('4a'!B28/'4b'!$B27*100, "na")</f>
        <v>0.69675718999790603</v>
      </c>
      <c r="C28" s="156">
        <f>IFERROR('4a'!C28/'4b'!$B27*100, "na")</f>
        <v>2.4338310792759099</v>
      </c>
      <c r="D28" s="156">
        <f>IFERROR('4a'!D28/'4b'!$B27*100, "na")</f>
        <v>0.18896895827165663</v>
      </c>
      <c r="E28" s="170">
        <f>IFERROR('4a'!E28/'4b'!$B27*100, "na")</f>
        <v>3.3195572275454719</v>
      </c>
      <c r="F28" s="169">
        <f>IFERROR('4a'!F28/'4b'!$C27*100, "na")</f>
        <v>0.18517566507057315</v>
      </c>
      <c r="G28" s="156">
        <f>IFERROR('4a'!G28/'4b'!$C27*100, "na")</f>
        <v>0.9554513608498344</v>
      </c>
      <c r="H28" s="156">
        <f>IFERROR('4a'!H28/'4b'!$C27*100, "na")</f>
        <v>8.1531567394197202E-2</v>
      </c>
      <c r="I28" s="156">
        <f>IFERROR('4a'!I28/'4b'!$C27*100, "na")</f>
        <v>1.2221585933146046</v>
      </c>
      <c r="J28" s="263">
        <f>IFERROR('4a'!J28/'4b'!$D27*100, "na")</f>
        <v>1.7940171654307064</v>
      </c>
      <c r="K28" s="264">
        <f>IFERROR('4a'!K28/'4b'!$D27*100, "na")</f>
        <v>2.9734228496183359</v>
      </c>
      <c r="L28" s="264">
        <f>IFERROR('4a'!L28/'4b'!$D27*100, "na")</f>
        <v>2.764794763082608</v>
      </c>
      <c r="M28" s="265">
        <f>IFERROR('4a'!M28/'4b'!$D27*100, "na")</f>
        <v>7.5322347781316497</v>
      </c>
    </row>
    <row r="29" spans="1:13">
      <c r="A29" s="28">
        <v>2004</v>
      </c>
      <c r="B29" s="169">
        <f>IFERROR('4a'!B29/'4b'!$B28*100, "na")</f>
        <v>1.0268425696335399</v>
      </c>
      <c r="C29" s="156">
        <f>IFERROR('4a'!C29/'4b'!$B28*100, "na")</f>
        <v>2.5984491230205209</v>
      </c>
      <c r="D29" s="156">
        <f>IFERROR('4a'!D29/'4b'!$B28*100, "na")</f>
        <v>0.25241112311179392</v>
      </c>
      <c r="E29" s="170">
        <f>IFERROR('4a'!E29/'4b'!$B28*100, "na")</f>
        <v>3.8777028157658551</v>
      </c>
      <c r="F29" s="169">
        <f>IFERROR('4a'!F29/'4b'!$C28*100, "na")</f>
        <v>0.21671351537402481</v>
      </c>
      <c r="G29" s="156">
        <f>IFERROR('4a'!G29/'4b'!$C28*100, "na")</f>
        <v>1.2558650757228085</v>
      </c>
      <c r="H29" s="156">
        <f>IFERROR('4a'!H29/'4b'!$C28*100, "na")</f>
        <v>8.7631367599816434E-2</v>
      </c>
      <c r="I29" s="156">
        <f>IFERROR('4a'!I29/'4b'!$C28*100, "na")</f>
        <v>1.5602099586966494</v>
      </c>
      <c r="J29" s="263">
        <f>IFERROR('4a'!J29/'4b'!$D28*100, "na")</f>
        <v>2.1823063556716131</v>
      </c>
      <c r="K29" s="264">
        <f>IFERROR('4a'!K29/'4b'!$D28*100, "na")</f>
        <v>3.128493597961215</v>
      </c>
      <c r="L29" s="264">
        <f>IFERROR('4a'!L29/'4b'!$D28*100, "na")</f>
        <v>2.756848151508732</v>
      </c>
      <c r="M29" s="265">
        <f>IFERROR('4a'!M29/'4b'!$D28*100, "na")</f>
        <v>8.0676481051415596</v>
      </c>
    </row>
    <row r="30" spans="1:13">
      <c r="A30" s="28">
        <v>2005</v>
      </c>
      <c r="B30" s="169">
        <f>IFERROR('4a'!B30/'4b'!$B29*100, "na")</f>
        <v>1.3755649074651111</v>
      </c>
      <c r="C30" s="156">
        <f>IFERROR('4a'!C30/'4b'!$B29*100, "na")</f>
        <v>2.8765410227503487</v>
      </c>
      <c r="D30" s="156">
        <f>IFERROR('4a'!D30/'4b'!$B29*100, "na")</f>
        <v>0.27253362836196093</v>
      </c>
      <c r="E30" s="170">
        <f>IFERROR('4a'!E30/'4b'!$B29*100, "na")</f>
        <v>4.5246395585774213</v>
      </c>
      <c r="F30" s="169">
        <f>IFERROR('4a'!F30/'4b'!$C29*100, "na")</f>
        <v>0.31752020944332171</v>
      </c>
      <c r="G30" s="156">
        <f>IFERROR('4a'!G30/'4b'!$C29*100, "na")</f>
        <v>1.6544116296160205</v>
      </c>
      <c r="H30" s="156">
        <f>IFERROR('4a'!H30/'4b'!$C29*100, "na")</f>
        <v>0.12081687488517363</v>
      </c>
      <c r="I30" s="156">
        <f>IFERROR('4a'!I30/'4b'!$C29*100, "na")</f>
        <v>2.0927487139445162</v>
      </c>
      <c r="J30" s="263">
        <f>IFERROR('4a'!J30/'4b'!$D29*100, "na")</f>
        <v>2.6270447556017711</v>
      </c>
      <c r="K30" s="264">
        <f>IFERROR('4a'!K30/'4b'!$D29*100, "na")</f>
        <v>3.3527306320771499</v>
      </c>
      <c r="L30" s="264">
        <f>IFERROR('4a'!L30/'4b'!$D29*100, "na")</f>
        <v>2.7214933194244462</v>
      </c>
      <c r="M30" s="265">
        <f>IFERROR('4a'!M30/'4b'!$D29*100, "na")</f>
        <v>8.7012687071033668</v>
      </c>
    </row>
    <row r="31" spans="1:13">
      <c r="A31" s="28">
        <v>2006</v>
      </c>
      <c r="B31" s="169">
        <f>IFERROR('4a'!B31/'4b'!$B30*100, "na")</f>
        <v>1.5301632664610509</v>
      </c>
      <c r="C31" s="156">
        <f>IFERROR('4a'!C31/'4b'!$B30*100, "na")</f>
        <v>3.0136717976288163</v>
      </c>
      <c r="D31" s="156">
        <f>IFERROR('4a'!D31/'4b'!$B30*100, "na")</f>
        <v>0.33809810135536628</v>
      </c>
      <c r="E31" s="170">
        <f>IFERROR('4a'!E31/'4b'!$B30*100, "na")</f>
        <v>4.8819331654452336</v>
      </c>
      <c r="F31" s="169">
        <f>IFERROR('4a'!F31/'4b'!$C30*100, "na")</f>
        <v>0.39232506940891765</v>
      </c>
      <c r="G31" s="156">
        <f>IFERROR('4a'!G31/'4b'!$C30*100, "na")</f>
        <v>1.8127131845328766</v>
      </c>
      <c r="H31" s="156">
        <f>IFERROR('4a'!H31/'4b'!$C30*100, "na")</f>
        <v>0.14000022992602129</v>
      </c>
      <c r="I31" s="156">
        <f>IFERROR('4a'!I31/'4b'!$C30*100, "na")</f>
        <v>2.3450384838678153</v>
      </c>
      <c r="J31" s="263">
        <f>IFERROR('4a'!J31/'4b'!$D30*100, "na")</f>
        <v>3.1863903995398597</v>
      </c>
      <c r="K31" s="264">
        <f>IFERROR('4a'!K31/'4b'!$D30*100, "na")</f>
        <v>3.4921730088500746</v>
      </c>
      <c r="L31" s="264">
        <f>IFERROR('4a'!L31/'4b'!$D30*100, "na")</f>
        <v>2.7035382763370577</v>
      </c>
      <c r="M31" s="265">
        <f>IFERROR('4a'!M31/'4b'!$D30*100, "na")</f>
        <v>9.382101684726992</v>
      </c>
    </row>
    <row r="32" spans="1:13">
      <c r="A32" s="28">
        <v>2007</v>
      </c>
      <c r="B32" s="169">
        <f>IFERROR('4a'!B32/'4b'!$B31*100, "na")</f>
        <v>2.248605765602596</v>
      </c>
      <c r="C32" s="156">
        <f>IFERROR('4a'!C32/'4b'!$B31*100, "na")</f>
        <v>2.8240220863834176</v>
      </c>
      <c r="D32" s="156">
        <f>IFERROR('4a'!D32/'4b'!$B31*100, "na")</f>
        <v>0.56077402963298373</v>
      </c>
      <c r="E32" s="170">
        <f>IFERROR('4a'!E32/'4b'!$B31*100, "na")</f>
        <v>5.6334018816189966</v>
      </c>
      <c r="F32" s="169">
        <f>IFERROR('4a'!F32/'4b'!$C31*100, "na")</f>
        <v>0.32915324981645167</v>
      </c>
      <c r="G32" s="156">
        <f>IFERROR('4a'!G32/'4b'!$C31*100, "na")</f>
        <v>2.1595390191873003</v>
      </c>
      <c r="H32" s="156">
        <f>IFERROR('4a'!H32/'4b'!$C31*100, "na")</f>
        <v>0.13189982599043815</v>
      </c>
      <c r="I32" s="156">
        <f>IFERROR('4a'!I32/'4b'!$C31*100, "na")</f>
        <v>2.6205920949941901</v>
      </c>
      <c r="J32" s="263">
        <f>IFERROR('4a'!J32/'4b'!$D31*100, "na")</f>
        <v>3.5736207866197063</v>
      </c>
      <c r="K32" s="264">
        <f>IFERROR('4a'!K32/'4b'!$D31*100, "na")</f>
        <v>3.7721249905890502</v>
      </c>
      <c r="L32" s="264">
        <f>IFERROR('4a'!L32/'4b'!$D31*100, "na")</f>
        <v>2.6358786989149947</v>
      </c>
      <c r="M32" s="265">
        <f>IFERROR('4a'!M32/'4b'!$D31*100, "na")</f>
        <v>9.9816244761237503</v>
      </c>
    </row>
    <row r="33" spans="1:13">
      <c r="A33" s="28">
        <v>2008</v>
      </c>
      <c r="B33" s="169">
        <f>IFERROR('4a'!B33/'4b'!$B32*100, "na")</f>
        <v>1.7902678683563682</v>
      </c>
      <c r="C33" s="156">
        <f>IFERROR('4a'!C33/'4b'!$B32*100, "na")</f>
        <v>2.723119568922725</v>
      </c>
      <c r="D33" s="156">
        <f>IFERROR('4a'!D33/'4b'!$B32*100, "na")</f>
        <v>0.47809567666812181</v>
      </c>
      <c r="E33" s="170">
        <f>IFERROR('4a'!E33/'4b'!$B32*100, "na")</f>
        <v>4.9914831139472158</v>
      </c>
      <c r="F33" s="169">
        <f>IFERROR('4a'!F33/'4b'!$C32*100, "na")</f>
        <v>0.30773003911205693</v>
      </c>
      <c r="G33" s="156">
        <f>IFERROR('4a'!G33/'4b'!$C32*100, "na")</f>
        <v>2.3962367068700416</v>
      </c>
      <c r="H33" s="156">
        <f>IFERROR('4a'!H33/'4b'!$C32*100, "na")</f>
        <v>0.13962302758890829</v>
      </c>
      <c r="I33" s="156">
        <f>IFERROR('4a'!I33/'4b'!$C32*100, "na")</f>
        <v>2.843589773571007</v>
      </c>
      <c r="J33" s="263">
        <f>IFERROR('4a'!J33/'4b'!$D32*100, "na")</f>
        <v>3.9066739066401186</v>
      </c>
      <c r="K33" s="264">
        <f>IFERROR('4a'!K33/'4b'!$D32*100, "na")</f>
        <v>3.8889946705898208</v>
      </c>
      <c r="L33" s="264">
        <f>IFERROR('4a'!L33/'4b'!$D32*100, "na")</f>
        <v>2.6531176870669881</v>
      </c>
      <c r="M33" s="265">
        <f>IFERROR('4a'!M33/'4b'!$D32*100, "na")</f>
        <v>10.448786264296928</v>
      </c>
    </row>
    <row r="34" spans="1:13">
      <c r="A34" s="28">
        <v>2009</v>
      </c>
      <c r="B34" s="169">
        <f>IFERROR('4a'!B34/'4b'!$B33*100, "na")</f>
        <v>1.8908521672322172</v>
      </c>
      <c r="C34" s="156">
        <f>IFERROR('4a'!C34/'4b'!$B33*100, "na")</f>
        <v>2.9050777898713109</v>
      </c>
      <c r="D34" s="156">
        <f>IFERROR('4a'!D34/'4b'!$B33*100, "na")</f>
        <v>0.52261604456111144</v>
      </c>
      <c r="E34" s="170">
        <f>IFERROR('4a'!E34/'4b'!$B33*100, "na")</f>
        <v>5.3185460016646386</v>
      </c>
      <c r="F34" s="169">
        <f>IFERROR('4a'!F34/'4b'!$C33*100, "na")</f>
        <v>0.34610154925598041</v>
      </c>
      <c r="G34" s="156">
        <f>IFERROR('4a'!G34/'4b'!$C33*100, "na")</f>
        <v>2.5339347099265401</v>
      </c>
      <c r="H34" s="156">
        <f>IFERROR('4a'!H34/'4b'!$C33*100, "na")</f>
        <v>0.12364028065549068</v>
      </c>
      <c r="I34" s="156">
        <f>IFERROR('4a'!I34/'4b'!$C33*100, "na")</f>
        <v>3.0036765398380112</v>
      </c>
      <c r="J34" s="263">
        <f>IFERROR('4a'!J34/'4b'!$D33*100, "na")</f>
        <v>3.9023237781870277</v>
      </c>
      <c r="K34" s="264">
        <f>IFERROR('4a'!K34/'4b'!$D33*100, "na")</f>
        <v>4.0053976500957624</v>
      </c>
      <c r="L34" s="264">
        <f>IFERROR('4a'!L34/'4b'!$D33*100, "na")</f>
        <v>2.6831014062856955</v>
      </c>
      <c r="M34" s="265">
        <f>IFERROR('4a'!M34/'4b'!$D33*100, "na")</f>
        <v>10.590822834568485</v>
      </c>
    </row>
    <row r="35" spans="1:13">
      <c r="A35" s="28">
        <v>2010</v>
      </c>
      <c r="B35" s="169">
        <f>IFERROR('4a'!B35/'4b'!$B34*100, "na")</f>
        <v>2.0990014764433811</v>
      </c>
      <c r="C35" s="156">
        <f>IFERROR('4a'!C35/'4b'!$B34*100, "na")</f>
        <v>2.9517531890477291</v>
      </c>
      <c r="D35" s="156">
        <f>IFERROR('4a'!D35/'4b'!$B34*100, "na")</f>
        <v>0.61987670648165638</v>
      </c>
      <c r="E35" s="170">
        <f>IFERROR('4a'!E35/'4b'!$B34*100, "na")</f>
        <v>5.6706313719727666</v>
      </c>
      <c r="F35" s="169">
        <f>IFERROR('4a'!F35/'4b'!$C34*100, "na")</f>
        <v>0.47472369526790104</v>
      </c>
      <c r="G35" s="156">
        <f>IFERROR('4a'!G35/'4b'!$C34*100, "na")</f>
        <v>2.6226879944362338</v>
      </c>
      <c r="H35" s="156">
        <f>IFERROR('4a'!H35/'4b'!$C34*100, "na")</f>
        <v>0.13007273464893215</v>
      </c>
      <c r="I35" s="156">
        <f>IFERROR('4a'!I35/'4b'!$C34*100, "na")</f>
        <v>3.2274844243530674</v>
      </c>
      <c r="J35" s="263">
        <f>IFERROR('4a'!J35/'4b'!$D34*100, "na")</f>
        <v>4.2299688427045217</v>
      </c>
      <c r="K35" s="264">
        <f>IFERROR('4a'!K35/'4b'!$D34*100, "na")</f>
        <v>4.1169732867376663</v>
      </c>
      <c r="L35" s="264">
        <f>IFERROR('4a'!L35/'4b'!$D34*100, "na")</f>
        <v>2.8117454746930242</v>
      </c>
      <c r="M35" s="265">
        <f>IFERROR('4a'!M35/'4b'!$D34*100, "na")</f>
        <v>11.158687604135213</v>
      </c>
    </row>
    <row r="36" spans="1:13">
      <c r="A36" s="29">
        <v>2011</v>
      </c>
      <c r="B36" s="192">
        <f>IFERROR('4a'!B36/'4b'!$B35*100, "na")</f>
        <v>2.4994753331068584</v>
      </c>
      <c r="C36" s="157">
        <f>IFERROR('4a'!C36/'4b'!$B35*100, "na")</f>
        <v>3.0790850413316724</v>
      </c>
      <c r="D36" s="157">
        <f>IFERROR('4a'!D36/'4b'!$B35*100, "na")</f>
        <v>0.73288415807949281</v>
      </c>
      <c r="E36" s="207">
        <f>IFERROR('4a'!E36/'4b'!$B35*100, "na")</f>
        <v>6.3114445325180233</v>
      </c>
      <c r="F36" s="192">
        <f>IFERROR('4a'!F36/'4b'!$C35*100, "na")</f>
        <v>0.65417881438289605</v>
      </c>
      <c r="G36" s="157">
        <f>IFERROR('4a'!G36/'4b'!$C35*100, "na")</f>
        <v>2.69058194706454</v>
      </c>
      <c r="H36" s="157">
        <f>IFERROR('4a'!H36/'4b'!$C35*100, "na")</f>
        <v>0.1427942605613674</v>
      </c>
      <c r="I36" s="157">
        <f>IFERROR('4a'!I36/'4b'!$C35*100, "na")</f>
        <v>3.4875550220088045</v>
      </c>
      <c r="J36" s="266">
        <f>IFERROR('4a'!J36/'4b'!$D35*100, "na")</f>
        <v>4.8826604327400887</v>
      </c>
      <c r="K36" s="267">
        <f>IFERROR('4a'!K36/'4b'!$D35*100, "na")</f>
        <v>4.203804182732088</v>
      </c>
      <c r="L36" s="267">
        <f>IFERROR('4a'!L36/'4b'!$D35*100, "na")</f>
        <v>2.971500188418009</v>
      </c>
      <c r="M36" s="268">
        <f>IFERROR('4a'!M36/'4b'!$D35*100, "na")</f>
        <v>12.057964803890185</v>
      </c>
    </row>
    <row r="37" spans="1:13">
      <c r="A37" s="26"/>
      <c r="B37" s="10"/>
      <c r="C37" s="10"/>
      <c r="D37" s="10"/>
      <c r="E37" s="10"/>
      <c r="F37" s="10"/>
      <c r="G37" s="10"/>
      <c r="H37" s="10"/>
      <c r="I37" s="10"/>
      <c r="J37" s="1"/>
      <c r="K37" s="1"/>
      <c r="L37" s="1"/>
      <c r="M37" s="1"/>
    </row>
    <row r="38" spans="1:13">
      <c r="A38" s="389" t="s">
        <v>77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0"/>
    </row>
    <row r="39" spans="1:13">
      <c r="A39" s="15" t="s">
        <v>53</v>
      </c>
      <c r="B39" s="82">
        <f>B15-B6</f>
        <v>2.4673739921200016E-2</v>
      </c>
      <c r="C39" s="83">
        <f t="shared" ref="C39:M39" si="0">C15-C6</f>
        <v>0.82330706589292257</v>
      </c>
      <c r="D39" s="83">
        <f t="shared" si="0"/>
        <v>2.5356087289315737E-2</v>
      </c>
      <c r="E39" s="84">
        <f t="shared" si="0"/>
        <v>0.87333689310343832</v>
      </c>
      <c r="F39" s="82">
        <f t="shared" si="0"/>
        <v>1.4441302406905006E-2</v>
      </c>
      <c r="G39" s="83">
        <f t="shared" si="0"/>
        <v>0.10654322747616519</v>
      </c>
      <c r="H39" s="83">
        <f t="shared" si="0"/>
        <v>2.7891898948955218E-2</v>
      </c>
      <c r="I39" s="84">
        <f t="shared" si="0"/>
        <v>0.14887642883202543</v>
      </c>
      <c r="J39" s="83">
        <f t="shared" si="0"/>
        <v>0.11832152529353347</v>
      </c>
      <c r="K39" s="83">
        <f t="shared" si="0"/>
        <v>0.78248681819228394</v>
      </c>
      <c r="L39" s="83">
        <f t="shared" si="0"/>
        <v>0.12391972931299833</v>
      </c>
      <c r="M39" s="84">
        <f t="shared" si="0"/>
        <v>1.0247280727988155</v>
      </c>
    </row>
    <row r="40" spans="1:13">
      <c r="A40" s="16" t="s">
        <v>71</v>
      </c>
      <c r="B40" s="85">
        <f>B25-B15</f>
        <v>0.52438500452193859</v>
      </c>
      <c r="C40" s="86">
        <f t="shared" ref="C40:M40" si="1">C25-C15</f>
        <v>2.1073683448347156</v>
      </c>
      <c r="D40" s="86">
        <f t="shared" si="1"/>
        <v>-2.2658407972410893E-2</v>
      </c>
      <c r="E40" s="87">
        <f t="shared" si="1"/>
        <v>2.6090949413842432</v>
      </c>
      <c r="F40" s="85">
        <f t="shared" si="1"/>
        <v>0.40504878359730345</v>
      </c>
      <c r="G40" s="86">
        <f t="shared" si="1"/>
        <v>0.90015085123727678</v>
      </c>
      <c r="H40" s="86">
        <f t="shared" si="1"/>
        <v>-5.266180754351521E-3</v>
      </c>
      <c r="I40" s="87">
        <f t="shared" si="1"/>
        <v>1.2999334540802285</v>
      </c>
      <c r="J40" s="86">
        <f t="shared" si="1"/>
        <v>1.1563756782348624</v>
      </c>
      <c r="K40" s="86">
        <f t="shared" si="1"/>
        <v>1.7268632082922166</v>
      </c>
      <c r="L40" s="86">
        <f t="shared" si="1"/>
        <v>0.346058073930954</v>
      </c>
      <c r="M40" s="87">
        <f t="shared" si="1"/>
        <v>3.2292969604580333</v>
      </c>
    </row>
    <row r="41" spans="1:13">
      <c r="A41" s="16" t="s">
        <v>69</v>
      </c>
      <c r="B41" s="85">
        <f>B35-B25</f>
        <v>1.5333046019048937</v>
      </c>
      <c r="C41" s="86">
        <f t="shared" ref="C41:M41" si="2">C35-C25</f>
        <v>-0.36608704786862711</v>
      </c>
      <c r="D41" s="86">
        <f t="shared" si="2"/>
        <v>0.41144239091964074</v>
      </c>
      <c r="E41" s="87">
        <f t="shared" si="2"/>
        <v>1.5786599449559073</v>
      </c>
      <c r="F41" s="85">
        <f t="shared" si="2"/>
        <v>4.6395302001305205E-2</v>
      </c>
      <c r="G41" s="86">
        <f>G35-G25</f>
        <v>1.5476765297530506</v>
      </c>
      <c r="H41" s="86">
        <f t="shared" si="2"/>
        <v>1.4621697234917297E-2</v>
      </c>
      <c r="I41" s="87">
        <f t="shared" si="2"/>
        <v>1.6086935289892736</v>
      </c>
      <c r="J41" s="86">
        <f t="shared" si="2"/>
        <v>2.9368646671545484</v>
      </c>
      <c r="K41" s="86">
        <f t="shared" si="2"/>
        <v>1.3680874311959652</v>
      </c>
      <c r="L41" s="86">
        <f t="shared" si="2"/>
        <v>0.17412341534381603</v>
      </c>
      <c r="M41" s="87">
        <f t="shared" si="2"/>
        <v>4.4790755136943305</v>
      </c>
    </row>
    <row r="42" spans="1:13">
      <c r="A42" s="17" t="s">
        <v>70</v>
      </c>
      <c r="B42" s="88">
        <f>B35-B6</f>
        <v>2.0823633463480324</v>
      </c>
      <c r="C42" s="89">
        <f t="shared" ref="C42:M42" si="3">C35-C6</f>
        <v>2.5645883628590109</v>
      </c>
      <c r="D42" s="89">
        <f t="shared" si="3"/>
        <v>0.41414007023654553</v>
      </c>
      <c r="E42" s="90">
        <f t="shared" si="3"/>
        <v>5.061091779443589</v>
      </c>
      <c r="F42" s="88">
        <f t="shared" si="3"/>
        <v>0.46588538800551366</v>
      </c>
      <c r="G42" s="89">
        <f t="shared" si="3"/>
        <v>2.5543706084664928</v>
      </c>
      <c r="H42" s="89">
        <f t="shared" si="3"/>
        <v>3.7247415429520994E-2</v>
      </c>
      <c r="I42" s="90">
        <f t="shared" si="3"/>
        <v>3.0575034119015276</v>
      </c>
      <c r="J42" s="89">
        <f t="shared" si="3"/>
        <v>4.2115618706829441</v>
      </c>
      <c r="K42" s="89">
        <f t="shared" si="3"/>
        <v>3.8774374576804655</v>
      </c>
      <c r="L42" s="89">
        <f t="shared" si="3"/>
        <v>0.64410121858776836</v>
      </c>
      <c r="M42" s="90">
        <f t="shared" si="3"/>
        <v>8.7331005469511798</v>
      </c>
    </row>
    <row r="44" spans="1:13">
      <c r="A44" s="204" t="s">
        <v>263</v>
      </c>
    </row>
  </sheetData>
  <mergeCells count="4">
    <mergeCell ref="B4:E4"/>
    <mergeCell ref="F4:I4"/>
    <mergeCell ref="J4:M4"/>
    <mergeCell ref="A38:M38"/>
  </mergeCells>
  <pageMargins left="0.7" right="0.7" top="0.75" bottom="0.75" header="0.3" footer="0.3"/>
  <pageSetup scale="71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51"/>
  <dimension ref="A1:N44"/>
  <sheetViews>
    <sheetView zoomScaleNormal="100" workbookViewId="0">
      <selection activeCell="A43" sqref="A43:A44"/>
    </sheetView>
  </sheetViews>
  <sheetFormatPr defaultRowHeight="15"/>
  <cols>
    <col min="1" max="1" width="9.85546875" style="1" customWidth="1"/>
    <col min="2" max="3" width="11" style="1" bestFit="1" customWidth="1"/>
    <col min="4" max="4" width="19.140625" style="1" bestFit="1" customWidth="1"/>
    <col min="5" max="5" width="19" style="1" customWidth="1"/>
    <col min="6" max="6" width="11" style="1" bestFit="1" customWidth="1"/>
    <col min="7" max="7" width="9.28515625" style="1" bestFit="1" customWidth="1"/>
    <col min="8" max="8" width="19.140625" style="1" bestFit="1" customWidth="1"/>
    <col min="9" max="9" width="10.42578125" style="1" bestFit="1" customWidth="1"/>
    <col min="10" max="10" width="11.140625" style="1" customWidth="1"/>
    <col min="11" max="11" width="13.28515625" style="1" bestFit="1" customWidth="1"/>
    <col min="12" max="12" width="18.85546875" style="1" customWidth="1"/>
    <col min="13" max="13" width="18" style="1" bestFit="1" customWidth="1"/>
    <col min="14" max="16384" width="9.140625" style="1"/>
  </cols>
  <sheetData>
    <row r="1" spans="1:14">
      <c r="A1" s="387" t="s">
        <v>82</v>
      </c>
      <c r="B1" s="387"/>
      <c r="C1" s="387"/>
      <c r="D1" s="387"/>
      <c r="E1" s="387"/>
      <c r="F1" s="387"/>
      <c r="G1" s="387"/>
      <c r="H1" s="387"/>
    </row>
    <row r="2" spans="1:14">
      <c r="A2" s="387"/>
      <c r="B2" s="387"/>
      <c r="C2" s="387"/>
      <c r="D2" s="387"/>
      <c r="E2" s="387"/>
      <c r="F2" s="387"/>
      <c r="G2" s="387"/>
      <c r="H2" s="387"/>
    </row>
    <row r="3" spans="1:14" s="18" customFormat="1"/>
    <row r="4" spans="1:14" s="18" customFormat="1"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8" t="s">
        <v>42</v>
      </c>
      <c r="K4" s="379"/>
      <c r="L4" s="379"/>
      <c r="M4" s="380"/>
    </row>
    <row r="5" spans="1:14" s="18" customFormat="1" ht="30"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3" t="s">
        <v>39</v>
      </c>
      <c r="K5" s="4" t="s">
        <v>41</v>
      </c>
      <c r="L5" s="4" t="s">
        <v>40</v>
      </c>
      <c r="M5" s="5" t="s">
        <v>72</v>
      </c>
      <c r="N5" s="22"/>
    </row>
    <row r="6" spans="1:14">
      <c r="A6" s="56" t="s">
        <v>6</v>
      </c>
      <c r="B6" s="6">
        <v>117</v>
      </c>
      <c r="C6" s="7">
        <v>115</v>
      </c>
      <c r="D6" s="7">
        <v>54</v>
      </c>
      <c r="E6" s="8">
        <f>(SUM(B6:D6))</f>
        <v>286</v>
      </c>
      <c r="F6" s="190">
        <v>24</v>
      </c>
      <c r="G6" s="191">
        <v>4</v>
      </c>
      <c r="H6" s="191">
        <v>262</v>
      </c>
      <c r="I6" s="8">
        <f t="shared" ref="I6:I35" si="0">(SUM(F6:H6))</f>
        <v>290</v>
      </c>
      <c r="J6" s="6">
        <v>17100</v>
      </c>
      <c r="K6" s="7">
        <v>11800</v>
      </c>
      <c r="L6" s="7">
        <v>27200</v>
      </c>
      <c r="M6" s="8">
        <f t="shared" ref="M6:M35" si="1">(SUM(J6:L6))</f>
        <v>56100</v>
      </c>
    </row>
    <row r="7" spans="1:14">
      <c r="A7" s="57" t="s">
        <v>7</v>
      </c>
      <c r="B7" s="9">
        <v>7</v>
      </c>
      <c r="C7" s="10">
        <v>19</v>
      </c>
      <c r="D7" s="10">
        <v>56</v>
      </c>
      <c r="E7" s="11">
        <f t="shared" ref="E7:E35" si="2">(SUM(B7:D7))</f>
        <v>82</v>
      </c>
      <c r="F7" s="112">
        <v>6</v>
      </c>
      <c r="G7" s="113">
        <v>3</v>
      </c>
      <c r="H7" s="113">
        <v>233</v>
      </c>
      <c r="I7" s="11">
        <f t="shared" si="0"/>
        <v>242</v>
      </c>
      <c r="J7" s="9">
        <v>18900</v>
      </c>
      <c r="K7" s="10">
        <v>14000</v>
      </c>
      <c r="L7" s="10">
        <v>28900</v>
      </c>
      <c r="M7" s="11">
        <f t="shared" si="1"/>
        <v>61800</v>
      </c>
    </row>
    <row r="8" spans="1:14">
      <c r="A8" s="57" t="s">
        <v>8</v>
      </c>
      <c r="B8" s="9">
        <v>26</v>
      </c>
      <c r="C8" s="10">
        <v>30</v>
      </c>
      <c r="D8" s="10">
        <v>164</v>
      </c>
      <c r="E8" s="11">
        <f t="shared" si="2"/>
        <v>220</v>
      </c>
      <c r="F8" s="112">
        <v>4</v>
      </c>
      <c r="G8" s="113">
        <v>1</v>
      </c>
      <c r="H8" s="113">
        <v>199</v>
      </c>
      <c r="I8" s="11">
        <f t="shared" si="0"/>
        <v>204</v>
      </c>
      <c r="J8" s="9">
        <v>23900</v>
      </c>
      <c r="K8" s="10">
        <v>16399.999999999996</v>
      </c>
      <c r="L8" s="10">
        <v>29500</v>
      </c>
      <c r="M8" s="11">
        <f t="shared" si="1"/>
        <v>69800</v>
      </c>
    </row>
    <row r="9" spans="1:14">
      <c r="A9" s="57" t="s">
        <v>9</v>
      </c>
      <c r="B9" s="9">
        <v>70</v>
      </c>
      <c r="C9" s="10">
        <v>61</v>
      </c>
      <c r="D9" s="10">
        <v>445</v>
      </c>
      <c r="E9" s="11">
        <f t="shared" si="2"/>
        <v>576</v>
      </c>
      <c r="F9" s="112">
        <v>4</v>
      </c>
      <c r="G9" s="113">
        <v>1</v>
      </c>
      <c r="H9" s="113">
        <v>316</v>
      </c>
      <c r="I9" s="11">
        <f t="shared" si="0"/>
        <v>321</v>
      </c>
      <c r="J9" s="9">
        <v>31600</v>
      </c>
      <c r="K9" s="10">
        <v>20400</v>
      </c>
      <c r="L9" s="10">
        <v>34000</v>
      </c>
      <c r="M9" s="11">
        <f t="shared" si="1"/>
        <v>86000</v>
      </c>
    </row>
    <row r="10" spans="1:14">
      <c r="A10" s="57" t="s">
        <v>10</v>
      </c>
      <c r="B10" s="9">
        <v>89</v>
      </c>
      <c r="C10" s="10">
        <v>84</v>
      </c>
      <c r="D10" s="10">
        <v>472</v>
      </c>
      <c r="E10" s="11">
        <f t="shared" si="2"/>
        <v>645</v>
      </c>
      <c r="F10" s="112">
        <v>6</v>
      </c>
      <c r="G10" s="113">
        <v>2</v>
      </c>
      <c r="H10" s="113">
        <v>329</v>
      </c>
      <c r="I10" s="11">
        <f t="shared" si="0"/>
        <v>337</v>
      </c>
      <c r="J10" s="9">
        <v>33700</v>
      </c>
      <c r="K10" s="10">
        <v>23800</v>
      </c>
      <c r="L10" s="10">
        <v>37000</v>
      </c>
      <c r="M10" s="11">
        <f t="shared" si="1"/>
        <v>94500</v>
      </c>
    </row>
    <row r="11" spans="1:14">
      <c r="A11" s="57" t="s">
        <v>11</v>
      </c>
      <c r="B11" s="9">
        <v>133</v>
      </c>
      <c r="C11" s="10">
        <v>127</v>
      </c>
      <c r="D11" s="10">
        <v>701</v>
      </c>
      <c r="E11" s="11">
        <f t="shared" si="2"/>
        <v>961</v>
      </c>
      <c r="F11" s="112">
        <v>5</v>
      </c>
      <c r="G11" s="113">
        <v>2</v>
      </c>
      <c r="H11" s="113">
        <v>230</v>
      </c>
      <c r="I11" s="11">
        <f t="shared" si="0"/>
        <v>237</v>
      </c>
      <c r="J11" s="9">
        <v>33400</v>
      </c>
      <c r="K11" s="10">
        <v>25600</v>
      </c>
      <c r="L11" s="10">
        <v>39100</v>
      </c>
      <c r="M11" s="11">
        <f t="shared" si="1"/>
        <v>98100</v>
      </c>
    </row>
    <row r="12" spans="1:14">
      <c r="A12" s="57" t="s">
        <v>12</v>
      </c>
      <c r="B12" s="9">
        <v>78</v>
      </c>
      <c r="C12" s="10">
        <v>78</v>
      </c>
      <c r="D12" s="10">
        <v>241</v>
      </c>
      <c r="E12" s="11">
        <f t="shared" si="2"/>
        <v>397</v>
      </c>
      <c r="F12" s="112">
        <v>5</v>
      </c>
      <c r="G12" s="113">
        <v>3</v>
      </c>
      <c r="H12" s="113">
        <v>203</v>
      </c>
      <c r="I12" s="11">
        <f t="shared" si="0"/>
        <v>211</v>
      </c>
      <c r="J12" s="9">
        <v>35800</v>
      </c>
      <c r="K12" s="10">
        <v>29000</v>
      </c>
      <c r="L12" s="10">
        <v>39200</v>
      </c>
      <c r="M12" s="11">
        <f t="shared" si="1"/>
        <v>104000</v>
      </c>
    </row>
    <row r="13" spans="1:14">
      <c r="A13" s="57" t="s">
        <v>13</v>
      </c>
      <c r="B13" s="9">
        <v>109</v>
      </c>
      <c r="C13" s="10">
        <v>128</v>
      </c>
      <c r="D13" s="10">
        <v>516</v>
      </c>
      <c r="E13" s="11">
        <f t="shared" si="2"/>
        <v>753</v>
      </c>
      <c r="F13" s="112">
        <v>18</v>
      </c>
      <c r="G13" s="113">
        <v>9</v>
      </c>
      <c r="H13" s="113">
        <v>348</v>
      </c>
      <c r="I13" s="11">
        <f t="shared" si="0"/>
        <v>375</v>
      </c>
      <c r="J13" s="9">
        <v>38000</v>
      </c>
      <c r="K13" s="10">
        <v>34200</v>
      </c>
      <c r="L13" s="10">
        <v>43700</v>
      </c>
      <c r="M13" s="11">
        <f t="shared" si="1"/>
        <v>115900</v>
      </c>
    </row>
    <row r="14" spans="1:14">
      <c r="A14" s="57" t="s">
        <v>14</v>
      </c>
      <c r="B14" s="9">
        <v>137</v>
      </c>
      <c r="C14" s="10">
        <v>182</v>
      </c>
      <c r="D14" s="10">
        <v>762</v>
      </c>
      <c r="E14" s="11">
        <f t="shared" si="2"/>
        <v>1081</v>
      </c>
      <c r="F14" s="112">
        <v>37</v>
      </c>
      <c r="G14" s="113">
        <v>29</v>
      </c>
      <c r="H14" s="113">
        <v>368</v>
      </c>
      <c r="I14" s="11">
        <f t="shared" si="0"/>
        <v>434</v>
      </c>
      <c r="J14" s="9">
        <v>43100</v>
      </c>
      <c r="K14" s="10">
        <v>41900</v>
      </c>
      <c r="L14" s="10">
        <v>43600</v>
      </c>
      <c r="M14" s="11">
        <f t="shared" si="1"/>
        <v>128600</v>
      </c>
    </row>
    <row r="15" spans="1:14">
      <c r="A15" s="57" t="s">
        <v>15</v>
      </c>
      <c r="B15" s="9">
        <v>142</v>
      </c>
      <c r="C15" s="10">
        <v>241</v>
      </c>
      <c r="D15" s="10">
        <v>945</v>
      </c>
      <c r="E15" s="11">
        <f t="shared" si="2"/>
        <v>1328</v>
      </c>
      <c r="F15" s="112">
        <v>50</v>
      </c>
      <c r="G15" s="113">
        <v>51</v>
      </c>
      <c r="H15" s="113">
        <v>231</v>
      </c>
      <c r="I15" s="11">
        <f t="shared" si="0"/>
        <v>332</v>
      </c>
      <c r="J15" s="9">
        <v>38600</v>
      </c>
      <c r="K15" s="10">
        <v>47600</v>
      </c>
      <c r="L15" s="10">
        <v>45200</v>
      </c>
      <c r="M15" s="11">
        <f t="shared" si="1"/>
        <v>131400</v>
      </c>
    </row>
    <row r="16" spans="1:14">
      <c r="A16" s="57" t="s">
        <v>16</v>
      </c>
      <c r="B16" s="9">
        <v>140</v>
      </c>
      <c r="C16" s="10">
        <v>299</v>
      </c>
      <c r="D16" s="10">
        <v>888</v>
      </c>
      <c r="E16" s="11">
        <f t="shared" si="2"/>
        <v>1327</v>
      </c>
      <c r="F16" s="112">
        <v>58</v>
      </c>
      <c r="G16" s="113">
        <v>75</v>
      </c>
      <c r="H16" s="113">
        <v>166</v>
      </c>
      <c r="I16" s="11">
        <f t="shared" si="0"/>
        <v>299</v>
      </c>
      <c r="J16" s="9">
        <v>37700</v>
      </c>
      <c r="K16" s="10">
        <v>53700</v>
      </c>
      <c r="L16" s="10">
        <v>43700</v>
      </c>
      <c r="M16" s="11">
        <f t="shared" si="1"/>
        <v>135100</v>
      </c>
    </row>
    <row r="17" spans="1:13">
      <c r="A17" s="57" t="s">
        <v>17</v>
      </c>
      <c r="B17" s="9">
        <v>175</v>
      </c>
      <c r="C17" s="10">
        <v>341</v>
      </c>
      <c r="D17" s="10">
        <v>2402</v>
      </c>
      <c r="E17" s="11">
        <f t="shared" si="2"/>
        <v>2918</v>
      </c>
      <c r="F17" s="112">
        <v>93</v>
      </c>
      <c r="G17" s="113">
        <v>103</v>
      </c>
      <c r="H17" s="113">
        <v>107</v>
      </c>
      <c r="I17" s="11">
        <f t="shared" si="0"/>
        <v>303</v>
      </c>
      <c r="J17" s="9">
        <v>43600</v>
      </c>
      <c r="K17" s="10">
        <v>57900</v>
      </c>
      <c r="L17" s="10">
        <v>46200</v>
      </c>
      <c r="M17" s="11">
        <f t="shared" si="1"/>
        <v>147700</v>
      </c>
    </row>
    <row r="18" spans="1:13">
      <c r="A18" s="57" t="s">
        <v>18</v>
      </c>
      <c r="B18" s="9">
        <v>219</v>
      </c>
      <c r="C18" s="10">
        <v>450</v>
      </c>
      <c r="D18" s="10">
        <v>2208</v>
      </c>
      <c r="E18" s="11">
        <f t="shared" si="2"/>
        <v>2877</v>
      </c>
      <c r="F18" s="112">
        <v>221</v>
      </c>
      <c r="G18" s="113">
        <v>329</v>
      </c>
      <c r="H18" s="113">
        <v>221</v>
      </c>
      <c r="I18" s="11">
        <f t="shared" si="0"/>
        <v>771</v>
      </c>
      <c r="J18" s="9">
        <v>47500</v>
      </c>
      <c r="K18" s="10">
        <v>64300</v>
      </c>
      <c r="L18" s="10">
        <v>48700</v>
      </c>
      <c r="M18" s="11">
        <f t="shared" si="1"/>
        <v>160500</v>
      </c>
    </row>
    <row r="19" spans="1:13">
      <c r="A19" s="57" t="s">
        <v>19</v>
      </c>
      <c r="B19" s="9">
        <v>285</v>
      </c>
      <c r="C19" s="10">
        <v>633</v>
      </c>
      <c r="D19" s="10">
        <v>3078</v>
      </c>
      <c r="E19" s="11">
        <f t="shared" si="2"/>
        <v>3996</v>
      </c>
      <c r="F19" s="112">
        <v>277</v>
      </c>
      <c r="G19" s="113">
        <v>407</v>
      </c>
      <c r="H19" s="113">
        <v>270</v>
      </c>
      <c r="I19" s="11">
        <f t="shared" si="0"/>
        <v>954</v>
      </c>
      <c r="J19" s="9">
        <v>51900</v>
      </c>
      <c r="K19" s="10">
        <v>68300</v>
      </c>
      <c r="L19" s="10">
        <v>56800</v>
      </c>
      <c r="M19" s="11">
        <f t="shared" si="1"/>
        <v>177000</v>
      </c>
    </row>
    <row r="20" spans="1:13">
      <c r="A20" s="57" t="s">
        <v>20</v>
      </c>
      <c r="B20" s="9">
        <v>576</v>
      </c>
      <c r="C20" s="10">
        <v>1082</v>
      </c>
      <c r="D20" s="10">
        <v>6083</v>
      </c>
      <c r="E20" s="11">
        <f t="shared" si="2"/>
        <v>7741</v>
      </c>
      <c r="F20" s="112">
        <v>317</v>
      </c>
      <c r="G20" s="113">
        <v>357</v>
      </c>
      <c r="H20" s="113">
        <v>251</v>
      </c>
      <c r="I20" s="11">
        <f t="shared" si="0"/>
        <v>925</v>
      </c>
      <c r="J20" s="9">
        <v>65500</v>
      </c>
      <c r="K20" s="10">
        <v>74600</v>
      </c>
      <c r="L20" s="10">
        <v>63500</v>
      </c>
      <c r="M20" s="11">
        <f t="shared" si="1"/>
        <v>203600</v>
      </c>
    </row>
    <row r="21" spans="1:13">
      <c r="A21" s="57" t="s">
        <v>21</v>
      </c>
      <c r="B21" s="9">
        <v>746</v>
      </c>
      <c r="C21" s="10">
        <v>1445</v>
      </c>
      <c r="D21" s="10">
        <v>7701</v>
      </c>
      <c r="E21" s="11">
        <f t="shared" si="2"/>
        <v>9892</v>
      </c>
      <c r="F21" s="112">
        <v>300</v>
      </c>
      <c r="G21" s="113">
        <v>355</v>
      </c>
      <c r="H21" s="113">
        <v>249</v>
      </c>
      <c r="I21" s="11">
        <f t="shared" si="0"/>
        <v>904</v>
      </c>
      <c r="J21" s="9">
        <v>72100</v>
      </c>
      <c r="K21" s="10">
        <v>85500</v>
      </c>
      <c r="L21" s="10">
        <v>70800</v>
      </c>
      <c r="M21" s="11">
        <f t="shared" si="1"/>
        <v>228400</v>
      </c>
    </row>
    <row r="22" spans="1:13">
      <c r="A22" s="57" t="s">
        <v>22</v>
      </c>
      <c r="B22" s="9">
        <v>1126</v>
      </c>
      <c r="C22" s="10">
        <v>2194</v>
      </c>
      <c r="D22" s="10">
        <v>10148</v>
      </c>
      <c r="E22" s="11">
        <f t="shared" si="2"/>
        <v>13468</v>
      </c>
      <c r="F22" s="112">
        <v>265</v>
      </c>
      <c r="G22" s="113">
        <v>346</v>
      </c>
      <c r="H22" s="113">
        <v>206</v>
      </c>
      <c r="I22" s="11">
        <f t="shared" si="0"/>
        <v>817</v>
      </c>
      <c r="J22" s="9">
        <v>81000</v>
      </c>
      <c r="K22" s="10">
        <v>107500</v>
      </c>
      <c r="L22" s="10">
        <v>80000</v>
      </c>
      <c r="M22" s="11">
        <f t="shared" si="1"/>
        <v>268500</v>
      </c>
    </row>
    <row r="23" spans="1:13">
      <c r="A23" s="57" t="s">
        <v>23</v>
      </c>
      <c r="B23" s="9">
        <v>1115</v>
      </c>
      <c r="C23" s="10">
        <v>2066</v>
      </c>
      <c r="D23" s="10">
        <v>9161</v>
      </c>
      <c r="E23" s="11">
        <f t="shared" si="2"/>
        <v>12342</v>
      </c>
      <c r="F23" s="112">
        <v>321</v>
      </c>
      <c r="G23" s="113">
        <v>434</v>
      </c>
      <c r="H23" s="113">
        <v>253</v>
      </c>
      <c r="I23" s="11">
        <f t="shared" si="0"/>
        <v>1008</v>
      </c>
      <c r="J23" s="9">
        <v>87100</v>
      </c>
      <c r="K23" s="10">
        <v>126000</v>
      </c>
      <c r="L23" s="10">
        <v>87100</v>
      </c>
      <c r="M23" s="11">
        <f t="shared" si="1"/>
        <v>300200</v>
      </c>
    </row>
    <row r="24" spans="1:13">
      <c r="A24" s="57" t="s">
        <v>24</v>
      </c>
      <c r="B24" s="9">
        <v>737</v>
      </c>
      <c r="C24" s="10">
        <v>1566</v>
      </c>
      <c r="D24" s="10">
        <v>6132</v>
      </c>
      <c r="E24" s="11">
        <f t="shared" si="2"/>
        <v>8435</v>
      </c>
      <c r="F24" s="112">
        <v>279</v>
      </c>
      <c r="G24" s="113">
        <v>478</v>
      </c>
      <c r="H24" s="113">
        <v>272</v>
      </c>
      <c r="I24" s="11">
        <f t="shared" si="0"/>
        <v>1029</v>
      </c>
      <c r="J24" s="9">
        <v>96100</v>
      </c>
      <c r="K24" s="10">
        <v>157300</v>
      </c>
      <c r="L24" s="10">
        <v>98700</v>
      </c>
      <c r="M24" s="11">
        <f t="shared" si="1"/>
        <v>352100</v>
      </c>
    </row>
    <row r="25" spans="1:13">
      <c r="A25" s="57" t="s">
        <v>25</v>
      </c>
      <c r="B25" s="9">
        <v>942</v>
      </c>
      <c r="C25" s="10">
        <v>2253</v>
      </c>
      <c r="D25" s="10">
        <v>8587</v>
      </c>
      <c r="E25" s="11">
        <f t="shared" si="2"/>
        <v>11782</v>
      </c>
      <c r="F25" s="112">
        <v>138</v>
      </c>
      <c r="G25" s="113">
        <v>236</v>
      </c>
      <c r="H25" s="113">
        <v>159</v>
      </c>
      <c r="I25" s="11">
        <f t="shared" si="0"/>
        <v>533</v>
      </c>
      <c r="J25" s="9">
        <v>101700</v>
      </c>
      <c r="K25" s="10">
        <v>184500</v>
      </c>
      <c r="L25" s="10">
        <v>123300</v>
      </c>
      <c r="M25" s="11">
        <f t="shared" si="1"/>
        <v>409500</v>
      </c>
    </row>
    <row r="26" spans="1:13">
      <c r="A26" s="57" t="s">
        <v>26</v>
      </c>
      <c r="B26" s="9">
        <v>701</v>
      </c>
      <c r="C26" s="10">
        <v>1978</v>
      </c>
      <c r="D26" s="10">
        <v>7338</v>
      </c>
      <c r="E26" s="11">
        <f t="shared" si="2"/>
        <v>10017</v>
      </c>
      <c r="F26" s="112">
        <v>73</v>
      </c>
      <c r="G26" s="113">
        <v>133</v>
      </c>
      <c r="H26" s="113">
        <v>117</v>
      </c>
      <c r="I26" s="11">
        <f t="shared" si="0"/>
        <v>323</v>
      </c>
      <c r="J26" s="9">
        <v>85700</v>
      </c>
      <c r="K26" s="10">
        <v>186600</v>
      </c>
      <c r="L26" s="10">
        <v>109100</v>
      </c>
      <c r="M26" s="11">
        <f t="shared" si="1"/>
        <v>381400</v>
      </c>
    </row>
    <row r="27" spans="1:13">
      <c r="A27" s="57" t="s">
        <v>27</v>
      </c>
      <c r="B27" s="9">
        <v>167</v>
      </c>
      <c r="C27" s="10">
        <v>345</v>
      </c>
      <c r="D27" s="10">
        <v>1221</v>
      </c>
      <c r="E27" s="11">
        <f t="shared" si="2"/>
        <v>1733</v>
      </c>
      <c r="F27" s="112">
        <v>49</v>
      </c>
      <c r="G27" s="113">
        <v>94</v>
      </c>
      <c r="H27" s="113">
        <v>112</v>
      </c>
      <c r="I27" s="11">
        <f t="shared" si="0"/>
        <v>255</v>
      </c>
      <c r="J27" s="9">
        <v>77500</v>
      </c>
      <c r="K27" s="10">
        <v>183000</v>
      </c>
      <c r="L27" s="10">
        <v>83700</v>
      </c>
      <c r="M27" s="11">
        <f t="shared" si="1"/>
        <v>344200</v>
      </c>
    </row>
    <row r="28" spans="1:13">
      <c r="A28" s="57" t="s">
        <v>28</v>
      </c>
      <c r="B28" s="9">
        <v>139</v>
      </c>
      <c r="C28" s="10">
        <v>305</v>
      </c>
      <c r="D28" s="10">
        <v>1113</v>
      </c>
      <c r="E28" s="11">
        <f t="shared" si="2"/>
        <v>1557</v>
      </c>
      <c r="F28" s="112">
        <v>57</v>
      </c>
      <c r="G28" s="113">
        <v>113</v>
      </c>
      <c r="H28" s="113">
        <v>135</v>
      </c>
      <c r="I28" s="11">
        <f t="shared" si="0"/>
        <v>305</v>
      </c>
      <c r="J28" s="9">
        <v>75400</v>
      </c>
      <c r="K28" s="10">
        <v>191300</v>
      </c>
      <c r="L28" s="10">
        <v>81400</v>
      </c>
      <c r="M28" s="11">
        <f t="shared" si="1"/>
        <v>348100</v>
      </c>
    </row>
    <row r="29" spans="1:13">
      <c r="A29" s="57" t="s">
        <v>29</v>
      </c>
      <c r="B29" s="9">
        <v>124</v>
      </c>
      <c r="C29" s="10">
        <v>295</v>
      </c>
      <c r="D29" s="10">
        <v>980</v>
      </c>
      <c r="E29" s="11">
        <f t="shared" si="2"/>
        <v>1399</v>
      </c>
      <c r="F29" s="112">
        <v>54</v>
      </c>
      <c r="G29" s="113">
        <v>115</v>
      </c>
      <c r="H29" s="113">
        <v>126</v>
      </c>
      <c r="I29" s="11">
        <f t="shared" si="0"/>
        <v>295</v>
      </c>
      <c r="J29" s="9">
        <v>77900</v>
      </c>
      <c r="K29" s="10">
        <v>205700</v>
      </c>
      <c r="L29" s="10">
        <v>83400</v>
      </c>
      <c r="M29" s="11">
        <f t="shared" si="1"/>
        <v>367000</v>
      </c>
    </row>
    <row r="30" spans="1:13">
      <c r="A30" s="57" t="s">
        <v>30</v>
      </c>
      <c r="B30" s="9">
        <v>98</v>
      </c>
      <c r="C30" s="10">
        <v>257</v>
      </c>
      <c r="D30" s="10">
        <v>789</v>
      </c>
      <c r="E30" s="11">
        <f t="shared" si="2"/>
        <v>1144</v>
      </c>
      <c r="F30" s="112">
        <v>53</v>
      </c>
      <c r="G30" s="113">
        <v>120</v>
      </c>
      <c r="H30" s="113">
        <v>122</v>
      </c>
      <c r="I30" s="11">
        <f t="shared" si="0"/>
        <v>295</v>
      </c>
      <c r="J30" s="9">
        <v>76600</v>
      </c>
      <c r="K30" s="10">
        <v>218000</v>
      </c>
      <c r="L30" s="10">
        <v>83200</v>
      </c>
      <c r="M30" s="11">
        <f t="shared" si="1"/>
        <v>377800</v>
      </c>
    </row>
    <row r="31" spans="1:13">
      <c r="A31" s="57" t="s">
        <v>31</v>
      </c>
      <c r="B31" s="9">
        <v>97</v>
      </c>
      <c r="C31" s="10">
        <v>243</v>
      </c>
      <c r="D31" s="10">
        <v>720</v>
      </c>
      <c r="E31" s="11">
        <f t="shared" si="2"/>
        <v>1060</v>
      </c>
      <c r="F31" s="112">
        <v>67</v>
      </c>
      <c r="G31" s="113">
        <v>136</v>
      </c>
      <c r="H31" s="113">
        <v>137</v>
      </c>
      <c r="I31" s="11">
        <f t="shared" si="0"/>
        <v>340</v>
      </c>
      <c r="J31" s="9">
        <v>82400</v>
      </c>
      <c r="K31" s="10">
        <v>229800</v>
      </c>
      <c r="L31" s="10">
        <v>91200</v>
      </c>
      <c r="M31" s="11">
        <f t="shared" si="1"/>
        <v>403400</v>
      </c>
    </row>
    <row r="32" spans="1:13">
      <c r="A32" s="57" t="s">
        <v>32</v>
      </c>
      <c r="B32" s="9">
        <v>164</v>
      </c>
      <c r="C32" s="10">
        <v>411</v>
      </c>
      <c r="D32" s="10">
        <v>1292</v>
      </c>
      <c r="E32" s="11">
        <f t="shared" si="2"/>
        <v>1867</v>
      </c>
      <c r="F32" s="112">
        <v>91</v>
      </c>
      <c r="G32" s="113">
        <v>187</v>
      </c>
      <c r="H32" s="113">
        <v>200</v>
      </c>
      <c r="I32" s="11">
        <f t="shared" si="0"/>
        <v>478</v>
      </c>
      <c r="J32" s="9">
        <v>84500</v>
      </c>
      <c r="K32" s="10">
        <v>245000</v>
      </c>
      <c r="L32" s="10">
        <v>99400</v>
      </c>
      <c r="M32" s="11">
        <f t="shared" si="1"/>
        <v>428900</v>
      </c>
    </row>
    <row r="33" spans="1:13">
      <c r="A33" s="57" t="s">
        <v>33</v>
      </c>
      <c r="B33" s="9">
        <v>171</v>
      </c>
      <c r="C33" s="10">
        <v>437</v>
      </c>
      <c r="D33" s="10">
        <v>1193</v>
      </c>
      <c r="E33" s="11">
        <f t="shared" si="2"/>
        <v>1801</v>
      </c>
      <c r="F33" s="112">
        <v>108</v>
      </c>
      <c r="G33" s="113">
        <v>219</v>
      </c>
      <c r="H33" s="113">
        <v>205</v>
      </c>
      <c r="I33" s="11">
        <f t="shared" si="0"/>
        <v>532</v>
      </c>
      <c r="J33" s="9">
        <v>82400</v>
      </c>
      <c r="K33" s="10">
        <v>257200</v>
      </c>
      <c r="L33" s="10">
        <v>88800</v>
      </c>
      <c r="M33" s="11">
        <f t="shared" si="1"/>
        <v>428400</v>
      </c>
    </row>
    <row r="34" spans="1:13">
      <c r="A34" s="57" t="s">
        <v>34</v>
      </c>
      <c r="B34" s="9">
        <v>134</v>
      </c>
      <c r="C34" s="10">
        <v>362</v>
      </c>
      <c r="D34" s="10">
        <v>896</v>
      </c>
      <c r="E34" s="11">
        <f t="shared" si="2"/>
        <v>1392</v>
      </c>
      <c r="F34" s="112">
        <v>84</v>
      </c>
      <c r="G34" s="113">
        <v>174</v>
      </c>
      <c r="H34" s="113">
        <v>150</v>
      </c>
      <c r="I34" s="11">
        <f t="shared" si="0"/>
        <v>408</v>
      </c>
      <c r="J34" s="9">
        <v>73300</v>
      </c>
      <c r="K34" s="10">
        <v>253200</v>
      </c>
      <c r="L34" s="10">
        <v>77400</v>
      </c>
      <c r="M34" s="11">
        <f t="shared" si="1"/>
        <v>403900</v>
      </c>
    </row>
    <row r="35" spans="1:13">
      <c r="A35" s="58" t="s">
        <v>35</v>
      </c>
      <c r="B35" s="12">
        <v>165</v>
      </c>
      <c r="C35" s="13">
        <v>369</v>
      </c>
      <c r="D35" s="13">
        <v>970</v>
      </c>
      <c r="E35" s="14">
        <f t="shared" si="2"/>
        <v>1504</v>
      </c>
      <c r="F35" s="114">
        <v>103</v>
      </c>
      <c r="G35" s="115">
        <v>177</v>
      </c>
      <c r="H35" s="115">
        <v>162</v>
      </c>
      <c r="I35" s="14">
        <f t="shared" si="0"/>
        <v>442</v>
      </c>
      <c r="J35" s="12">
        <v>91000</v>
      </c>
      <c r="K35" s="13">
        <v>257899.99999999997</v>
      </c>
      <c r="L35" s="13">
        <v>83800</v>
      </c>
      <c r="M35" s="14">
        <f t="shared" si="1"/>
        <v>432700</v>
      </c>
    </row>
    <row r="36" spans="1:13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3">
      <c r="A37" s="384" t="s">
        <v>52</v>
      </c>
      <c r="B37" s="382"/>
      <c r="C37" s="382"/>
      <c r="D37" s="382"/>
      <c r="E37" s="382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>
        <f>(POWER(B15/B6,1/($A15-$A6))-1)*100</f>
        <v>2.175017388407019</v>
      </c>
      <c r="C38" s="83">
        <f t="shared" ref="C38:M38" si="3">(POWER(C15/C6,1/($A15-$A6))-1)*100</f>
        <v>8.5680740193787575</v>
      </c>
      <c r="D38" s="83">
        <f t="shared" si="3"/>
        <v>37.440693779000036</v>
      </c>
      <c r="E38" s="84">
        <f t="shared" si="3"/>
        <v>18.602119190572509</v>
      </c>
      <c r="F38" s="82">
        <f t="shared" si="3"/>
        <v>8.4969776196633049</v>
      </c>
      <c r="G38" s="83">
        <f t="shared" si="3"/>
        <v>32.688860648379588</v>
      </c>
      <c r="H38" s="83">
        <f t="shared" si="3"/>
        <v>-1.3894434703744407</v>
      </c>
      <c r="I38" s="84">
        <f t="shared" si="3"/>
        <v>1.5141718947758509</v>
      </c>
      <c r="J38" s="83">
        <f t="shared" si="3"/>
        <v>9.4681832364423624</v>
      </c>
      <c r="K38" s="83">
        <f t="shared" si="3"/>
        <v>16.762335090831471</v>
      </c>
      <c r="L38" s="83">
        <f t="shared" si="3"/>
        <v>5.8053737491628565</v>
      </c>
      <c r="M38" s="84">
        <f t="shared" si="3"/>
        <v>9.9183696682489053</v>
      </c>
    </row>
    <row r="39" spans="1:13">
      <c r="A39" s="28" t="s">
        <v>71</v>
      </c>
      <c r="B39" s="37">
        <f>(POWER(B$25/B15,1/($A$25-$A$15))-1)*100</f>
        <v>20.830411867444631</v>
      </c>
      <c r="C39" s="43">
        <f t="shared" ref="C39:M39" si="4">(POWER(C$25/C15,1/($A$25-$A$15))-1)*100</f>
        <v>25.047327629850958</v>
      </c>
      <c r="D39" s="43">
        <f t="shared" si="4"/>
        <v>24.692681773760384</v>
      </c>
      <c r="E39" s="47">
        <f t="shared" si="4"/>
        <v>24.394762234278812</v>
      </c>
      <c r="F39" s="46">
        <f t="shared" si="4"/>
        <v>10.685545100899629</v>
      </c>
      <c r="G39" s="43">
        <f t="shared" si="4"/>
        <v>16.555878666435753</v>
      </c>
      <c r="H39" s="43">
        <f t="shared" si="4"/>
        <v>-3.6662393586409325</v>
      </c>
      <c r="I39" s="47">
        <f t="shared" si="4"/>
        <v>4.8477011014132598</v>
      </c>
      <c r="J39" s="43">
        <f t="shared" si="4"/>
        <v>10.172540692109756</v>
      </c>
      <c r="K39" s="43">
        <f t="shared" si="4"/>
        <v>14.508820643211395</v>
      </c>
      <c r="L39" s="43">
        <f t="shared" si="4"/>
        <v>10.556037412876162</v>
      </c>
      <c r="M39" s="47">
        <f t="shared" si="4"/>
        <v>12.038130664097334</v>
      </c>
    </row>
    <row r="40" spans="1:13">
      <c r="A40" s="28" t="s">
        <v>69</v>
      </c>
      <c r="B40" s="37">
        <f>(POWER(B$35/B25,1/($A$35-$A$25))-1)*100</f>
        <v>-15.987616892858847</v>
      </c>
      <c r="C40" s="43">
        <f t="shared" ref="C40:M40" si="5">(POWER(C$35/C25,1/($A$35-$A$25))-1)*100</f>
        <v>-16.549966099175361</v>
      </c>
      <c r="D40" s="43">
        <f t="shared" si="5"/>
        <v>-19.593153979341416</v>
      </c>
      <c r="E40" s="47">
        <f t="shared" si="5"/>
        <v>-18.604033984535164</v>
      </c>
      <c r="F40" s="46">
        <f t="shared" si="5"/>
        <v>-2.8828757792821236</v>
      </c>
      <c r="G40" s="43">
        <f t="shared" si="5"/>
        <v>-2.8358342136926451</v>
      </c>
      <c r="H40" s="43">
        <f t="shared" si="5"/>
        <v>0.18709613693990157</v>
      </c>
      <c r="I40" s="47">
        <f t="shared" si="5"/>
        <v>-1.8547001872300295</v>
      </c>
      <c r="J40" s="43">
        <f t="shared" si="5"/>
        <v>-1.1055216597654738</v>
      </c>
      <c r="K40" s="43">
        <f t="shared" si="5"/>
        <v>3.4059424502997704</v>
      </c>
      <c r="L40" s="43">
        <f t="shared" si="5"/>
        <v>-3.7882544127794127</v>
      </c>
      <c r="M40" s="47">
        <f t="shared" si="5"/>
        <v>0.55259866418995163</v>
      </c>
    </row>
    <row r="41" spans="1:13">
      <c r="A41" s="29" t="s">
        <v>70</v>
      </c>
      <c r="B41" s="39">
        <f>(POWER(B35/B6,1/($A$35-$A$6))-1)*100</f>
        <v>1.1924730379237802</v>
      </c>
      <c r="C41" s="49">
        <f t="shared" ref="C41:M41" si="6">(POWER(C35/C6,1/($A$35-$A$6))-1)*100</f>
        <v>4.1021273099926203</v>
      </c>
      <c r="D41" s="49">
        <f t="shared" si="6"/>
        <v>10.472558678427735</v>
      </c>
      <c r="E41" s="50">
        <f t="shared" si="6"/>
        <v>5.8907424138824105</v>
      </c>
      <c r="F41" s="48">
        <f t="shared" si="6"/>
        <v>5.1513103556432682</v>
      </c>
      <c r="G41" s="49">
        <f t="shared" si="6"/>
        <v>13.960836964009049</v>
      </c>
      <c r="H41" s="49">
        <f t="shared" si="6"/>
        <v>-1.6440872071034507</v>
      </c>
      <c r="I41" s="50">
        <f t="shared" si="6"/>
        <v>1.4638136407633784</v>
      </c>
      <c r="J41" s="49">
        <f t="shared" si="6"/>
        <v>5.9341641427288483</v>
      </c>
      <c r="K41" s="49">
        <f t="shared" si="6"/>
        <v>11.222344634538528</v>
      </c>
      <c r="L41" s="49">
        <f t="shared" si="6"/>
        <v>3.9563125124830067</v>
      </c>
      <c r="M41" s="50">
        <f t="shared" si="6"/>
        <v>7.2985695484424573</v>
      </c>
    </row>
    <row r="42" spans="1:13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3">
      <c r="A43" s="1" t="s">
        <v>43</v>
      </c>
    </row>
    <row r="44" spans="1:13">
      <c r="A44" s="211" t="s">
        <v>73</v>
      </c>
    </row>
  </sheetData>
  <mergeCells count="5">
    <mergeCell ref="J4:M4"/>
    <mergeCell ref="A37:M37"/>
    <mergeCell ref="A1:H2"/>
    <mergeCell ref="F4:I4"/>
    <mergeCell ref="B4:E4"/>
  </mergeCells>
  <hyperlinks>
    <hyperlink ref="A44" r:id="rId1"/>
  </hyperlinks>
  <pageMargins left="0.7" right="0.7" top="0.75" bottom="0.75" header="0.3" footer="0.3"/>
  <pageSetup scale="65" orientation="landscape" horizontalDpi="0" verticalDpi="0" r:id="rId2"/>
  <ignoredErrors>
    <ignoredError sqref="F36:H36 A6:A35 A36:D36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52"/>
  <dimension ref="A1:M45"/>
  <sheetViews>
    <sheetView zoomScaleNormal="100" workbookViewId="0">
      <selection activeCell="B15" sqref="B15"/>
    </sheetView>
  </sheetViews>
  <sheetFormatPr defaultRowHeight="15"/>
  <cols>
    <col min="1" max="1" width="10.28515625" style="18" customWidth="1"/>
    <col min="2" max="2" width="16" style="18" customWidth="1"/>
    <col min="3" max="3" width="14.5703125" style="18" customWidth="1"/>
    <col min="4" max="4" width="16.28515625" style="18" customWidth="1"/>
    <col min="5" max="5" width="14.5703125" style="18" customWidth="1"/>
    <col min="6" max="6" width="23.42578125" style="18" customWidth="1"/>
    <col min="7" max="16384" width="9.140625" style="18"/>
  </cols>
  <sheetData>
    <row r="1" spans="1:7">
      <c r="A1" s="392" t="s">
        <v>104</v>
      </c>
      <c r="B1" s="392"/>
      <c r="C1" s="392"/>
      <c r="D1" s="392"/>
      <c r="E1" s="392"/>
      <c r="F1" s="392"/>
    </row>
    <row r="2" spans="1:7">
      <c r="A2" s="392"/>
      <c r="B2" s="392"/>
      <c r="C2" s="392"/>
      <c r="D2" s="392"/>
      <c r="E2" s="392"/>
      <c r="F2" s="392"/>
    </row>
    <row r="3" spans="1:7">
      <c r="A3" s="226"/>
      <c r="B3" s="226"/>
      <c r="C3" s="226"/>
      <c r="D3" s="226"/>
      <c r="E3" s="226"/>
      <c r="F3" s="226"/>
    </row>
    <row r="4" spans="1:7" s="136" customFormat="1">
      <c r="E4" s="389" t="s">
        <v>76</v>
      </c>
      <c r="F4" s="391"/>
      <c r="G4" s="390"/>
    </row>
    <row r="5" spans="1:7" s="136" customFormat="1" ht="45">
      <c r="A5" s="218" t="s">
        <v>62</v>
      </c>
      <c r="B5" s="134" t="s">
        <v>63</v>
      </c>
      <c r="C5" s="189" t="s">
        <v>64</v>
      </c>
      <c r="D5" s="189" t="s">
        <v>42</v>
      </c>
      <c r="E5" s="3" t="s">
        <v>44</v>
      </c>
      <c r="F5" s="4" t="s">
        <v>45</v>
      </c>
      <c r="G5" s="135" t="s">
        <v>42</v>
      </c>
    </row>
    <row r="6" spans="1:7" s="136" customFormat="1">
      <c r="A6" s="219" t="s">
        <v>6</v>
      </c>
      <c r="B6" s="158">
        <v>13600</v>
      </c>
      <c r="C6" s="160">
        <v>21600</v>
      </c>
      <c r="D6" s="159">
        <v>2701600</v>
      </c>
      <c r="E6" s="236">
        <f>B6/$D6*100</f>
        <v>0.5034053893988748</v>
      </c>
      <c r="F6" s="214">
        <f t="shared" ref="F6:G35" si="0">C6/$D6*100</f>
        <v>0.79952620669233054</v>
      </c>
      <c r="G6" s="84">
        <f t="shared" si="0"/>
        <v>100</v>
      </c>
    </row>
    <row r="7" spans="1:7" s="136" customFormat="1">
      <c r="A7" s="220" t="s">
        <v>7</v>
      </c>
      <c r="B7" s="161">
        <v>13700</v>
      </c>
      <c r="C7" s="163">
        <v>18200</v>
      </c>
      <c r="D7" s="162">
        <v>2791400</v>
      </c>
      <c r="E7" s="216">
        <f t="shared" ref="E7:E35" si="1">B7/$D7*100</f>
        <v>0.4907931503904851</v>
      </c>
      <c r="F7" s="143">
        <f t="shared" si="0"/>
        <v>0.65200257935086336</v>
      </c>
      <c r="G7" s="87">
        <f t="shared" si="0"/>
        <v>100</v>
      </c>
    </row>
    <row r="8" spans="1:7" s="136" customFormat="1">
      <c r="A8" s="220" t="s">
        <v>8</v>
      </c>
      <c r="B8" s="161">
        <v>16600</v>
      </c>
      <c r="C8" s="163">
        <v>19700</v>
      </c>
      <c r="D8" s="162">
        <v>3041700</v>
      </c>
      <c r="E8" s="216">
        <f t="shared" si="1"/>
        <v>0.54574744386362894</v>
      </c>
      <c r="F8" s="143">
        <f t="shared" si="0"/>
        <v>0.6476641351875595</v>
      </c>
      <c r="G8" s="87">
        <f t="shared" si="0"/>
        <v>100</v>
      </c>
    </row>
    <row r="9" spans="1:7" s="136" customFormat="1">
      <c r="A9" s="220" t="s">
        <v>9</v>
      </c>
      <c r="B9" s="161">
        <v>18900</v>
      </c>
      <c r="C9" s="163">
        <v>21300</v>
      </c>
      <c r="D9" s="162">
        <v>3393000</v>
      </c>
      <c r="E9" s="216">
        <f t="shared" si="1"/>
        <v>0.55702917771883287</v>
      </c>
      <c r="F9" s="143">
        <f t="shared" si="0"/>
        <v>0.62776304155614504</v>
      </c>
      <c r="G9" s="87">
        <f t="shared" si="0"/>
        <v>100</v>
      </c>
    </row>
    <row r="10" spans="1:7" s="136" customFormat="1">
      <c r="A10" s="220" t="s">
        <v>10</v>
      </c>
      <c r="B10" s="161">
        <v>19300</v>
      </c>
      <c r="C10" s="163">
        <v>21000</v>
      </c>
      <c r="D10" s="162">
        <v>3634600</v>
      </c>
      <c r="E10" s="216">
        <f t="shared" si="1"/>
        <v>0.53100753865624828</v>
      </c>
      <c r="F10" s="143">
        <f t="shared" si="0"/>
        <v>0.57778022340835311</v>
      </c>
      <c r="G10" s="87">
        <f t="shared" si="0"/>
        <v>100</v>
      </c>
    </row>
    <row r="11" spans="1:7" s="136" customFormat="1">
      <c r="A11" s="220" t="s">
        <v>11</v>
      </c>
      <c r="B11" s="161">
        <v>20800</v>
      </c>
      <c r="C11" s="163">
        <v>22300</v>
      </c>
      <c r="D11" s="162">
        <v>3840400</v>
      </c>
      <c r="E11" s="216">
        <f t="shared" si="1"/>
        <v>0.54161024893240295</v>
      </c>
      <c r="F11" s="143">
        <f t="shared" si="0"/>
        <v>0.58066868034579733</v>
      </c>
      <c r="G11" s="87">
        <f t="shared" si="0"/>
        <v>100</v>
      </c>
    </row>
    <row r="12" spans="1:7" s="136" customFormat="1">
      <c r="A12" s="220" t="s">
        <v>12</v>
      </c>
      <c r="B12" s="161">
        <v>24200</v>
      </c>
      <c r="C12" s="163">
        <v>20700</v>
      </c>
      <c r="D12" s="162">
        <v>4077900</v>
      </c>
      <c r="E12" s="216">
        <f t="shared" si="1"/>
        <v>0.59344270335221561</v>
      </c>
      <c r="F12" s="143">
        <f t="shared" si="0"/>
        <v>0.50761421319796951</v>
      </c>
      <c r="G12" s="87">
        <f t="shared" si="0"/>
        <v>100</v>
      </c>
    </row>
    <row r="13" spans="1:7" s="136" customFormat="1">
      <c r="A13" s="220" t="s">
        <v>13</v>
      </c>
      <c r="B13" s="161">
        <v>30300</v>
      </c>
      <c r="C13" s="163">
        <v>21100</v>
      </c>
      <c r="D13" s="162">
        <v>4395300</v>
      </c>
      <c r="E13" s="216">
        <f t="shared" si="1"/>
        <v>0.68937273906218</v>
      </c>
      <c r="F13" s="143">
        <f t="shared" si="0"/>
        <v>0.48005824403339936</v>
      </c>
      <c r="G13" s="87">
        <f t="shared" si="0"/>
        <v>100</v>
      </c>
    </row>
    <row r="14" spans="1:7" s="136" customFormat="1">
      <c r="A14" s="220" t="s">
        <v>14</v>
      </c>
      <c r="B14" s="161">
        <v>30400</v>
      </c>
      <c r="C14" s="163">
        <v>18600</v>
      </c>
      <c r="D14" s="162">
        <v>4729700</v>
      </c>
      <c r="E14" s="216">
        <f t="shared" si="1"/>
        <v>0.64274689726621137</v>
      </c>
      <c r="F14" s="143">
        <f t="shared" si="0"/>
        <v>0.39325961477472149</v>
      </c>
      <c r="G14" s="87">
        <f t="shared" si="0"/>
        <v>100</v>
      </c>
    </row>
    <row r="15" spans="1:7" s="136" customFormat="1">
      <c r="A15" s="220" t="s">
        <v>15</v>
      </c>
      <c r="B15" s="161">
        <v>31300</v>
      </c>
      <c r="C15" s="163">
        <v>18600</v>
      </c>
      <c r="D15" s="162">
        <v>4994300</v>
      </c>
      <c r="E15" s="216">
        <f t="shared" si="1"/>
        <v>0.62671445447810503</v>
      </c>
      <c r="F15" s="143">
        <f t="shared" si="0"/>
        <v>0.37242456400296337</v>
      </c>
      <c r="G15" s="87">
        <f t="shared" si="0"/>
        <v>100</v>
      </c>
    </row>
    <row r="16" spans="1:7" s="136" customFormat="1">
      <c r="A16" s="220" t="s">
        <v>16</v>
      </c>
      <c r="B16" s="161">
        <v>32400</v>
      </c>
      <c r="C16" s="163">
        <v>20300</v>
      </c>
      <c r="D16" s="162">
        <v>5133200</v>
      </c>
      <c r="E16" s="216">
        <f t="shared" si="1"/>
        <v>0.63118522559027512</v>
      </c>
      <c r="F16" s="143">
        <f t="shared" si="0"/>
        <v>0.39546481726798094</v>
      </c>
      <c r="G16" s="87">
        <f t="shared" si="0"/>
        <v>100</v>
      </c>
    </row>
    <row r="17" spans="1:7" s="136" customFormat="1">
      <c r="A17" s="220" t="s">
        <v>17</v>
      </c>
      <c r="B17" s="161">
        <v>34900</v>
      </c>
      <c r="C17" s="163">
        <v>20200</v>
      </c>
      <c r="D17" s="162">
        <v>5442000</v>
      </c>
      <c r="E17" s="216">
        <f t="shared" si="1"/>
        <v>0.64130834252113189</v>
      </c>
      <c r="F17" s="143">
        <f t="shared" si="0"/>
        <v>0.37118706357956632</v>
      </c>
      <c r="G17" s="87">
        <f t="shared" si="0"/>
        <v>100</v>
      </c>
    </row>
    <row r="18" spans="1:7" s="136" customFormat="1">
      <c r="A18" s="220" t="s">
        <v>18</v>
      </c>
      <c r="B18" s="161">
        <v>39600</v>
      </c>
      <c r="C18" s="163">
        <v>20300</v>
      </c>
      <c r="D18" s="162">
        <v>5735900</v>
      </c>
      <c r="E18" s="216">
        <f t="shared" si="1"/>
        <v>0.6903886051012047</v>
      </c>
      <c r="F18" s="143">
        <f t="shared" si="0"/>
        <v>0.35391133039278927</v>
      </c>
      <c r="G18" s="87">
        <f t="shared" si="0"/>
        <v>100</v>
      </c>
    </row>
    <row r="19" spans="1:7" s="136" customFormat="1">
      <c r="A19" s="220" t="s">
        <v>19</v>
      </c>
      <c r="B19" s="161">
        <v>43800</v>
      </c>
      <c r="C19" s="163">
        <v>21300</v>
      </c>
      <c r="D19" s="162">
        <v>6119900</v>
      </c>
      <c r="E19" s="216">
        <f t="shared" si="1"/>
        <v>0.71569796892106075</v>
      </c>
      <c r="F19" s="143">
        <f t="shared" si="0"/>
        <v>0.34804490269448846</v>
      </c>
      <c r="G19" s="87">
        <f t="shared" si="0"/>
        <v>100</v>
      </c>
    </row>
    <row r="20" spans="1:7" s="136" customFormat="1">
      <c r="A20" s="220" t="s">
        <v>20</v>
      </c>
      <c r="B20" s="161">
        <v>46200</v>
      </c>
      <c r="C20" s="163">
        <v>21100</v>
      </c>
      <c r="D20" s="162">
        <v>6420000</v>
      </c>
      <c r="E20" s="216">
        <f t="shared" si="1"/>
        <v>0.71962616822429915</v>
      </c>
      <c r="F20" s="143">
        <f t="shared" si="0"/>
        <v>0.32866043613707163</v>
      </c>
      <c r="G20" s="87">
        <f t="shared" si="0"/>
        <v>100</v>
      </c>
    </row>
    <row r="21" spans="1:7" s="136" customFormat="1">
      <c r="A21" s="220" t="s">
        <v>21</v>
      </c>
      <c r="B21" s="161">
        <v>46900</v>
      </c>
      <c r="C21" s="163">
        <v>20900</v>
      </c>
      <c r="D21" s="162">
        <v>6812600</v>
      </c>
      <c r="E21" s="216">
        <f t="shared" si="1"/>
        <v>0.68843026157414211</v>
      </c>
      <c r="F21" s="143">
        <f t="shared" si="0"/>
        <v>0.30678448756715498</v>
      </c>
      <c r="G21" s="87">
        <f t="shared" si="0"/>
        <v>100</v>
      </c>
    </row>
    <row r="22" spans="1:7" s="136" customFormat="1">
      <c r="A22" s="220" t="s">
        <v>22</v>
      </c>
      <c r="B22" s="161">
        <v>53600</v>
      </c>
      <c r="C22" s="163">
        <v>19700</v>
      </c>
      <c r="D22" s="162">
        <v>7271000</v>
      </c>
      <c r="E22" s="216">
        <f t="shared" si="1"/>
        <v>0.73717507908128177</v>
      </c>
      <c r="F22" s="143">
        <f t="shared" si="0"/>
        <v>0.27093934809517262</v>
      </c>
      <c r="G22" s="87">
        <f t="shared" si="0"/>
        <v>100</v>
      </c>
    </row>
    <row r="23" spans="1:7" s="136" customFormat="1">
      <c r="A23" s="220" t="s">
        <v>23</v>
      </c>
      <c r="B23" s="161">
        <v>52400</v>
      </c>
      <c r="C23" s="163">
        <v>21200</v>
      </c>
      <c r="D23" s="162">
        <v>7694400</v>
      </c>
      <c r="E23" s="216">
        <f t="shared" si="1"/>
        <v>0.68101476398419636</v>
      </c>
      <c r="F23" s="143">
        <f t="shared" si="0"/>
        <v>0.27552505718444587</v>
      </c>
      <c r="G23" s="87">
        <f t="shared" si="0"/>
        <v>100</v>
      </c>
    </row>
    <row r="24" spans="1:7" s="136" customFormat="1">
      <c r="A24" s="220" t="s">
        <v>24</v>
      </c>
      <c r="B24" s="161">
        <v>54300</v>
      </c>
      <c r="C24" s="163">
        <v>21800</v>
      </c>
      <c r="D24" s="162">
        <v>8199600</v>
      </c>
      <c r="E24" s="216">
        <f t="shared" si="1"/>
        <v>0.66222742572808435</v>
      </c>
      <c r="F24" s="143">
        <f t="shared" si="0"/>
        <v>0.26586662764037267</v>
      </c>
      <c r="G24" s="87">
        <f t="shared" si="0"/>
        <v>100</v>
      </c>
    </row>
    <row r="25" spans="1:7" s="136" customFormat="1">
      <c r="A25" s="220" t="s">
        <v>25</v>
      </c>
      <c r="B25" s="161">
        <v>53100</v>
      </c>
      <c r="C25" s="163">
        <v>22800</v>
      </c>
      <c r="D25" s="162">
        <v>8736100</v>
      </c>
      <c r="E25" s="216">
        <f t="shared" si="1"/>
        <v>0.60782271265209875</v>
      </c>
      <c r="F25" s="143">
        <f t="shared" si="0"/>
        <v>0.26098602351163563</v>
      </c>
      <c r="G25" s="87">
        <f t="shared" si="0"/>
        <v>100</v>
      </c>
    </row>
    <row r="26" spans="1:7" s="136" customFormat="1">
      <c r="A26" s="220" t="s">
        <v>26</v>
      </c>
      <c r="B26" s="161">
        <v>45200</v>
      </c>
      <c r="C26" s="163">
        <v>22600</v>
      </c>
      <c r="D26" s="162">
        <v>9010800</v>
      </c>
      <c r="E26" s="216">
        <f t="shared" si="1"/>
        <v>0.50162027788875574</v>
      </c>
      <c r="F26" s="143">
        <f t="shared" si="0"/>
        <v>0.25081013894437787</v>
      </c>
      <c r="G26" s="87">
        <f t="shared" si="0"/>
        <v>100</v>
      </c>
    </row>
    <row r="27" spans="1:7" s="136" customFormat="1">
      <c r="A27" s="220" t="s">
        <v>27</v>
      </c>
      <c r="B27" s="161">
        <v>46800</v>
      </c>
      <c r="C27" s="163">
        <v>21700</v>
      </c>
      <c r="D27" s="162">
        <v>9289300</v>
      </c>
      <c r="E27" s="216">
        <f t="shared" si="1"/>
        <v>0.50380545358638429</v>
      </c>
      <c r="F27" s="143">
        <f t="shared" si="0"/>
        <v>0.23360210134240472</v>
      </c>
      <c r="G27" s="87">
        <f t="shared" si="0"/>
        <v>100</v>
      </c>
    </row>
    <row r="28" spans="1:7" s="136" customFormat="1">
      <c r="A28" s="220" t="s">
        <v>28</v>
      </c>
      <c r="B28" s="161">
        <v>53200</v>
      </c>
      <c r="C28" s="163">
        <v>23100</v>
      </c>
      <c r="D28" s="162">
        <v>9706900</v>
      </c>
      <c r="E28" s="216">
        <f t="shared" si="1"/>
        <v>0.54806374846758488</v>
      </c>
      <c r="F28" s="143">
        <f t="shared" si="0"/>
        <v>0.23797504867671451</v>
      </c>
      <c r="G28" s="87">
        <f t="shared" si="0"/>
        <v>100</v>
      </c>
    </row>
    <row r="29" spans="1:7" s="136" customFormat="1">
      <c r="A29" s="220" t="s">
        <v>29</v>
      </c>
      <c r="B29" s="161">
        <v>56100</v>
      </c>
      <c r="C29" s="163">
        <v>24300</v>
      </c>
      <c r="D29" s="162">
        <v>10345600</v>
      </c>
      <c r="E29" s="216">
        <f t="shared" si="1"/>
        <v>0.54225951128982375</v>
      </c>
      <c r="F29" s="143">
        <f t="shared" si="0"/>
        <v>0.23488246210949582</v>
      </c>
      <c r="G29" s="87">
        <f t="shared" si="0"/>
        <v>100</v>
      </c>
    </row>
    <row r="30" spans="1:7" s="136" customFormat="1">
      <c r="A30" s="220" t="s">
        <v>30</v>
      </c>
      <c r="B30" s="161">
        <v>55700</v>
      </c>
      <c r="C30" s="163">
        <v>27000</v>
      </c>
      <c r="D30" s="162">
        <v>11037100</v>
      </c>
      <c r="E30" s="216">
        <f t="shared" si="1"/>
        <v>0.50466155058846973</v>
      </c>
      <c r="F30" s="143">
        <f t="shared" si="0"/>
        <v>0.2446294769459369</v>
      </c>
      <c r="G30" s="87">
        <f t="shared" si="0"/>
        <v>100</v>
      </c>
    </row>
    <row r="31" spans="1:7" s="136" customFormat="1">
      <c r="A31" s="220" t="s">
        <v>31</v>
      </c>
      <c r="B31" s="161">
        <v>59700</v>
      </c>
      <c r="C31" s="163">
        <v>30600</v>
      </c>
      <c r="D31" s="162">
        <v>11709400</v>
      </c>
      <c r="E31" s="216">
        <f t="shared" si="1"/>
        <v>0.50984678975865538</v>
      </c>
      <c r="F31" s="143">
        <f t="shared" si="0"/>
        <v>0.26132850530343144</v>
      </c>
      <c r="G31" s="87">
        <f t="shared" si="0"/>
        <v>100</v>
      </c>
    </row>
    <row r="32" spans="1:7" s="136" customFormat="1">
      <c r="A32" s="220" t="s">
        <v>32</v>
      </c>
      <c r="B32" s="161">
        <v>60200</v>
      </c>
      <c r="C32" s="163">
        <v>31700</v>
      </c>
      <c r="D32" s="162">
        <v>12268800</v>
      </c>
      <c r="E32" s="216">
        <f t="shared" si="1"/>
        <v>0.49067553468961922</v>
      </c>
      <c r="F32" s="143">
        <f t="shared" si="0"/>
        <v>0.25837897756911837</v>
      </c>
      <c r="G32" s="87">
        <f t="shared" si="0"/>
        <v>100</v>
      </c>
    </row>
    <row r="33" spans="1:13" s="136" customFormat="1">
      <c r="A33" s="220" t="s">
        <v>33</v>
      </c>
      <c r="B33" s="161">
        <v>59900</v>
      </c>
      <c r="C33" s="163">
        <v>35100</v>
      </c>
      <c r="D33" s="162">
        <v>12437100</v>
      </c>
      <c r="E33" s="216">
        <f t="shared" si="1"/>
        <v>0.48162352960095201</v>
      </c>
      <c r="F33" s="143">
        <f t="shared" si="0"/>
        <v>0.28222013170272814</v>
      </c>
      <c r="G33" s="87">
        <f t="shared" si="0"/>
        <v>100</v>
      </c>
    </row>
    <row r="34" spans="1:13" s="136" customFormat="1">
      <c r="A34" s="220" t="s">
        <v>34</v>
      </c>
      <c r="B34" s="161">
        <v>60400</v>
      </c>
      <c r="C34" s="163">
        <v>30700</v>
      </c>
      <c r="D34" s="162">
        <v>12018100</v>
      </c>
      <c r="E34" s="216">
        <f t="shared" si="1"/>
        <v>0.5025752822825571</v>
      </c>
      <c r="F34" s="143">
        <f t="shared" si="0"/>
        <v>0.25544803255090237</v>
      </c>
      <c r="G34" s="87">
        <f t="shared" si="0"/>
        <v>100</v>
      </c>
    </row>
    <row r="35" spans="1:13" s="136" customFormat="1">
      <c r="A35" s="221" t="s">
        <v>35</v>
      </c>
      <c r="B35" s="164">
        <v>63300</v>
      </c>
      <c r="C35" s="166">
        <v>32100</v>
      </c>
      <c r="D35" s="165">
        <v>12558000</v>
      </c>
      <c r="E35" s="234">
        <f t="shared" si="1"/>
        <v>0.5040611562350692</v>
      </c>
      <c r="F35" s="215">
        <f t="shared" si="0"/>
        <v>0.25561395126612518</v>
      </c>
      <c r="G35" s="90">
        <f t="shared" si="0"/>
        <v>100</v>
      </c>
    </row>
    <row r="36" spans="1:13" s="136" customFormat="1">
      <c r="E36" s="201"/>
      <c r="F36" s="201"/>
    </row>
    <row r="37" spans="1:13">
      <c r="A37" s="384" t="s">
        <v>52</v>
      </c>
      <c r="B37" s="385"/>
      <c r="C37" s="385"/>
      <c r="D37" s="386"/>
      <c r="E37" s="389" t="s">
        <v>77</v>
      </c>
      <c r="F37" s="390"/>
      <c r="G37" s="144"/>
      <c r="H37" s="144"/>
      <c r="I37" s="144"/>
      <c r="J37" s="144"/>
      <c r="K37" s="144"/>
      <c r="L37" s="144"/>
      <c r="M37" s="144"/>
    </row>
    <row r="38" spans="1:13">
      <c r="A38" s="16" t="s">
        <v>53</v>
      </c>
      <c r="B38" s="82">
        <f>(POWER(B15/B6,1/($A15-$A6))-1)*100</f>
        <v>9.7040915592275567</v>
      </c>
      <c r="C38" s="83">
        <f t="shared" ref="C38:D38" si="2">(POWER(C15/C6,1/($A15-$A6))-1)*100</f>
        <v>-1.6477375261377047</v>
      </c>
      <c r="D38" s="84">
        <f t="shared" si="2"/>
        <v>7.0657090821826474</v>
      </c>
      <c r="E38" s="236">
        <f>E15-E6</f>
        <v>0.12330906507923023</v>
      </c>
      <c r="F38" s="237">
        <f>F15-F6</f>
        <v>-0.42710164268936718</v>
      </c>
      <c r="G38" s="86"/>
      <c r="H38" s="86"/>
      <c r="I38" s="86"/>
      <c r="J38" s="86"/>
      <c r="K38" s="86"/>
      <c r="L38" s="86"/>
      <c r="M38" s="86"/>
    </row>
    <row r="39" spans="1:13">
      <c r="A39" s="16" t="s">
        <v>71</v>
      </c>
      <c r="B39" s="37">
        <f>(POWER(B25/B6,1/($A25-$A6))-1)*100</f>
        <v>7.4322090571137256</v>
      </c>
      <c r="C39" s="34">
        <f t="shared" ref="C39:D39" si="3">(POWER(C25/C6,1/($A25-$A6))-1)*100</f>
        <v>0.28496959106869557</v>
      </c>
      <c r="D39" s="38">
        <f t="shared" si="3"/>
        <v>6.3717083523086249</v>
      </c>
      <c r="E39" s="216">
        <f>E25-E15</f>
        <v>-1.8891741826006281E-2</v>
      </c>
      <c r="F39" s="217">
        <f>F25-F15</f>
        <v>-0.11143854049132773</v>
      </c>
      <c r="G39" s="43"/>
      <c r="H39" s="43"/>
      <c r="I39" s="43"/>
      <c r="J39" s="43"/>
      <c r="K39" s="43"/>
      <c r="L39" s="43"/>
      <c r="M39" s="43"/>
    </row>
    <row r="40" spans="1:13">
      <c r="A40" s="16" t="s">
        <v>69</v>
      </c>
      <c r="B40" s="37">
        <f>(POWER(B$35/B25,1/($A$35-$A$25))-1)*100</f>
        <v>1.7726115407023846</v>
      </c>
      <c r="C40" s="34">
        <f t="shared" ref="C40:D40" si="4">(POWER(C$35/C25,1/($A$35-$A$25))-1)*100</f>
        <v>3.4801426046259243</v>
      </c>
      <c r="D40" s="38">
        <f t="shared" si="4"/>
        <v>3.6955902968323295</v>
      </c>
      <c r="E40" s="216">
        <f>E35-E25</f>
        <v>-0.10376155641702955</v>
      </c>
      <c r="F40" s="217">
        <f>F35-F25</f>
        <v>-5.3720722455104508E-3</v>
      </c>
      <c r="G40" s="43"/>
      <c r="H40" s="43"/>
      <c r="I40" s="43"/>
      <c r="J40" s="43"/>
      <c r="K40" s="43"/>
      <c r="L40" s="43"/>
      <c r="M40" s="43"/>
    </row>
    <row r="41" spans="1:13">
      <c r="A41" s="17" t="s">
        <v>70</v>
      </c>
      <c r="B41" s="39">
        <f>(POWER(B35/B6,1/($A35-$A6))-1)*100</f>
        <v>5.4459298148904489</v>
      </c>
      <c r="C41" s="40">
        <f t="shared" ref="C41:F41" si="5">(POWER(C35/C6,1/($A35-$A6))-1)*100</f>
        <v>1.375451813542039</v>
      </c>
      <c r="D41" s="41">
        <f t="shared" si="5"/>
        <v>5.4411964395059798</v>
      </c>
      <c r="E41" s="234">
        <f>(POWER(E35/E6,1/($A35-$A6))-1)*100</f>
        <v>4.4891138798686114E-3</v>
      </c>
      <c r="F41" s="235">
        <f t="shared" si="5"/>
        <v>-3.8559355956251262</v>
      </c>
      <c r="G41" s="43"/>
      <c r="H41" s="43"/>
      <c r="I41" s="43"/>
      <c r="J41" s="43"/>
      <c r="K41" s="43"/>
      <c r="L41" s="43"/>
      <c r="M41" s="43"/>
    </row>
    <row r="42" spans="1:13">
      <c r="A42" s="26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>
      <c r="A43" s="18" t="s">
        <v>65</v>
      </c>
    </row>
    <row r="44" spans="1:13">
      <c r="A44" s="211" t="s">
        <v>191</v>
      </c>
    </row>
    <row r="45" spans="1:13">
      <c r="A45" s="1"/>
    </row>
  </sheetData>
  <mergeCells count="4">
    <mergeCell ref="A37:D37"/>
    <mergeCell ref="A1:F2"/>
    <mergeCell ref="E4:G4"/>
    <mergeCell ref="E37:F37"/>
  </mergeCells>
  <hyperlinks>
    <hyperlink ref="A44" r:id="rId1"/>
  </hyperlinks>
  <pageMargins left="0.7" right="0.7" top="0.75" bottom="0.75" header="0.3" footer="0.3"/>
  <pageSetup scale="80" orientation="portrait" horizontalDpi="0" verticalDpi="0" r:id="rId2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53"/>
  <dimension ref="A1:J45"/>
  <sheetViews>
    <sheetView zoomScaleNormal="100" workbookViewId="0">
      <selection activeCell="A44" sqref="A44"/>
    </sheetView>
  </sheetViews>
  <sheetFormatPr defaultRowHeight="15"/>
  <cols>
    <col min="1" max="1" width="10.140625" style="129" customWidth="1"/>
    <col min="2" max="2" width="13.5703125" style="129" customWidth="1"/>
    <col min="3" max="3" width="12.42578125" style="129" bestFit="1" customWidth="1"/>
    <col min="4" max="4" width="12.7109375" style="129" customWidth="1"/>
    <col min="5" max="6" width="19.42578125" style="129" customWidth="1"/>
    <col min="7" max="16384" width="9.140625" style="129"/>
  </cols>
  <sheetData>
    <row r="1" spans="1:9" ht="15" customHeight="1">
      <c r="A1" s="405" t="s">
        <v>89</v>
      </c>
      <c r="B1" s="405"/>
      <c r="C1" s="405"/>
      <c r="D1" s="405"/>
      <c r="E1" s="405"/>
      <c r="F1" s="405"/>
      <c r="G1" s="256"/>
      <c r="H1" s="256"/>
      <c r="I1" s="256"/>
    </row>
    <row r="2" spans="1:9">
      <c r="A2" s="405"/>
      <c r="B2" s="405"/>
      <c r="C2" s="405"/>
      <c r="D2" s="405"/>
      <c r="E2" s="405"/>
      <c r="F2" s="405"/>
      <c r="G2" s="256"/>
      <c r="H2" s="256"/>
      <c r="I2" s="256"/>
    </row>
    <row r="3" spans="1:9">
      <c r="A3" s="270"/>
      <c r="B3" s="270"/>
      <c r="C3" s="270"/>
      <c r="D3" s="270"/>
      <c r="E3" s="270"/>
      <c r="F3" s="270"/>
      <c r="G3" s="270"/>
      <c r="H3" s="270"/>
      <c r="I3" s="270"/>
    </row>
    <row r="4" spans="1:9">
      <c r="E4" s="402" t="s">
        <v>76</v>
      </c>
      <c r="F4" s="403"/>
      <c r="G4" s="404"/>
    </row>
    <row r="5" spans="1:9" ht="30">
      <c r="A5" s="133" t="s">
        <v>47</v>
      </c>
      <c r="B5" s="243" t="s">
        <v>50</v>
      </c>
      <c r="C5" s="243" t="s">
        <v>51</v>
      </c>
      <c r="D5" s="245" t="s">
        <v>42</v>
      </c>
      <c r="E5" s="243" t="s">
        <v>50</v>
      </c>
      <c r="F5" s="243" t="s">
        <v>51</v>
      </c>
      <c r="G5" s="244" t="s">
        <v>42</v>
      </c>
    </row>
    <row r="6" spans="1:9">
      <c r="A6" s="240" t="s">
        <v>6</v>
      </c>
      <c r="B6" s="158">
        <v>5000</v>
      </c>
      <c r="C6" s="160">
        <v>5200</v>
      </c>
      <c r="D6" s="8">
        <v>537500</v>
      </c>
      <c r="E6" s="332">
        <f>B6/$D6*100</f>
        <v>0.93023255813953487</v>
      </c>
      <c r="F6" s="333">
        <f t="shared" ref="F6:F35" si="0">C6/$D6*100</f>
        <v>0.96744186046511627</v>
      </c>
      <c r="G6" s="138">
        <f t="shared" ref="G6:G35" si="1">D6/$D6*100</f>
        <v>100</v>
      </c>
    </row>
    <row r="7" spans="1:9">
      <c r="A7" s="241" t="s">
        <v>7</v>
      </c>
      <c r="B7" s="161">
        <v>3600</v>
      </c>
      <c r="C7" s="163">
        <v>4100</v>
      </c>
      <c r="D7" s="11">
        <v>524500</v>
      </c>
      <c r="E7" s="334">
        <f t="shared" ref="E7:E35" si="2">B7/$D7*100</f>
        <v>0.68636796949475687</v>
      </c>
      <c r="F7" s="335">
        <f t="shared" si="0"/>
        <v>0.78169685414680656</v>
      </c>
      <c r="G7" s="139">
        <f t="shared" si="1"/>
        <v>100</v>
      </c>
    </row>
    <row r="8" spans="1:9">
      <c r="A8" s="241" t="s">
        <v>8</v>
      </c>
      <c r="B8" s="161">
        <v>5400</v>
      </c>
      <c r="C8" s="163">
        <v>3600</v>
      </c>
      <c r="D8" s="11">
        <v>562500</v>
      </c>
      <c r="E8" s="334">
        <f t="shared" si="2"/>
        <v>0.96</v>
      </c>
      <c r="F8" s="335">
        <f t="shared" si="0"/>
        <v>0.64</v>
      </c>
      <c r="G8" s="139">
        <f t="shared" si="1"/>
        <v>100</v>
      </c>
    </row>
    <row r="9" spans="1:9">
      <c r="A9" s="241" t="s">
        <v>9</v>
      </c>
      <c r="B9" s="161">
        <v>5100</v>
      </c>
      <c r="C9" s="163">
        <v>4500</v>
      </c>
      <c r="D9" s="11">
        <v>663700</v>
      </c>
      <c r="E9" s="334">
        <f t="shared" si="2"/>
        <v>0.76841946662648786</v>
      </c>
      <c r="F9" s="335">
        <f t="shared" si="0"/>
        <v>0.67801717643513637</v>
      </c>
      <c r="G9" s="139">
        <f t="shared" si="1"/>
        <v>100</v>
      </c>
    </row>
    <row r="10" spans="1:9">
      <c r="A10" s="241" t="s">
        <v>10</v>
      </c>
      <c r="B10" s="161">
        <v>5400</v>
      </c>
      <c r="C10" s="163">
        <v>5000</v>
      </c>
      <c r="D10" s="11">
        <v>709300</v>
      </c>
      <c r="E10" s="334">
        <f t="shared" si="2"/>
        <v>0.76131397152121805</v>
      </c>
      <c r="F10" s="335">
        <f t="shared" si="0"/>
        <v>0.70492034400112791</v>
      </c>
      <c r="G10" s="139">
        <f t="shared" si="1"/>
        <v>100</v>
      </c>
    </row>
    <row r="11" spans="1:9">
      <c r="A11" s="241" t="s">
        <v>11</v>
      </c>
      <c r="B11" s="161">
        <v>5500</v>
      </c>
      <c r="C11" s="163">
        <v>3500</v>
      </c>
      <c r="D11" s="11">
        <v>728400</v>
      </c>
      <c r="E11" s="334">
        <f t="shared" si="2"/>
        <v>0.7550796265788029</v>
      </c>
      <c r="F11" s="335">
        <f t="shared" si="0"/>
        <v>0.48050521691378362</v>
      </c>
      <c r="G11" s="139">
        <f t="shared" si="1"/>
        <v>100</v>
      </c>
    </row>
    <row r="12" spans="1:9">
      <c r="A12" s="241" t="s">
        <v>12</v>
      </c>
      <c r="B12" s="161">
        <v>5000</v>
      </c>
      <c r="C12" s="163">
        <v>3100</v>
      </c>
      <c r="D12" s="11">
        <v>750600</v>
      </c>
      <c r="E12" s="334">
        <f t="shared" si="2"/>
        <v>0.66613375965893951</v>
      </c>
      <c r="F12" s="335">
        <f t="shared" si="0"/>
        <v>0.41300293098854252</v>
      </c>
      <c r="G12" s="139">
        <f t="shared" si="1"/>
        <v>100</v>
      </c>
    </row>
    <row r="13" spans="1:9">
      <c r="A13" s="241" t="s">
        <v>13</v>
      </c>
      <c r="B13" s="161">
        <v>6200</v>
      </c>
      <c r="C13" s="163">
        <v>3700</v>
      </c>
      <c r="D13" s="11">
        <v>795200</v>
      </c>
      <c r="E13" s="334">
        <f t="shared" si="2"/>
        <v>0.77967806841046272</v>
      </c>
      <c r="F13" s="335">
        <f t="shared" si="0"/>
        <v>0.46529175050301813</v>
      </c>
      <c r="G13" s="139">
        <f t="shared" si="1"/>
        <v>100</v>
      </c>
    </row>
    <row r="14" spans="1:9">
      <c r="A14" s="241" t="s">
        <v>14</v>
      </c>
      <c r="B14" s="161">
        <v>5900</v>
      </c>
      <c r="C14" s="163">
        <v>4500</v>
      </c>
      <c r="D14" s="11">
        <v>837100</v>
      </c>
      <c r="E14" s="334">
        <f t="shared" si="2"/>
        <v>0.70481423963684153</v>
      </c>
      <c r="F14" s="335">
        <f t="shared" si="0"/>
        <v>0.53757018277386215</v>
      </c>
      <c r="G14" s="139">
        <f t="shared" si="1"/>
        <v>100</v>
      </c>
    </row>
    <row r="15" spans="1:9">
      <c r="A15" s="241" t="s">
        <v>15</v>
      </c>
      <c r="B15" s="161">
        <v>6400</v>
      </c>
      <c r="C15" s="163">
        <v>4100</v>
      </c>
      <c r="D15" s="11">
        <v>839500</v>
      </c>
      <c r="E15" s="334">
        <f t="shared" si="2"/>
        <v>0.76235854675402026</v>
      </c>
      <c r="F15" s="335">
        <f t="shared" si="0"/>
        <v>0.48838594401429419</v>
      </c>
      <c r="G15" s="139">
        <f t="shared" si="1"/>
        <v>100</v>
      </c>
    </row>
    <row r="16" spans="1:9">
      <c r="A16" s="241" t="s">
        <v>16</v>
      </c>
      <c r="B16" s="161">
        <v>7800</v>
      </c>
      <c r="C16" s="163">
        <v>3800</v>
      </c>
      <c r="D16" s="11">
        <v>793400</v>
      </c>
      <c r="E16" s="334">
        <f t="shared" si="2"/>
        <v>0.98311066296949834</v>
      </c>
      <c r="F16" s="335">
        <f t="shared" si="0"/>
        <v>0.4789513486261659</v>
      </c>
      <c r="G16" s="139">
        <f t="shared" si="1"/>
        <v>100</v>
      </c>
    </row>
    <row r="17" spans="1:7">
      <c r="A17" s="241" t="s">
        <v>17</v>
      </c>
      <c r="B17" s="161">
        <v>13000</v>
      </c>
      <c r="C17" s="163">
        <v>4100</v>
      </c>
      <c r="D17" s="11">
        <v>835000</v>
      </c>
      <c r="E17" s="334">
        <f t="shared" si="2"/>
        <v>1.5568862275449102</v>
      </c>
      <c r="F17" s="335">
        <f t="shared" si="0"/>
        <v>0.49101796407185633</v>
      </c>
      <c r="G17" s="139">
        <f t="shared" si="1"/>
        <v>100</v>
      </c>
    </row>
    <row r="18" spans="1:7">
      <c r="A18" s="241" t="s">
        <v>18</v>
      </c>
      <c r="B18" s="161">
        <v>10400</v>
      </c>
      <c r="C18" s="163">
        <v>5600</v>
      </c>
      <c r="D18" s="11">
        <v>925800</v>
      </c>
      <c r="E18" s="334">
        <f t="shared" si="2"/>
        <v>1.123352775977533</v>
      </c>
      <c r="F18" s="335">
        <f t="shared" si="0"/>
        <v>0.60488226398790235</v>
      </c>
      <c r="G18" s="139">
        <f t="shared" si="1"/>
        <v>100</v>
      </c>
    </row>
    <row r="19" spans="1:7">
      <c r="A19" s="241" t="s">
        <v>19</v>
      </c>
      <c r="B19" s="161">
        <v>9300</v>
      </c>
      <c r="C19" s="163">
        <v>6000</v>
      </c>
      <c r="D19" s="11">
        <v>1025099.9999999999</v>
      </c>
      <c r="E19" s="334">
        <f t="shared" si="2"/>
        <v>0.90722856306701805</v>
      </c>
      <c r="F19" s="335">
        <f t="shared" si="0"/>
        <v>0.58530875036581798</v>
      </c>
      <c r="G19" s="139">
        <f t="shared" si="1"/>
        <v>100</v>
      </c>
    </row>
    <row r="20" spans="1:7">
      <c r="A20" s="241" t="s">
        <v>20</v>
      </c>
      <c r="B20" s="161">
        <v>15100</v>
      </c>
      <c r="C20" s="163">
        <v>5900</v>
      </c>
      <c r="D20" s="11">
        <v>1108200</v>
      </c>
      <c r="E20" s="334">
        <f t="shared" si="2"/>
        <v>1.3625699332250496</v>
      </c>
      <c r="F20" s="335">
        <f t="shared" si="0"/>
        <v>0.53239487457137702</v>
      </c>
      <c r="G20" s="139">
        <f t="shared" si="1"/>
        <v>100</v>
      </c>
    </row>
    <row r="21" spans="1:7">
      <c r="A21" s="241" t="s">
        <v>21</v>
      </c>
      <c r="B21" s="161">
        <v>18100</v>
      </c>
      <c r="C21" s="163">
        <v>6700</v>
      </c>
      <c r="D21" s="11">
        <v>1209000</v>
      </c>
      <c r="E21" s="334">
        <f t="shared" si="2"/>
        <v>1.4971050454921424</v>
      </c>
      <c r="F21" s="335">
        <f t="shared" si="0"/>
        <v>0.55417700578990903</v>
      </c>
      <c r="G21" s="139">
        <f t="shared" si="1"/>
        <v>100</v>
      </c>
    </row>
    <row r="22" spans="1:7">
      <c r="A22" s="241" t="s">
        <v>22</v>
      </c>
      <c r="B22" s="161">
        <v>23700</v>
      </c>
      <c r="C22" s="163">
        <v>6800</v>
      </c>
      <c r="D22" s="11">
        <v>1309900</v>
      </c>
      <c r="E22" s="334">
        <f t="shared" si="2"/>
        <v>1.8092984197266966</v>
      </c>
      <c r="F22" s="335">
        <f t="shared" si="0"/>
        <v>0.51912359722116186</v>
      </c>
      <c r="G22" s="139">
        <f t="shared" si="1"/>
        <v>100</v>
      </c>
    </row>
    <row r="23" spans="1:7">
      <c r="A23" s="241" t="s">
        <v>23</v>
      </c>
      <c r="B23" s="161">
        <v>28300</v>
      </c>
      <c r="C23" s="163">
        <v>8200</v>
      </c>
      <c r="D23" s="11">
        <v>1438000</v>
      </c>
      <c r="E23" s="334">
        <f t="shared" si="2"/>
        <v>1.9680111265646731</v>
      </c>
      <c r="F23" s="335">
        <f t="shared" si="0"/>
        <v>0.57023643949930458</v>
      </c>
      <c r="G23" s="139">
        <f t="shared" si="1"/>
        <v>100</v>
      </c>
    </row>
    <row r="24" spans="1:7">
      <c r="A24" s="241" t="s">
        <v>24</v>
      </c>
      <c r="B24" s="161">
        <v>24900</v>
      </c>
      <c r="C24" s="163">
        <v>7300</v>
      </c>
      <c r="D24" s="11">
        <v>1569100</v>
      </c>
      <c r="E24" s="334">
        <f t="shared" si="2"/>
        <v>1.5868969472946275</v>
      </c>
      <c r="F24" s="335">
        <f t="shared" si="0"/>
        <v>0.4652348480020394</v>
      </c>
      <c r="G24" s="139">
        <f t="shared" si="1"/>
        <v>100</v>
      </c>
    </row>
    <row r="25" spans="1:7">
      <c r="A25" s="241" t="s">
        <v>25</v>
      </c>
      <c r="B25" s="161">
        <v>28400</v>
      </c>
      <c r="C25" s="163">
        <v>6100</v>
      </c>
      <c r="D25" s="11">
        <v>1704400</v>
      </c>
      <c r="E25" s="334">
        <f t="shared" si="2"/>
        <v>1.6662755221778927</v>
      </c>
      <c r="F25" s="335">
        <f t="shared" si="0"/>
        <v>0.35789720722835011</v>
      </c>
      <c r="G25" s="139">
        <f t="shared" si="1"/>
        <v>100</v>
      </c>
    </row>
    <row r="26" spans="1:7">
      <c r="A26" s="241" t="s">
        <v>26</v>
      </c>
      <c r="B26" s="161">
        <v>28900</v>
      </c>
      <c r="C26" s="163">
        <v>6300</v>
      </c>
      <c r="D26" s="11">
        <v>1682200</v>
      </c>
      <c r="E26" s="334">
        <f t="shared" si="2"/>
        <v>1.7179883485911307</v>
      </c>
      <c r="F26" s="335">
        <f t="shared" si="0"/>
        <v>0.37450957080014263</v>
      </c>
      <c r="G26" s="139">
        <f t="shared" si="1"/>
        <v>100</v>
      </c>
    </row>
    <row r="27" spans="1:7">
      <c r="A27" s="241" t="s">
        <v>27</v>
      </c>
      <c r="B27" s="161">
        <v>14200</v>
      </c>
      <c r="C27" s="163">
        <v>6600</v>
      </c>
      <c r="D27" s="11">
        <v>1616500</v>
      </c>
      <c r="E27" s="334">
        <f t="shared" si="2"/>
        <v>0.87844107639962876</v>
      </c>
      <c r="F27" s="335">
        <f t="shared" si="0"/>
        <v>0.40828951438292604</v>
      </c>
      <c r="G27" s="139">
        <f t="shared" si="1"/>
        <v>100</v>
      </c>
    </row>
    <row r="28" spans="1:7">
      <c r="A28" s="241" t="s">
        <v>28</v>
      </c>
      <c r="B28" s="161">
        <v>10100</v>
      </c>
      <c r="C28" s="163">
        <v>7300</v>
      </c>
      <c r="D28" s="11">
        <v>1693700</v>
      </c>
      <c r="E28" s="334">
        <f t="shared" si="2"/>
        <v>0.59632756686544253</v>
      </c>
      <c r="F28" s="335">
        <f t="shared" si="0"/>
        <v>0.43100903347700303</v>
      </c>
      <c r="G28" s="139">
        <f t="shared" si="1"/>
        <v>100</v>
      </c>
    </row>
    <row r="29" spans="1:7">
      <c r="A29" s="241" t="s">
        <v>29</v>
      </c>
      <c r="B29" s="161">
        <v>10600</v>
      </c>
      <c r="C29" s="163">
        <v>8000</v>
      </c>
      <c r="D29" s="11">
        <v>1885800</v>
      </c>
      <c r="E29" s="334">
        <f t="shared" si="2"/>
        <v>0.56209566231837949</v>
      </c>
      <c r="F29" s="335">
        <f t="shared" si="0"/>
        <v>0.42422314137236189</v>
      </c>
      <c r="G29" s="139">
        <f t="shared" si="1"/>
        <v>100</v>
      </c>
    </row>
    <row r="30" spans="1:7">
      <c r="A30" s="241" t="s">
        <v>30</v>
      </c>
      <c r="B30" s="161">
        <v>8300</v>
      </c>
      <c r="C30" s="163">
        <v>8800</v>
      </c>
      <c r="D30" s="11">
        <v>2104200</v>
      </c>
      <c r="E30" s="334">
        <f t="shared" si="2"/>
        <v>0.39444919684440644</v>
      </c>
      <c r="F30" s="335">
        <f t="shared" si="0"/>
        <v>0.41821119665431039</v>
      </c>
      <c r="G30" s="139">
        <f t="shared" si="1"/>
        <v>100</v>
      </c>
    </row>
    <row r="31" spans="1:7">
      <c r="A31" s="241" t="s">
        <v>31</v>
      </c>
      <c r="B31" s="161">
        <v>7200</v>
      </c>
      <c r="C31" s="163">
        <v>10800</v>
      </c>
      <c r="D31" s="11">
        <v>2247700</v>
      </c>
      <c r="E31" s="334">
        <f t="shared" si="2"/>
        <v>0.32032744583351869</v>
      </c>
      <c r="F31" s="335">
        <f t="shared" si="0"/>
        <v>0.48049116875027809</v>
      </c>
      <c r="G31" s="139">
        <f t="shared" si="1"/>
        <v>100</v>
      </c>
    </row>
    <row r="32" spans="1:7">
      <c r="A32" s="241" t="s">
        <v>32</v>
      </c>
      <c r="B32" s="161">
        <v>13800</v>
      </c>
      <c r="C32" s="163">
        <v>12500</v>
      </c>
      <c r="D32" s="11">
        <v>2249800</v>
      </c>
      <c r="E32" s="334">
        <f t="shared" si="2"/>
        <v>0.61338785669837326</v>
      </c>
      <c r="F32" s="335">
        <f t="shared" si="0"/>
        <v>0.5556049426615699</v>
      </c>
      <c r="G32" s="139">
        <f t="shared" si="1"/>
        <v>100</v>
      </c>
    </row>
    <row r="33" spans="1:10">
      <c r="A33" s="241" t="s">
        <v>33</v>
      </c>
      <c r="B33" s="161">
        <v>14900</v>
      </c>
      <c r="C33" s="163">
        <v>14500</v>
      </c>
      <c r="D33" s="11">
        <v>2117400</v>
      </c>
      <c r="E33" s="334">
        <f t="shared" si="2"/>
        <v>0.70369320865212048</v>
      </c>
      <c r="F33" s="335">
        <f t="shared" si="0"/>
        <v>0.68480211580239914</v>
      </c>
      <c r="G33" s="139">
        <f t="shared" si="1"/>
        <v>100</v>
      </c>
    </row>
    <row r="34" spans="1:10">
      <c r="A34" s="241" t="s">
        <v>34</v>
      </c>
      <c r="B34" s="161">
        <v>10900</v>
      </c>
      <c r="C34" s="163">
        <v>12500</v>
      </c>
      <c r="D34" s="11">
        <v>1694000</v>
      </c>
      <c r="E34" s="334">
        <f t="shared" si="2"/>
        <v>0.64344746162927979</v>
      </c>
      <c r="F34" s="335">
        <f t="shared" si="0"/>
        <v>0.73789846517119251</v>
      </c>
      <c r="G34" s="139">
        <f t="shared" si="1"/>
        <v>100</v>
      </c>
    </row>
    <row r="35" spans="1:10">
      <c r="A35" s="242" t="s">
        <v>35</v>
      </c>
      <c r="B35" s="164">
        <v>10800</v>
      </c>
      <c r="C35" s="166">
        <v>13700</v>
      </c>
      <c r="D35" s="14">
        <v>1720700</v>
      </c>
      <c r="E35" s="336">
        <f t="shared" si="2"/>
        <v>0.62765153716510724</v>
      </c>
      <c r="F35" s="337">
        <f t="shared" si="0"/>
        <v>0.79618759807055273</v>
      </c>
      <c r="G35" s="137">
        <f t="shared" si="1"/>
        <v>100</v>
      </c>
    </row>
    <row r="37" spans="1:10">
      <c r="A37" s="389" t="s">
        <v>52</v>
      </c>
      <c r="B37" s="391"/>
      <c r="C37" s="391"/>
      <c r="D37" s="390"/>
      <c r="E37" s="389" t="s">
        <v>77</v>
      </c>
      <c r="F37" s="390"/>
      <c r="G37" s="145"/>
      <c r="H37" s="145"/>
      <c r="I37" s="145"/>
      <c r="J37" s="145"/>
    </row>
    <row r="38" spans="1:10">
      <c r="A38" s="27" t="s">
        <v>53</v>
      </c>
      <c r="B38" s="82">
        <f>(POWER(B15/B6,1/($A15-$A6))-1)*100</f>
        <v>2.7808532802195085</v>
      </c>
      <c r="C38" s="83">
        <f t="shared" ref="C38:D38" si="3">(POWER(C15/C6,1/($A15-$A6))-1)*100</f>
        <v>-2.6062320350760393</v>
      </c>
      <c r="D38" s="84">
        <f t="shared" si="3"/>
        <v>5.0789691358434252</v>
      </c>
      <c r="E38" s="82">
        <f>E15-E6</f>
        <v>-0.16787401138551461</v>
      </c>
      <c r="F38" s="84">
        <f>F15-F6</f>
        <v>-0.47905591645082207</v>
      </c>
      <c r="G38" s="86"/>
      <c r="H38" s="86"/>
      <c r="I38" s="86"/>
      <c r="J38" s="86"/>
    </row>
    <row r="39" spans="1:10">
      <c r="A39" s="28" t="s">
        <v>71</v>
      </c>
      <c r="B39" s="37">
        <f>(POWER(B$25/B15,1/($A$25-$A$15))-1)*100</f>
        <v>16.068356934890481</v>
      </c>
      <c r="C39" s="72">
        <f>(POWER(C$25/C15,1/($A$25-$A$15))-1)*100</f>
        <v>4.0529980249516706</v>
      </c>
      <c r="D39" s="139">
        <f>(POWER(D$25/D15,1/($A$25-$A$15))-1)*100</f>
        <v>7.3383913880026741</v>
      </c>
      <c r="E39" s="85">
        <f>E25-E15</f>
        <v>0.90391697542387239</v>
      </c>
      <c r="F39" s="87">
        <f>F25-F15</f>
        <v>-0.13048873678594408</v>
      </c>
    </row>
    <row r="40" spans="1:10">
      <c r="A40" s="28" t="s">
        <v>69</v>
      </c>
      <c r="B40" s="37">
        <f>(POWER(B$35/B25,1/($A$35-$A$25))-1)*100</f>
        <v>-9.2157434206355138</v>
      </c>
      <c r="C40" s="72">
        <f>(POWER(C$35/C25,1/($A$35-$A$25))-1)*100</f>
        <v>8.4274073254292148</v>
      </c>
      <c r="D40" s="139">
        <f>(POWER(D$35/D25,1/($A$35-$A$25))-1)*100</f>
        <v>9.5225732271142505E-2</v>
      </c>
      <c r="E40" s="85">
        <f>E35-E25</f>
        <v>-1.0386239850127854</v>
      </c>
      <c r="F40" s="87">
        <f>F35-F25</f>
        <v>0.43829039084220262</v>
      </c>
    </row>
    <row r="41" spans="1:10">
      <c r="A41" s="29" t="s">
        <v>70</v>
      </c>
      <c r="B41" s="39">
        <f>(POWER(B35/B6,1/($A$35-$A$6))-1)*100</f>
        <v>2.6911193988241155</v>
      </c>
      <c r="C41" s="74">
        <f>(POWER(C35/C6,1/($A$35-$A$6))-1)*100</f>
        <v>3.3968934141554108</v>
      </c>
      <c r="D41" s="137">
        <f>(POWER(D35/D6,1/($A$35-$A$6))-1)*100</f>
        <v>4.0938468107763804</v>
      </c>
      <c r="E41" s="88">
        <f>E35-E6</f>
        <v>-0.30258102097442763</v>
      </c>
      <c r="F41" s="90">
        <f>F35-F6</f>
        <v>-0.17125426239456354</v>
      </c>
    </row>
    <row r="43" spans="1:10">
      <c r="A43" s="1" t="s">
        <v>65</v>
      </c>
    </row>
    <row r="44" spans="1:10">
      <c r="A44" s="211" t="s">
        <v>73</v>
      </c>
    </row>
    <row r="45" spans="1:10">
      <c r="A45" s="1"/>
    </row>
  </sheetData>
  <mergeCells count="4">
    <mergeCell ref="E4:G4"/>
    <mergeCell ref="E37:F37"/>
    <mergeCell ref="A1:F2"/>
    <mergeCell ref="A37:D37"/>
  </mergeCells>
  <hyperlinks>
    <hyperlink ref="A44" r:id="rId1"/>
  </hyperlinks>
  <pageMargins left="0.7" right="0.7" top="0.75" bottom="0.75" header="0.3" footer="0.3"/>
  <pageSetup scale="93" orientation="portrait" horizontalDpi="0" verticalDpi="0" r:id="rId2"/>
  <colBreaks count="1" manualBreakCount="1">
    <brk id="7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54"/>
  <dimension ref="A1:M49"/>
  <sheetViews>
    <sheetView zoomScaleNormal="100" workbookViewId="0">
      <selection activeCell="B15" sqref="B15"/>
    </sheetView>
  </sheetViews>
  <sheetFormatPr defaultRowHeight="15"/>
  <cols>
    <col min="1" max="1" width="10.5703125" style="1" customWidth="1"/>
    <col min="2" max="2" width="10.7109375" style="1" customWidth="1"/>
    <col min="3" max="3" width="9.140625" style="1"/>
    <col min="4" max="4" width="19.140625" style="1" customWidth="1"/>
    <col min="5" max="5" width="14.7109375" style="1" customWidth="1"/>
    <col min="6" max="6" width="11.42578125" style="1" customWidth="1"/>
    <col min="7" max="7" width="9.140625" style="1"/>
    <col min="8" max="8" width="18.140625" style="1" customWidth="1"/>
    <col min="9" max="9" width="15.140625" style="1" customWidth="1"/>
    <col min="10" max="10" width="12.140625" style="1" customWidth="1"/>
    <col min="11" max="11" width="9.140625" style="1"/>
    <col min="12" max="12" width="20.140625" style="1" customWidth="1"/>
    <col min="13" max="13" width="13.140625" style="1" customWidth="1"/>
    <col min="14" max="16384" width="9.140625" style="1"/>
  </cols>
  <sheetData>
    <row r="1" spans="1:13">
      <c r="A1" s="2" t="s">
        <v>105</v>
      </c>
    </row>
    <row r="4" spans="1:13">
      <c r="A4" s="18"/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8" t="s">
        <v>42</v>
      </c>
      <c r="K4" s="379"/>
      <c r="L4" s="379"/>
      <c r="M4" s="380"/>
    </row>
    <row r="5" spans="1:13" ht="30">
      <c r="A5" s="18"/>
      <c r="B5" s="59" t="s">
        <v>0</v>
      </c>
      <c r="C5" s="60" t="s">
        <v>1</v>
      </c>
      <c r="D5" s="60" t="s">
        <v>2</v>
      </c>
      <c r="E5" s="5" t="s">
        <v>72</v>
      </c>
      <c r="F5" s="59" t="s">
        <v>0</v>
      </c>
      <c r="G5" s="60" t="s">
        <v>1</v>
      </c>
      <c r="H5" s="60" t="s">
        <v>2</v>
      </c>
      <c r="I5" s="5" t="s">
        <v>72</v>
      </c>
      <c r="J5" s="59" t="s">
        <v>39</v>
      </c>
      <c r="K5" s="60" t="s">
        <v>41</v>
      </c>
      <c r="L5" s="60" t="s">
        <v>40</v>
      </c>
      <c r="M5" s="5" t="s">
        <v>72</v>
      </c>
    </row>
    <row r="6" spans="1:13">
      <c r="A6" s="56" t="s">
        <v>6</v>
      </c>
      <c r="B6" s="167">
        <f>'5a'!B6/'5b'!$B6*100</f>
        <v>0.86029411764705876</v>
      </c>
      <c r="C6" s="155">
        <f>'5a'!C6/'5b'!$B6*100</f>
        <v>0.84558823529411764</v>
      </c>
      <c r="D6" s="155">
        <f>'5a'!D6/'5b'!$B6*100</f>
        <v>0.39705882352941174</v>
      </c>
      <c r="E6" s="168">
        <f>'5a'!E6/'5b'!$B6*100</f>
        <v>2.1029411764705883</v>
      </c>
      <c r="F6" s="236">
        <f>'5a'!F6/'5b'!$C6*100</f>
        <v>0.1111111111111111</v>
      </c>
      <c r="G6" s="214">
        <f>'5a'!G6/'5b'!$C6*100</f>
        <v>1.8518518518518517E-2</v>
      </c>
      <c r="H6" s="214">
        <f>'5a'!H6/'5b'!$C6*100</f>
        <v>1.2129629629629628</v>
      </c>
      <c r="I6" s="237">
        <f>'5a'!I6/'5b'!$C6*100</f>
        <v>1.3425925925925926</v>
      </c>
      <c r="J6" s="155">
        <f>'5a'!J6/'5b'!$D6*100</f>
        <v>0.63295824696476166</v>
      </c>
      <c r="K6" s="155">
        <f>'5a'!K6/'5b'!$D6*100</f>
        <v>0.43677820550784718</v>
      </c>
      <c r="L6" s="155">
        <f>'5a'!L6/'5b'!$D6*100</f>
        <v>1.0068107787977496</v>
      </c>
      <c r="M6" s="168">
        <f>'5a'!M6/'5b'!$D6*100</f>
        <v>2.0765472312703581</v>
      </c>
    </row>
    <row r="7" spans="1:13">
      <c r="A7" s="57" t="s">
        <v>7</v>
      </c>
      <c r="B7" s="169">
        <f>'5a'!B7/'5b'!$B7*100</f>
        <v>5.1094890510948912E-2</v>
      </c>
      <c r="C7" s="156">
        <f>'5a'!C7/'5b'!$B7*100</f>
        <v>0.13868613138686131</v>
      </c>
      <c r="D7" s="156">
        <f>'5a'!D7/'5b'!$B7*100</f>
        <v>0.4087591240875913</v>
      </c>
      <c r="E7" s="170">
        <f>'5a'!E7/'5b'!$B7*100</f>
        <v>0.59854014598540151</v>
      </c>
      <c r="F7" s="216">
        <f>'5a'!F7/'5b'!$C7*100</f>
        <v>3.2967032967032968E-2</v>
      </c>
      <c r="G7" s="143">
        <f>'5a'!G7/'5b'!$C7*100</f>
        <v>1.6483516483516484E-2</v>
      </c>
      <c r="H7" s="143">
        <f>'5a'!H7/'5b'!$C7*100</f>
        <v>1.2802197802197803</v>
      </c>
      <c r="I7" s="217">
        <f>'5a'!I7/'5b'!$C7*100</f>
        <v>1.3296703296703298</v>
      </c>
      <c r="J7" s="156">
        <f>'5a'!J7/'5b'!$D7*100</f>
        <v>0.67707960163358893</v>
      </c>
      <c r="K7" s="156">
        <f>'5a'!K7/'5b'!$D7*100</f>
        <v>0.50154044565451028</v>
      </c>
      <c r="L7" s="156">
        <f>'5a'!L7/'5b'!$D7*100</f>
        <v>1.0353227771010962</v>
      </c>
      <c r="M7" s="170">
        <f>'5a'!M7/'5b'!$D7*100</f>
        <v>2.2139428243891954</v>
      </c>
    </row>
    <row r="8" spans="1:13">
      <c r="A8" s="57" t="s">
        <v>8</v>
      </c>
      <c r="B8" s="169">
        <f>'5a'!B8/'5b'!$B8*100</f>
        <v>0.15662650602409636</v>
      </c>
      <c r="C8" s="156">
        <f>'5a'!C8/'5b'!$B8*100</f>
        <v>0.18072289156626506</v>
      </c>
      <c r="D8" s="156">
        <f>'5a'!D8/'5b'!$B8*100</f>
        <v>0.98795180722891562</v>
      </c>
      <c r="E8" s="170">
        <f>'5a'!E8/'5b'!$B8*100</f>
        <v>1.3253012048192772</v>
      </c>
      <c r="F8" s="216">
        <f>'5a'!F8/'5b'!$C8*100</f>
        <v>2.030456852791878E-2</v>
      </c>
      <c r="G8" s="143">
        <f>'5a'!G8/'5b'!$C8*100</f>
        <v>5.076142131979695E-3</v>
      </c>
      <c r="H8" s="143">
        <f>'5a'!H8/'5b'!$C8*100</f>
        <v>1.0101522842639594</v>
      </c>
      <c r="I8" s="217">
        <f>'5a'!I8/'5b'!$C8*100</f>
        <v>1.0355329949238579</v>
      </c>
      <c r="J8" s="156">
        <f>'5a'!J8/'5b'!$D8*100</f>
        <v>0.78574481375546568</v>
      </c>
      <c r="K8" s="156">
        <f>'5a'!K8/'5b'!$D8*100</f>
        <v>0.53917217345563329</v>
      </c>
      <c r="L8" s="156">
        <f>'5a'!L8/'5b'!$D8*100</f>
        <v>0.96985238517934058</v>
      </c>
      <c r="M8" s="170">
        <f>'5a'!M8/'5b'!$D8*100</f>
        <v>2.2947693723904394</v>
      </c>
    </row>
    <row r="9" spans="1:13">
      <c r="A9" s="57" t="s">
        <v>9</v>
      </c>
      <c r="B9" s="169">
        <f>'5a'!B9/'5b'!$B9*100</f>
        <v>0.37037037037037041</v>
      </c>
      <c r="C9" s="156">
        <f>'5a'!C9/'5b'!$B9*100</f>
        <v>0.32275132275132273</v>
      </c>
      <c r="D9" s="156">
        <f>'5a'!D9/'5b'!$B9*100</f>
        <v>2.3544973544973544</v>
      </c>
      <c r="E9" s="170">
        <f>'5a'!E9/'5b'!$B9*100</f>
        <v>3.0476190476190474</v>
      </c>
      <c r="F9" s="216">
        <f>'5a'!F9/'5b'!$C9*100</f>
        <v>1.8779342723004695E-2</v>
      </c>
      <c r="G9" s="143">
        <f>'5a'!G9/'5b'!$C9*100</f>
        <v>4.6948356807511738E-3</v>
      </c>
      <c r="H9" s="143">
        <f>'5a'!H9/'5b'!$C9*100</f>
        <v>1.4835680751173708</v>
      </c>
      <c r="I9" s="217">
        <f>'5a'!I9/'5b'!$C9*100</f>
        <v>1.5070422535211268</v>
      </c>
      <c r="J9" s="156">
        <f>'5a'!J9/'5b'!$D9*100</f>
        <v>0.9313292071912761</v>
      </c>
      <c r="K9" s="156">
        <f>'5a'!K9/'5b'!$D9*100</f>
        <v>0.60123784261715296</v>
      </c>
      <c r="L9" s="156">
        <f>'5a'!L9/'5b'!$D9*100</f>
        <v>1.0020630710285883</v>
      </c>
      <c r="M9" s="170">
        <f>'5a'!M9/'5b'!$D9*100</f>
        <v>2.5346301208370172</v>
      </c>
    </row>
    <row r="10" spans="1:13">
      <c r="A10" s="57" t="s">
        <v>10</v>
      </c>
      <c r="B10" s="169">
        <f>'5a'!B10/'5b'!$B10*100</f>
        <v>0.46113989637305702</v>
      </c>
      <c r="C10" s="156">
        <f>'5a'!C10/'5b'!$B10*100</f>
        <v>0.43523316062176171</v>
      </c>
      <c r="D10" s="156">
        <f>'5a'!D10/'5b'!$B10*100</f>
        <v>2.44559585492228</v>
      </c>
      <c r="E10" s="170">
        <f>'5a'!E10/'5b'!$B10*100</f>
        <v>3.3419689119170979</v>
      </c>
      <c r="F10" s="216">
        <f>'5a'!F10/'5b'!$C10*100</f>
        <v>2.8571428571428574E-2</v>
      </c>
      <c r="G10" s="143">
        <f>'5a'!G10/'5b'!$C10*100</f>
        <v>9.5238095238095247E-3</v>
      </c>
      <c r="H10" s="143">
        <f>'5a'!H10/'5b'!$C10*100</f>
        <v>1.5666666666666667</v>
      </c>
      <c r="I10" s="217">
        <f>'5a'!I10/'5b'!$C10*100</f>
        <v>1.6047619047619046</v>
      </c>
      <c r="J10" s="156">
        <f>'5a'!J10/'5b'!$D10*100</f>
        <v>0.92719969185054762</v>
      </c>
      <c r="K10" s="156">
        <f>'5a'!K10/'5b'!$D10*100</f>
        <v>0.65481758652946687</v>
      </c>
      <c r="L10" s="156">
        <f>'5a'!L10/'5b'!$D10*100</f>
        <v>1.0179937269575743</v>
      </c>
      <c r="M10" s="170">
        <f>'5a'!M10/'5b'!$D10*100</f>
        <v>2.6000110053375889</v>
      </c>
    </row>
    <row r="11" spans="1:13">
      <c r="A11" s="57" t="s">
        <v>11</v>
      </c>
      <c r="B11" s="169">
        <f>'5a'!B11/'5b'!$B11*100</f>
        <v>0.63942307692307687</v>
      </c>
      <c r="C11" s="156">
        <f>'5a'!C11/'5b'!$B11*100</f>
        <v>0.61057692307692302</v>
      </c>
      <c r="D11" s="156">
        <f>'5a'!D11/'5b'!$B11*100</f>
        <v>3.3701923076923075</v>
      </c>
      <c r="E11" s="170">
        <f>'5a'!E11/'5b'!$B11*100</f>
        <v>4.6201923076923075</v>
      </c>
      <c r="F11" s="216">
        <f>'5a'!F11/'5b'!$C11*100</f>
        <v>2.2421524663677129E-2</v>
      </c>
      <c r="G11" s="143">
        <f>'5a'!G11/'5b'!$C11*100</f>
        <v>8.9686098654708519E-3</v>
      </c>
      <c r="H11" s="143">
        <f>'5a'!H11/'5b'!$C11*100</f>
        <v>1.0313901345291481</v>
      </c>
      <c r="I11" s="217">
        <f>'5a'!I11/'5b'!$C11*100</f>
        <v>1.0627802690582959</v>
      </c>
      <c r="J11" s="156">
        <f>'5a'!J11/'5b'!$D11*100</f>
        <v>0.86970107280491604</v>
      </c>
      <c r="K11" s="156">
        <f>'5a'!K11/'5b'!$D11*100</f>
        <v>0.66659722945526501</v>
      </c>
      <c r="L11" s="156">
        <f>'5a'!L11/'5b'!$D11*100</f>
        <v>1.018123112175815</v>
      </c>
      <c r="M11" s="170">
        <f>'5a'!M11/'5b'!$D11*100</f>
        <v>2.5544214144359962</v>
      </c>
    </row>
    <row r="12" spans="1:13">
      <c r="A12" s="57" t="s">
        <v>12</v>
      </c>
      <c r="B12" s="169">
        <f>'5a'!B12/'5b'!$B12*100</f>
        <v>0.32231404958677684</v>
      </c>
      <c r="C12" s="156">
        <f>'5a'!C12/'5b'!$B12*100</f>
        <v>0.32231404958677684</v>
      </c>
      <c r="D12" s="156">
        <f>'5a'!D12/'5b'!$B12*100</f>
        <v>0.99586776859504134</v>
      </c>
      <c r="E12" s="170">
        <f>'5a'!E12/'5b'!$B12*100</f>
        <v>1.640495867768595</v>
      </c>
      <c r="F12" s="216">
        <f>'5a'!F12/'5b'!$C12*100</f>
        <v>2.4154589371980676E-2</v>
      </c>
      <c r="G12" s="143">
        <f>'5a'!G12/'5b'!$C12*100</f>
        <v>1.4492753623188406E-2</v>
      </c>
      <c r="H12" s="143">
        <f>'5a'!H12/'5b'!$C12*100</f>
        <v>0.98067632850241548</v>
      </c>
      <c r="I12" s="217">
        <f>'5a'!I12/'5b'!$C12*100</f>
        <v>1.0193236714975846</v>
      </c>
      <c r="J12" s="156">
        <f>'5a'!J12/'5b'!$D12*100</f>
        <v>0.87790284214914538</v>
      </c>
      <c r="K12" s="156">
        <f>'5a'!K12/'5b'!$D12*100</f>
        <v>0.71115034699232449</v>
      </c>
      <c r="L12" s="156">
        <f>'5a'!L12/'5b'!$D12*100</f>
        <v>0.96127908972755594</v>
      </c>
      <c r="M12" s="170">
        <f>'5a'!M12/'5b'!$D12*100</f>
        <v>2.5503322788690257</v>
      </c>
    </row>
    <row r="13" spans="1:13">
      <c r="A13" s="57" t="s">
        <v>13</v>
      </c>
      <c r="B13" s="169">
        <f>'5a'!B13/'5b'!$B13*100</f>
        <v>0.3597359735973597</v>
      </c>
      <c r="C13" s="156">
        <f>'5a'!C13/'5b'!$B13*100</f>
        <v>0.42244224422442239</v>
      </c>
      <c r="D13" s="156">
        <f>'5a'!D13/'5b'!$B13*100</f>
        <v>1.7029702970297032</v>
      </c>
      <c r="E13" s="170">
        <f>'5a'!E13/'5b'!$B13*100</f>
        <v>2.4851485148514851</v>
      </c>
      <c r="F13" s="216">
        <f>'5a'!F13/'5b'!$C13*100</f>
        <v>8.5308056872037921E-2</v>
      </c>
      <c r="G13" s="143">
        <f>'5a'!G13/'5b'!$C13*100</f>
        <v>4.2654028436018961E-2</v>
      </c>
      <c r="H13" s="143">
        <f>'5a'!H13/'5b'!$C13*100</f>
        <v>1.6492890995260665</v>
      </c>
      <c r="I13" s="217">
        <f>'5a'!I13/'5b'!$C13*100</f>
        <v>1.7772511848341233</v>
      </c>
      <c r="J13" s="156">
        <f>'5a'!J13/'5b'!$D13*100</f>
        <v>0.8645598707710509</v>
      </c>
      <c r="K13" s="156">
        <f>'5a'!K13/'5b'!$D13*100</f>
        <v>0.77810388369394579</v>
      </c>
      <c r="L13" s="156">
        <f>'5a'!L13/'5b'!$D13*100</f>
        <v>0.99424385138670857</v>
      </c>
      <c r="M13" s="170">
        <f>'5a'!M13/'5b'!$D13*100</f>
        <v>2.6369076058517056</v>
      </c>
    </row>
    <row r="14" spans="1:13">
      <c r="A14" s="57" t="s">
        <v>14</v>
      </c>
      <c r="B14" s="169">
        <f>'5a'!B14/'5b'!$B14*100</f>
        <v>0.45065789473684215</v>
      </c>
      <c r="C14" s="156">
        <f>'5a'!C14/'5b'!$B14*100</f>
        <v>0.59868421052631571</v>
      </c>
      <c r="D14" s="156">
        <f>'5a'!D14/'5b'!$B14*100</f>
        <v>2.5065789473684212</v>
      </c>
      <c r="E14" s="170">
        <f>'5a'!E14/'5b'!$B14*100</f>
        <v>3.5559210526315792</v>
      </c>
      <c r="F14" s="216">
        <f>'5a'!F14/'5b'!$C14*100</f>
        <v>0.19892473118279572</v>
      </c>
      <c r="G14" s="143">
        <f>'5a'!G14/'5b'!$C14*100</f>
        <v>0.15591397849462366</v>
      </c>
      <c r="H14" s="143">
        <f>'5a'!H14/'5b'!$C14*100</f>
        <v>1.9784946236559142</v>
      </c>
      <c r="I14" s="217">
        <f>'5a'!I14/'5b'!$C14*100</f>
        <v>2.3333333333333335</v>
      </c>
      <c r="J14" s="156">
        <f>'5a'!J14/'5b'!$D14*100</f>
        <v>0.91126287079518786</v>
      </c>
      <c r="K14" s="156">
        <f>'5a'!K14/'5b'!$D14*100</f>
        <v>0.88589128274520579</v>
      </c>
      <c r="L14" s="156">
        <f>'5a'!L14/'5b'!$D14*100</f>
        <v>0.92183436581601375</v>
      </c>
      <c r="M14" s="170">
        <f>'5a'!M14/'5b'!$D14*100</f>
        <v>2.7189885193564076</v>
      </c>
    </row>
    <row r="15" spans="1:13">
      <c r="A15" s="57" t="s">
        <v>15</v>
      </c>
      <c r="B15" s="169">
        <f>'5a'!B15/'5b'!$B15*100</f>
        <v>0.45367412140575081</v>
      </c>
      <c r="C15" s="156">
        <f>'5a'!C15/'5b'!$B15*100</f>
        <v>0.76996805111821087</v>
      </c>
      <c r="D15" s="156">
        <f>'5a'!D15/'5b'!$B15*100</f>
        <v>3.0191693290734825</v>
      </c>
      <c r="E15" s="170">
        <f>'5a'!E15/'5b'!$B15*100</f>
        <v>4.2428115015974441</v>
      </c>
      <c r="F15" s="216">
        <f>'5a'!F15/'5b'!$C15*100</f>
        <v>0.26881720430107531</v>
      </c>
      <c r="G15" s="143">
        <f>'5a'!G15/'5b'!$C15*100</f>
        <v>0.27419354838709675</v>
      </c>
      <c r="H15" s="143">
        <f>'5a'!H15/'5b'!$C15*100</f>
        <v>1.2419354838709677</v>
      </c>
      <c r="I15" s="217">
        <f>'5a'!I15/'5b'!$C15*100</f>
        <v>1.7849462365591398</v>
      </c>
      <c r="J15" s="156">
        <f>'5a'!J15/'5b'!$D15*100</f>
        <v>0.77288108443625725</v>
      </c>
      <c r="K15" s="156">
        <f>'5a'!K15/'5b'!$D15*100</f>
        <v>0.95308651863123961</v>
      </c>
      <c r="L15" s="156">
        <f>'5a'!L15/'5b'!$D15*100</f>
        <v>0.90503173617924437</v>
      </c>
      <c r="M15" s="170">
        <f>'5a'!M15/'5b'!$D15*100</f>
        <v>2.6309993392467415</v>
      </c>
    </row>
    <row r="16" spans="1:13">
      <c r="A16" s="57" t="s">
        <v>16</v>
      </c>
      <c r="B16" s="169">
        <f>'5a'!B16/'5b'!$B16*100</f>
        <v>0.43209876543209874</v>
      </c>
      <c r="C16" s="156">
        <f>'5a'!C16/'5b'!$B16*100</f>
        <v>0.9228395061728395</v>
      </c>
      <c r="D16" s="156">
        <f>'5a'!D16/'5b'!$B16*100</f>
        <v>2.7407407407407409</v>
      </c>
      <c r="E16" s="170">
        <f>'5a'!E16/'5b'!$B16*100</f>
        <v>4.0956790123456797</v>
      </c>
      <c r="F16" s="216">
        <f>'5a'!F16/'5b'!$C16*100</f>
        <v>0.2857142857142857</v>
      </c>
      <c r="G16" s="143">
        <f>'5a'!G16/'5b'!$C16*100</f>
        <v>0.36945812807881773</v>
      </c>
      <c r="H16" s="143">
        <f>'5a'!H16/'5b'!$C16*100</f>
        <v>0.81773399014778325</v>
      </c>
      <c r="I16" s="217">
        <f>'5a'!I16/'5b'!$C16*100</f>
        <v>1.4729064039408868</v>
      </c>
      <c r="J16" s="156">
        <f>'5a'!J16/'5b'!$D16*100</f>
        <v>0.7344346606405362</v>
      </c>
      <c r="K16" s="156">
        <f>'5a'!K16/'5b'!$D16*100</f>
        <v>1.0461310683394374</v>
      </c>
      <c r="L16" s="156">
        <f>'5a'!L16/'5b'!$D16*100</f>
        <v>0.85132081352762412</v>
      </c>
      <c r="M16" s="170">
        <f>'5a'!M16/'5b'!$D16*100</f>
        <v>2.6318865425075977</v>
      </c>
    </row>
    <row r="17" spans="1:13">
      <c r="A17" s="57" t="s">
        <v>17</v>
      </c>
      <c r="B17" s="169">
        <f>'5a'!B17/'5b'!$B17*100</f>
        <v>0.50143266475644699</v>
      </c>
      <c r="C17" s="156">
        <f>'5a'!C17/'5b'!$B17*100</f>
        <v>0.97707736389684807</v>
      </c>
      <c r="D17" s="156">
        <f>'5a'!D17/'5b'!$B17*100</f>
        <v>6.8825214899713467</v>
      </c>
      <c r="E17" s="170">
        <f>'5a'!E17/'5b'!$B17*100</f>
        <v>8.3610315186246407</v>
      </c>
      <c r="F17" s="216">
        <f>'5a'!F17/'5b'!$C17*100</f>
        <v>0.46039603960396036</v>
      </c>
      <c r="G17" s="143">
        <f>'5a'!G17/'5b'!$C17*100</f>
        <v>0.50990099009900991</v>
      </c>
      <c r="H17" s="143">
        <f>'5a'!H17/'5b'!$C17*100</f>
        <v>0.52970297029702973</v>
      </c>
      <c r="I17" s="217">
        <f>'5a'!I17/'5b'!$C17*100</f>
        <v>1.5</v>
      </c>
      <c r="J17" s="156">
        <f>'5a'!J17/'5b'!$D17*100</f>
        <v>0.80117603822124206</v>
      </c>
      <c r="K17" s="156">
        <f>'5a'!K17/'5b'!$D17*100</f>
        <v>1.063947078280044</v>
      </c>
      <c r="L17" s="156">
        <f>'5a'!L17/'5b'!$D17*100</f>
        <v>0.84895259095920605</v>
      </c>
      <c r="M17" s="170">
        <f>'5a'!M17/'5b'!$D17*100</f>
        <v>2.7140757074604926</v>
      </c>
    </row>
    <row r="18" spans="1:13">
      <c r="A18" s="57" t="s">
        <v>18</v>
      </c>
      <c r="B18" s="169">
        <f>'5a'!B18/'5b'!$B18*100</f>
        <v>0.55303030303030298</v>
      </c>
      <c r="C18" s="156">
        <f>'5a'!C18/'5b'!$B18*100</f>
        <v>1.1363636363636365</v>
      </c>
      <c r="D18" s="156">
        <f>'5a'!D18/'5b'!$B18*100</f>
        <v>5.5757575757575752</v>
      </c>
      <c r="E18" s="170">
        <f>'5a'!E18/'5b'!$B18*100</f>
        <v>7.2651515151515147</v>
      </c>
      <c r="F18" s="216">
        <f>'5a'!F18/'5b'!$C18*100</f>
        <v>1.0886699507389164</v>
      </c>
      <c r="G18" s="143">
        <f>'5a'!G18/'5b'!$C18*100</f>
        <v>1.6206896551724137</v>
      </c>
      <c r="H18" s="143">
        <f>'5a'!H18/'5b'!$C18*100</f>
        <v>1.0886699507389164</v>
      </c>
      <c r="I18" s="217">
        <f>'5a'!I18/'5b'!$C18*100</f>
        <v>3.798029556650246</v>
      </c>
      <c r="J18" s="156">
        <f>'5a'!J18/'5b'!$D18*100</f>
        <v>0.8281176450077582</v>
      </c>
      <c r="K18" s="156">
        <f>'5a'!K18/'5b'!$D18*100</f>
        <v>1.121009780505239</v>
      </c>
      <c r="L18" s="156">
        <f>'5a'!L18/'5b'!$D18*100</f>
        <v>0.8490385118290068</v>
      </c>
      <c r="M18" s="170">
        <f>'5a'!M18/'5b'!$D18*100</f>
        <v>2.798165937342004</v>
      </c>
    </row>
    <row r="19" spans="1:13">
      <c r="A19" s="57" t="s">
        <v>19</v>
      </c>
      <c r="B19" s="169">
        <f>'5a'!B19/'5b'!$B19*100</f>
        <v>0.65068493150684936</v>
      </c>
      <c r="C19" s="156">
        <f>'5a'!C19/'5b'!$B19*100</f>
        <v>1.4452054794520548</v>
      </c>
      <c r="D19" s="156">
        <f>'5a'!D19/'5b'!$B19*100</f>
        <v>7.0273972602739727</v>
      </c>
      <c r="E19" s="170">
        <f>'5a'!E19/'5b'!$B19*100</f>
        <v>9.1232876712328768</v>
      </c>
      <c r="F19" s="216">
        <f>'5a'!F19/'5b'!$C19*100</f>
        <v>1.300469483568075</v>
      </c>
      <c r="G19" s="143">
        <f>'5a'!G19/'5b'!$C19*100</f>
        <v>1.9107981220657277</v>
      </c>
      <c r="H19" s="143">
        <f>'5a'!H19/'5b'!$C19*100</f>
        <v>1.267605633802817</v>
      </c>
      <c r="I19" s="217">
        <f>'5a'!I19/'5b'!$C19*100</f>
        <v>4.47887323943662</v>
      </c>
      <c r="J19" s="156">
        <f>'5a'!J19/'5b'!$D19*100</f>
        <v>0.84805307276262687</v>
      </c>
      <c r="K19" s="156">
        <f>'5a'!K19/'5b'!$D19*100</f>
        <v>1.1160313077011061</v>
      </c>
      <c r="L19" s="156">
        <f>'5a'!L19/'5b'!$D19*100</f>
        <v>0.92811974051863599</v>
      </c>
      <c r="M19" s="170">
        <f>'5a'!M19/'5b'!$D19*100</f>
        <v>2.892204120982369</v>
      </c>
    </row>
    <row r="20" spans="1:13">
      <c r="A20" s="57" t="s">
        <v>20</v>
      </c>
      <c r="B20" s="169">
        <f>'5a'!B20/'5b'!$B20*100</f>
        <v>1.2467532467532467</v>
      </c>
      <c r="C20" s="156">
        <f>'5a'!C20/'5b'!$B20*100</f>
        <v>2.3419913419913421</v>
      </c>
      <c r="D20" s="156">
        <f>'5a'!D20/'5b'!$B20*100</f>
        <v>13.166666666666666</v>
      </c>
      <c r="E20" s="170">
        <f>'5a'!E20/'5b'!$B20*100</f>
        <v>16.755411255411257</v>
      </c>
      <c r="F20" s="216">
        <f>'5a'!F20/'5b'!$C20*100</f>
        <v>1.5023696682464454</v>
      </c>
      <c r="G20" s="143">
        <f>'5a'!G20/'5b'!$C20*100</f>
        <v>1.6919431279620853</v>
      </c>
      <c r="H20" s="143">
        <f>'5a'!H20/'5b'!$C20*100</f>
        <v>1.18957345971564</v>
      </c>
      <c r="I20" s="217">
        <f>'5a'!I20/'5b'!$C20*100</f>
        <v>4.3838862559241711</v>
      </c>
      <c r="J20" s="156">
        <f>'5a'!J20/'5b'!$D20*100</f>
        <v>1.0202492211838006</v>
      </c>
      <c r="K20" s="156">
        <f>'5a'!K20/'5b'!$D20*100</f>
        <v>1.161993769470405</v>
      </c>
      <c r="L20" s="156">
        <f>'5a'!L20/'5b'!$D20*100</f>
        <v>0.9890965732087228</v>
      </c>
      <c r="M20" s="170">
        <f>'5a'!M20/'5b'!$D20*100</f>
        <v>3.1713395638629285</v>
      </c>
    </row>
    <row r="21" spans="1:13">
      <c r="A21" s="57" t="s">
        <v>21</v>
      </c>
      <c r="B21" s="169">
        <f>'5a'!B21/'5b'!$B21*100</f>
        <v>1.5906183368869935</v>
      </c>
      <c r="C21" s="156">
        <f>'5a'!C21/'5b'!$B21*100</f>
        <v>3.0810234541577826</v>
      </c>
      <c r="D21" s="156">
        <f>'5a'!D21/'5b'!$B21*100</f>
        <v>16.420042643923242</v>
      </c>
      <c r="E21" s="170">
        <f>'5a'!E21/'5b'!$B21*100</f>
        <v>21.091684434968016</v>
      </c>
      <c r="F21" s="216">
        <f>'5a'!F21/'5b'!$C21*100</f>
        <v>1.4354066985645932</v>
      </c>
      <c r="G21" s="143">
        <f>'5a'!G21/'5b'!$C21*100</f>
        <v>1.6985645933014353</v>
      </c>
      <c r="H21" s="143">
        <f>'5a'!H21/'5b'!$C21*100</f>
        <v>1.1913875598086126</v>
      </c>
      <c r="I21" s="217">
        <f>'5a'!I21/'5b'!$C21*100</f>
        <v>4.3253588516746415</v>
      </c>
      <c r="J21" s="156">
        <f>'5a'!J21/'5b'!$D21*100</f>
        <v>1.0583330886886064</v>
      </c>
      <c r="K21" s="156">
        <f>'5a'!K21/'5b'!$D21*100</f>
        <v>1.2550274491383613</v>
      </c>
      <c r="L21" s="156">
        <f>'5a'!L21/'5b'!$D21*100</f>
        <v>1.0392507999882572</v>
      </c>
      <c r="M21" s="170">
        <f>'5a'!M21/'5b'!$D21*100</f>
        <v>3.3526113378152247</v>
      </c>
    </row>
    <row r="22" spans="1:13">
      <c r="A22" s="57" t="s">
        <v>22</v>
      </c>
      <c r="B22" s="169">
        <f>'5a'!B22/'5b'!$B22*100</f>
        <v>2.1007462686567164</v>
      </c>
      <c r="C22" s="156">
        <f>'5a'!C22/'5b'!$B22*100</f>
        <v>4.0932835820895521</v>
      </c>
      <c r="D22" s="156">
        <f>'5a'!D22/'5b'!$B22*100</f>
        <v>18.932835820895523</v>
      </c>
      <c r="E22" s="170">
        <f>'5a'!E22/'5b'!$B22*100</f>
        <v>25.126865671641792</v>
      </c>
      <c r="F22" s="216">
        <f>'5a'!F22/'5b'!$C22*100</f>
        <v>1.3451776649746192</v>
      </c>
      <c r="G22" s="143">
        <f>'5a'!G22/'5b'!$C22*100</f>
        <v>1.7563451776649746</v>
      </c>
      <c r="H22" s="143">
        <f>'5a'!H22/'5b'!$C22*100</f>
        <v>1.0456852791878173</v>
      </c>
      <c r="I22" s="217">
        <f>'5a'!I22/'5b'!$C22*100</f>
        <v>4.1472081218274113</v>
      </c>
      <c r="J22" s="156">
        <f>'5a'!J22/'5b'!$D22*100</f>
        <v>1.1140145784623847</v>
      </c>
      <c r="K22" s="156">
        <f>'5a'!K22/'5b'!$D22*100</f>
        <v>1.4784761380827947</v>
      </c>
      <c r="L22" s="156">
        <f>'5a'!L22/'5b'!$D22*100</f>
        <v>1.1002613120616147</v>
      </c>
      <c r="M22" s="170">
        <f>'5a'!M22/'5b'!$D22*100</f>
        <v>3.6927520286067939</v>
      </c>
    </row>
    <row r="23" spans="1:13">
      <c r="A23" s="57" t="s">
        <v>23</v>
      </c>
      <c r="B23" s="169">
        <f>'5a'!B23/'5b'!$B23*100</f>
        <v>2.1278625954198471</v>
      </c>
      <c r="C23" s="156">
        <f>'5a'!C23/'5b'!$B23*100</f>
        <v>3.9427480916030535</v>
      </c>
      <c r="D23" s="156">
        <f>'5a'!D23/'5b'!$B23*100</f>
        <v>17.482824427480917</v>
      </c>
      <c r="E23" s="170">
        <f>'5a'!E23/'5b'!$B23*100</f>
        <v>23.553435114503817</v>
      </c>
      <c r="F23" s="216">
        <f>'5a'!F23/'5b'!$C23*100</f>
        <v>1.5141509433962264</v>
      </c>
      <c r="G23" s="143">
        <f>'5a'!G23/'5b'!$C23*100</f>
        <v>2.0471698113207548</v>
      </c>
      <c r="H23" s="143">
        <f>'5a'!H23/'5b'!$C23*100</f>
        <v>1.1933962264150944</v>
      </c>
      <c r="I23" s="217">
        <f>'5a'!I23/'5b'!$C23*100</f>
        <v>4.7547169811320753</v>
      </c>
      <c r="J23" s="156">
        <f>'5a'!J23/'5b'!$D23*100</f>
        <v>1.1319920981493032</v>
      </c>
      <c r="K23" s="156">
        <f>'5a'!K23/'5b'!$D23*100</f>
        <v>1.6375545851528384</v>
      </c>
      <c r="L23" s="156">
        <f>'5a'!L23/'5b'!$D23*100</f>
        <v>1.1319920981493032</v>
      </c>
      <c r="M23" s="170">
        <f>'5a'!M23/'5b'!$D23*100</f>
        <v>3.9015387814514453</v>
      </c>
    </row>
    <row r="24" spans="1:13">
      <c r="A24" s="57" t="s">
        <v>24</v>
      </c>
      <c r="B24" s="169">
        <f>'5a'!B24/'5b'!$B24*100</f>
        <v>1.3572744014732965</v>
      </c>
      <c r="C24" s="156">
        <f>'5a'!C24/'5b'!$B24*100</f>
        <v>2.8839779005524862</v>
      </c>
      <c r="D24" s="156">
        <f>'5a'!D24/'5b'!$B24*100</f>
        <v>11.292817679558011</v>
      </c>
      <c r="E24" s="170">
        <f>'5a'!E24/'5b'!$B24*100</f>
        <v>15.534069981583793</v>
      </c>
      <c r="F24" s="216">
        <f>'5a'!F24/'5b'!$C24*100</f>
        <v>1.2798165137614679</v>
      </c>
      <c r="G24" s="143">
        <f>'5a'!G24/'5b'!$C24*100</f>
        <v>2.1926605504587156</v>
      </c>
      <c r="H24" s="143">
        <f>'5a'!H24/'5b'!$C24*100</f>
        <v>1.2477064220183485</v>
      </c>
      <c r="I24" s="217">
        <f>'5a'!I24/'5b'!$C24*100</f>
        <v>4.7201834862385317</v>
      </c>
      <c r="J24" s="156">
        <f>'5a'!J24/'5b'!$D24*100</f>
        <v>1.1720083906532026</v>
      </c>
      <c r="K24" s="156">
        <f>'5a'!K24/'5b'!$D24*100</f>
        <v>1.9183862627445241</v>
      </c>
      <c r="L24" s="156">
        <f>'5a'!L24/'5b'!$D24*100</f>
        <v>1.2037172545002195</v>
      </c>
      <c r="M24" s="170">
        <f>'5a'!M24/'5b'!$D24*100</f>
        <v>4.2941119078979462</v>
      </c>
    </row>
    <row r="25" spans="1:13">
      <c r="A25" s="57" t="s">
        <v>25</v>
      </c>
      <c r="B25" s="169">
        <f>'5a'!B25/'5b'!$B25*100</f>
        <v>1.7740112994350281</v>
      </c>
      <c r="C25" s="156">
        <f>'5a'!C25/'5b'!$B25*100</f>
        <v>4.2429378531073443</v>
      </c>
      <c r="D25" s="156">
        <f>'5a'!D25/'5b'!$B25*100</f>
        <v>16.171374764595104</v>
      </c>
      <c r="E25" s="170">
        <f>'5a'!E25/'5b'!$B25*100</f>
        <v>22.188323917137474</v>
      </c>
      <c r="F25" s="216">
        <f>'5a'!F25/'5b'!$C25*100</f>
        <v>0.60526315789473684</v>
      </c>
      <c r="G25" s="143">
        <f>'5a'!G25/'5b'!$C25*100</f>
        <v>1.0350877192982455</v>
      </c>
      <c r="H25" s="143">
        <f>'5a'!H25/'5b'!$C25*100</f>
        <v>0.69736842105263164</v>
      </c>
      <c r="I25" s="217">
        <f>'5a'!I25/'5b'!$C25*100</f>
        <v>2.3377192982456139</v>
      </c>
      <c r="J25" s="156">
        <f>'5a'!J25/'5b'!$D25*100</f>
        <v>1.164135025926901</v>
      </c>
      <c r="K25" s="156">
        <f>'5a'!K25/'5b'!$D25*100</f>
        <v>2.111926374469157</v>
      </c>
      <c r="L25" s="156">
        <f>'5a'!L25/'5b'!$D25*100</f>
        <v>1.4113849429379242</v>
      </c>
      <c r="M25" s="170">
        <f>'5a'!M25/'5b'!$D25*100</f>
        <v>4.6874463433339821</v>
      </c>
    </row>
    <row r="26" spans="1:13">
      <c r="A26" s="57" t="s">
        <v>26</v>
      </c>
      <c r="B26" s="169">
        <f>'5a'!B26/'5b'!$B26*100</f>
        <v>1.5508849557522124</v>
      </c>
      <c r="C26" s="156">
        <f>'5a'!C26/'5b'!$B26*100</f>
        <v>4.3761061946902657</v>
      </c>
      <c r="D26" s="156">
        <f>'5a'!D26/'5b'!$B26*100</f>
        <v>16.234513274336283</v>
      </c>
      <c r="E26" s="170">
        <f>'5a'!E26/'5b'!$B26*100</f>
        <v>22.161504424778762</v>
      </c>
      <c r="F26" s="216">
        <f>'5a'!F26/'5b'!$C26*100</f>
        <v>0.32300884955752213</v>
      </c>
      <c r="G26" s="143">
        <f>'5a'!G26/'5b'!$C26*100</f>
        <v>0.58849557522123896</v>
      </c>
      <c r="H26" s="143">
        <f>'5a'!H26/'5b'!$C26*100</f>
        <v>0.51769911504424782</v>
      </c>
      <c r="I26" s="217">
        <f>'5a'!I26/'5b'!$C26*100</f>
        <v>1.429203539823009</v>
      </c>
      <c r="J26" s="156">
        <f>'5a'!J26/'5b'!$D26*100</f>
        <v>0.95108092511208775</v>
      </c>
      <c r="K26" s="156">
        <f>'5a'!K26/'5b'!$D26*100</f>
        <v>2.0708483153549078</v>
      </c>
      <c r="L26" s="156">
        <f>'5a'!L26/'5b'!$D26*100</f>
        <v>1.2107692990633463</v>
      </c>
      <c r="M26" s="170">
        <f>'5a'!M26/'5b'!$D26*100</f>
        <v>4.2326985395303414</v>
      </c>
    </row>
    <row r="27" spans="1:13">
      <c r="A27" s="57" t="s">
        <v>27</v>
      </c>
      <c r="B27" s="169">
        <f>'5a'!B27/'5b'!$B27*100</f>
        <v>0.35683760683760685</v>
      </c>
      <c r="C27" s="156">
        <f>'5a'!C27/'5b'!$B27*100</f>
        <v>0.73717948717948711</v>
      </c>
      <c r="D27" s="156">
        <f>'5a'!D27/'5b'!$B27*100</f>
        <v>2.608974358974359</v>
      </c>
      <c r="E27" s="170">
        <f>'5a'!E27/'5b'!$B27*100</f>
        <v>3.7029914529914532</v>
      </c>
      <c r="F27" s="216">
        <f>'5a'!F27/'5b'!$C27*100</f>
        <v>0.22580645161290325</v>
      </c>
      <c r="G27" s="143">
        <f>'5a'!G27/'5b'!$C27*100</f>
        <v>0.43317972350230421</v>
      </c>
      <c r="H27" s="143">
        <f>'5a'!H27/'5b'!$C27*100</f>
        <v>0.5161290322580645</v>
      </c>
      <c r="I27" s="217">
        <f>'5a'!I27/'5b'!$C27*100</f>
        <v>1.1751152073732718</v>
      </c>
      <c r="J27" s="156">
        <f>'5a'!J27/'5b'!$D27*100</f>
        <v>0.83429321908001686</v>
      </c>
      <c r="K27" s="156">
        <f>'5a'!K27/'5b'!$D27*100</f>
        <v>1.9700085044082976</v>
      </c>
      <c r="L27" s="156">
        <f>'5a'!L27/'5b'!$D27*100</f>
        <v>0.90103667660641817</v>
      </c>
      <c r="M27" s="170">
        <f>'5a'!M27/'5b'!$D27*100</f>
        <v>3.7053384000947327</v>
      </c>
    </row>
    <row r="28" spans="1:13">
      <c r="A28" s="57" t="s">
        <v>28</v>
      </c>
      <c r="B28" s="169">
        <f>'5a'!B28/'5b'!$B28*100</f>
        <v>0.26127819548872183</v>
      </c>
      <c r="C28" s="156">
        <f>'5a'!C28/'5b'!$B28*100</f>
        <v>0.57330827067669177</v>
      </c>
      <c r="D28" s="156">
        <f>'5a'!D28/'5b'!$B28*100</f>
        <v>2.0921052631578947</v>
      </c>
      <c r="E28" s="170">
        <f>'5a'!E28/'5b'!$B28*100</f>
        <v>2.9266917293233083</v>
      </c>
      <c r="F28" s="216">
        <f>'5a'!F28/'5b'!$C28*100</f>
        <v>0.24675324675324678</v>
      </c>
      <c r="G28" s="143">
        <f>'5a'!G28/'5b'!$C28*100</f>
        <v>0.48917748917748916</v>
      </c>
      <c r="H28" s="143">
        <f>'5a'!H28/'5b'!$C28*100</f>
        <v>0.58441558441558439</v>
      </c>
      <c r="I28" s="217">
        <f>'5a'!I28/'5b'!$C28*100</f>
        <v>1.3203463203463204</v>
      </c>
      <c r="J28" s="156">
        <f>'5a'!J28/'5b'!$D28*100</f>
        <v>0.77676704200105084</v>
      </c>
      <c r="K28" s="156">
        <f>'5a'!K28/'5b'!$D28*100</f>
        <v>1.9707630654482895</v>
      </c>
      <c r="L28" s="156">
        <f>'5a'!L28/'5b'!$D28*100</f>
        <v>0.83857874295604151</v>
      </c>
      <c r="M28" s="170">
        <f>'5a'!M28/'5b'!$D28*100</f>
        <v>3.586108850405382</v>
      </c>
    </row>
    <row r="29" spans="1:13">
      <c r="A29" s="57" t="s">
        <v>29</v>
      </c>
      <c r="B29" s="169">
        <f>'5a'!B29/'5b'!$B29*100</f>
        <v>0.2210338680926916</v>
      </c>
      <c r="C29" s="156">
        <f>'5a'!C29/'5b'!$B29*100</f>
        <v>0.52584670231729058</v>
      </c>
      <c r="D29" s="156">
        <f>'5a'!D29/'5b'!$B29*100</f>
        <v>1.7468805704099821</v>
      </c>
      <c r="E29" s="170">
        <f>'5a'!E29/'5b'!$B29*100</f>
        <v>2.4937611408199643</v>
      </c>
      <c r="F29" s="216">
        <f>'5a'!F29/'5b'!$C29*100</f>
        <v>0.22222222222222221</v>
      </c>
      <c r="G29" s="143">
        <f>'5a'!G29/'5b'!$C29*100</f>
        <v>0.47325102880658432</v>
      </c>
      <c r="H29" s="143">
        <f>'5a'!H29/'5b'!$C29*100</f>
        <v>0.51851851851851849</v>
      </c>
      <c r="I29" s="217">
        <f>'5a'!I29/'5b'!$C29*100</f>
        <v>1.213991769547325</v>
      </c>
      <c r="J29" s="156">
        <f>'5a'!J29/'5b'!$D29*100</f>
        <v>0.75297711104237552</v>
      </c>
      <c r="K29" s="156">
        <f>'5a'!K29/'5b'!$D29*100</f>
        <v>1.9882848747293533</v>
      </c>
      <c r="L29" s="156">
        <f>'5a'!L29/'5b'!$D29*100</f>
        <v>0.8061398082276523</v>
      </c>
      <c r="M29" s="170">
        <f>'5a'!M29/'5b'!$D29*100</f>
        <v>3.5474017939993816</v>
      </c>
    </row>
    <row r="30" spans="1:13">
      <c r="A30" s="57" t="s">
        <v>30</v>
      </c>
      <c r="B30" s="169">
        <f>'5a'!B30/'5b'!$B30*100</f>
        <v>0.17594254937163376</v>
      </c>
      <c r="C30" s="156">
        <f>'5a'!C30/'5b'!$B30*100</f>
        <v>0.46140035906642729</v>
      </c>
      <c r="D30" s="156">
        <f>'5a'!D30/'5b'!$B30*100</f>
        <v>1.4165170556552964</v>
      </c>
      <c r="E30" s="170">
        <f>'5a'!E30/'5b'!$B30*100</f>
        <v>2.0538599640933572</v>
      </c>
      <c r="F30" s="216">
        <f>'5a'!F30/'5b'!$C30*100</f>
        <v>0.19629629629629627</v>
      </c>
      <c r="G30" s="143">
        <f>'5a'!G30/'5b'!$C30*100</f>
        <v>0.44444444444444442</v>
      </c>
      <c r="H30" s="143">
        <f>'5a'!H30/'5b'!$C30*100</f>
        <v>0.45185185185185189</v>
      </c>
      <c r="I30" s="217">
        <f>'5a'!I30/'5b'!$C30*100</f>
        <v>1.0925925925925926</v>
      </c>
      <c r="J30" s="156">
        <f>'5a'!J30/'5b'!$D30*100</f>
        <v>0.69402288644662091</v>
      </c>
      <c r="K30" s="156">
        <f>'5a'!K30/'5b'!$D30*100</f>
        <v>1.9751565175634904</v>
      </c>
      <c r="L30" s="156">
        <f>'5a'!L30/'5b'!$D30*100</f>
        <v>0.7538212030334055</v>
      </c>
      <c r="M30" s="170">
        <f>'5a'!M30/'5b'!$D30*100</f>
        <v>3.4230006070435173</v>
      </c>
    </row>
    <row r="31" spans="1:13">
      <c r="A31" s="57" t="s">
        <v>31</v>
      </c>
      <c r="B31" s="169">
        <f>'5a'!B31/'5b'!$B31*100</f>
        <v>0.16247906197654943</v>
      </c>
      <c r="C31" s="156">
        <f>'5a'!C31/'5b'!$B31*100</f>
        <v>0.40703517587939703</v>
      </c>
      <c r="D31" s="156">
        <f>'5a'!D31/'5b'!$B31*100</f>
        <v>1.2060301507537687</v>
      </c>
      <c r="E31" s="170">
        <f>'5a'!E31/'5b'!$B31*100</f>
        <v>1.7755443886097153</v>
      </c>
      <c r="F31" s="216">
        <f>'5a'!F31/'5b'!$C31*100</f>
        <v>0.21895424836601307</v>
      </c>
      <c r="G31" s="143">
        <f>'5a'!G31/'5b'!$C31*100</f>
        <v>0.44444444444444442</v>
      </c>
      <c r="H31" s="143">
        <f>'5a'!H31/'5b'!$C31*100</f>
        <v>0.44771241830065361</v>
      </c>
      <c r="I31" s="217">
        <f>'5a'!I31/'5b'!$C31*100</f>
        <v>1.1111111111111112</v>
      </c>
      <c r="J31" s="156">
        <f>'5a'!J31/'5b'!$D31*100</f>
        <v>0.70370813192819448</v>
      </c>
      <c r="K31" s="156">
        <f>'5a'!K31/'5b'!$D31*100</f>
        <v>1.9625258339453773</v>
      </c>
      <c r="L31" s="156">
        <f>'5a'!L31/'5b'!$D31*100</f>
        <v>0.77886142757101129</v>
      </c>
      <c r="M31" s="170">
        <f>'5a'!M31/'5b'!$D31*100</f>
        <v>3.4450953934445834</v>
      </c>
    </row>
    <row r="32" spans="1:13">
      <c r="A32" s="57" t="s">
        <v>32</v>
      </c>
      <c r="B32" s="169">
        <f>'5a'!B32/'5b'!$B32*100</f>
        <v>0.27242524916943522</v>
      </c>
      <c r="C32" s="156">
        <f>'5a'!C32/'5b'!$B32*100</f>
        <v>0.68272425249169433</v>
      </c>
      <c r="D32" s="156">
        <f>'5a'!D32/'5b'!$B32*100</f>
        <v>2.1461794019933556</v>
      </c>
      <c r="E32" s="170">
        <f>'5a'!E32/'5b'!$B32*100</f>
        <v>3.1013289036544851</v>
      </c>
      <c r="F32" s="216">
        <f>'5a'!F32/'5b'!$C32*100</f>
        <v>0.28706624605678233</v>
      </c>
      <c r="G32" s="143">
        <f>'5a'!G32/'5b'!$C32*100</f>
        <v>0.58990536277602523</v>
      </c>
      <c r="H32" s="143">
        <f>'5a'!H32/'5b'!$C32*100</f>
        <v>0.63091482649842268</v>
      </c>
      <c r="I32" s="217">
        <f>'5a'!I32/'5b'!$C32*100</f>
        <v>1.5078864353312302</v>
      </c>
      <c r="J32" s="156">
        <f>'5a'!J32/'5b'!$D32*100</f>
        <v>0.68873891497130935</v>
      </c>
      <c r="K32" s="156">
        <f>'5a'!K32/'5b'!$D32*100</f>
        <v>1.9969353155972875</v>
      </c>
      <c r="L32" s="156">
        <f>'5a'!L32/'5b'!$D32*100</f>
        <v>0.81018518518518512</v>
      </c>
      <c r="M32" s="170">
        <f>'5a'!M32/'5b'!$D32*100</f>
        <v>3.4958594157537819</v>
      </c>
    </row>
    <row r="33" spans="1:13">
      <c r="A33" s="57" t="s">
        <v>33</v>
      </c>
      <c r="B33" s="169">
        <f>'5a'!B33/'5b'!$B33*100</f>
        <v>0.28547579298831388</v>
      </c>
      <c r="C33" s="156">
        <f>'5a'!C33/'5b'!$B33*100</f>
        <v>0.72954924874791316</v>
      </c>
      <c r="D33" s="156">
        <f>'5a'!D33/'5b'!$B33*100</f>
        <v>1.9916527545909848</v>
      </c>
      <c r="E33" s="170">
        <f>'5a'!E33/'5b'!$B33*100</f>
        <v>3.006677796327212</v>
      </c>
      <c r="F33" s="216">
        <f>'5a'!F33/'5b'!$C33*100</f>
        <v>0.30769230769230771</v>
      </c>
      <c r="G33" s="143">
        <f>'5a'!G33/'5b'!$C33*100</f>
        <v>0.62393162393162394</v>
      </c>
      <c r="H33" s="143">
        <f>'5a'!H33/'5b'!$C33*100</f>
        <v>0.58404558404558404</v>
      </c>
      <c r="I33" s="217">
        <f>'5a'!I33/'5b'!$C33*100</f>
        <v>1.5156695156695157</v>
      </c>
      <c r="J33" s="156">
        <f>'5a'!J33/'5b'!$D33*100</f>
        <v>0.66253387043603418</v>
      </c>
      <c r="K33" s="156">
        <f>'5a'!K33/'5b'!$D33*100</f>
        <v>2.0680062072348053</v>
      </c>
      <c r="L33" s="156">
        <f>'5a'!L33/'5b'!$D33*100</f>
        <v>0.71399281182912411</v>
      </c>
      <c r="M33" s="170">
        <f>'5a'!M33/'5b'!$D33*100</f>
        <v>3.4445328894999641</v>
      </c>
    </row>
    <row r="34" spans="1:13">
      <c r="A34" s="57" t="s">
        <v>34</v>
      </c>
      <c r="B34" s="169">
        <f>'5a'!B34/'5b'!$B34*100</f>
        <v>0.22185430463576161</v>
      </c>
      <c r="C34" s="156">
        <f>'5a'!C34/'5b'!$B34*100</f>
        <v>0.59933774834437092</v>
      </c>
      <c r="D34" s="156">
        <f>'5a'!D34/'5b'!$B34*100</f>
        <v>1.4834437086092715</v>
      </c>
      <c r="E34" s="170">
        <f>'5a'!E34/'5b'!$B34*100</f>
        <v>2.3046357615894042</v>
      </c>
      <c r="F34" s="216">
        <f>'5a'!F34/'5b'!$C34*100</f>
        <v>0.2736156351791531</v>
      </c>
      <c r="G34" s="143">
        <f>'5a'!G34/'5b'!$C34*100</f>
        <v>0.5667752442996743</v>
      </c>
      <c r="H34" s="143">
        <f>'5a'!H34/'5b'!$C34*100</f>
        <v>0.48859934853420189</v>
      </c>
      <c r="I34" s="217">
        <f>'5a'!I34/'5b'!$C34*100</f>
        <v>1.3289902280130292</v>
      </c>
      <c r="J34" s="156">
        <f>'5a'!J34/'5b'!$D34*100</f>
        <v>0.60991338065085166</v>
      </c>
      <c r="K34" s="156">
        <f>'5a'!K34/'5b'!$D34*100</f>
        <v>2.106822209833501</v>
      </c>
      <c r="L34" s="156">
        <f>'5a'!L34/'5b'!$D34*100</f>
        <v>0.64402859020976699</v>
      </c>
      <c r="M34" s="170">
        <f>'5a'!M34/'5b'!$D34*100</f>
        <v>3.3607641806941193</v>
      </c>
    </row>
    <row r="35" spans="1:13">
      <c r="A35" s="58" t="s">
        <v>35</v>
      </c>
      <c r="B35" s="192">
        <f>'5a'!B35/'5b'!$B35*100</f>
        <v>0.26066350710900477</v>
      </c>
      <c r="C35" s="157">
        <f>'5a'!C35/'5b'!$B35*100</f>
        <v>0.58293838862559244</v>
      </c>
      <c r="D35" s="157">
        <f>'5a'!D35/'5b'!$B35*100</f>
        <v>1.5323854660347551</v>
      </c>
      <c r="E35" s="207">
        <f>'5a'!E35/'5b'!$B35*100</f>
        <v>2.3759873617693521</v>
      </c>
      <c r="F35" s="234">
        <f>'5a'!F35/'5b'!$C35*100</f>
        <v>0.32087227414330222</v>
      </c>
      <c r="G35" s="215">
        <f>'5a'!G35/'5b'!$C35*100</f>
        <v>0.55140186915887857</v>
      </c>
      <c r="H35" s="215">
        <f>'5a'!H35/'5b'!$C35*100</f>
        <v>0.50467289719626163</v>
      </c>
      <c r="I35" s="235">
        <f>'5a'!I35/'5b'!$C35*100</f>
        <v>1.3769470404984423</v>
      </c>
      <c r="J35" s="157">
        <f>'5a'!J35/'5b'!$D35*100</f>
        <v>0.72463768115942029</v>
      </c>
      <c r="K35" s="157">
        <f>'5a'!K35/'5b'!$D35*100</f>
        <v>2.0536709667144448</v>
      </c>
      <c r="L35" s="157">
        <f>'5a'!L35/'5b'!$D35*100</f>
        <v>0.66730371078197159</v>
      </c>
      <c r="M35" s="207">
        <f>'5a'!M35/'5b'!$D35*100</f>
        <v>3.4456123586558371</v>
      </c>
    </row>
    <row r="37" spans="1:13">
      <c r="A37" s="389" t="s">
        <v>52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15" t="s">
        <v>53</v>
      </c>
      <c r="B38" s="82">
        <f>(POWER(B15/B6,1/($A15-$A6))-1)*100</f>
        <v>-6.8630750811656931</v>
      </c>
      <c r="C38" s="83">
        <f t="shared" ref="C38:M38" si="0">(POWER(C15/C6,1/($A15-$A6))-1)*100</f>
        <v>-1.0355288701656806</v>
      </c>
      <c r="D38" s="83">
        <f t="shared" si="0"/>
        <v>25.28310642342624</v>
      </c>
      <c r="E38" s="84">
        <f t="shared" si="0"/>
        <v>8.1109350662104127</v>
      </c>
      <c r="F38" s="82">
        <f t="shared" si="0"/>
        <v>10.314673898322413</v>
      </c>
      <c r="G38" s="83">
        <f t="shared" si="0"/>
        <v>34.911853892168935</v>
      </c>
      <c r="H38" s="83">
        <f t="shared" si="0"/>
        <v>0.26262136657193569</v>
      </c>
      <c r="I38" s="84">
        <f t="shared" si="0"/>
        <v>3.2148822420367429</v>
      </c>
      <c r="J38" s="83">
        <f t="shared" si="0"/>
        <v>2.2439249455823651</v>
      </c>
      <c r="K38" s="83">
        <f t="shared" si="0"/>
        <v>9.0567055425802003</v>
      </c>
      <c r="L38" s="83">
        <f t="shared" si="0"/>
        <v>-1.1771605902804683</v>
      </c>
      <c r="M38" s="84">
        <f t="shared" si="0"/>
        <v>2.6644017122948283</v>
      </c>
    </row>
    <row r="39" spans="1:13">
      <c r="A39" s="16" t="s">
        <v>71</v>
      </c>
      <c r="B39" s="37">
        <f>(POWER(B$25/B15,1/($A$25-$A$15))-1)*100</f>
        <v>14.609663517776038</v>
      </c>
      <c r="C39" s="72">
        <f t="shared" ref="C39:M39" si="1">(POWER(C$25/C15,1/($A$25-$A$15))-1)*100</f>
        <v>18.609478540689217</v>
      </c>
      <c r="D39" s="72">
        <f t="shared" si="1"/>
        <v>18.273091023620246</v>
      </c>
      <c r="E39" s="139">
        <f t="shared" si="1"/>
        <v>17.990509365181385</v>
      </c>
      <c r="F39" s="76">
        <f t="shared" si="1"/>
        <v>8.4547850457948215</v>
      </c>
      <c r="G39" s="72">
        <f t="shared" si="1"/>
        <v>14.206807718827296</v>
      </c>
      <c r="H39" s="72">
        <f t="shared" si="1"/>
        <v>-5.6077530856671114</v>
      </c>
      <c r="I39" s="139">
        <f t="shared" si="1"/>
        <v>2.7345971430473348</v>
      </c>
      <c r="J39" s="72">
        <f t="shared" si="1"/>
        <v>4.1811309801615071</v>
      </c>
      <c r="K39" s="72">
        <f t="shared" si="1"/>
        <v>8.2815950950343655</v>
      </c>
      <c r="L39" s="72">
        <f>(POWER(L$25/L15,1/($A$25-$A$15))-1)*100</f>
        <v>4.5437723592713919</v>
      </c>
      <c r="M39" s="139">
        <f t="shared" si="1"/>
        <v>5.9452663264641048</v>
      </c>
    </row>
    <row r="40" spans="1:13">
      <c r="A40" s="16" t="s">
        <v>69</v>
      </c>
      <c r="B40" s="37">
        <f>(POWER(B$35/B25,1/($A$35-$A$25))-1)*100</f>
        <v>-17.450891909615873</v>
      </c>
      <c r="C40" s="72">
        <f t="shared" ref="C40:M40" si="2">(POWER(C$35/C25,1/($A$35-$A$25))-1)*100</f>
        <v>-18.003446470025885</v>
      </c>
      <c r="D40" s="72">
        <f t="shared" si="2"/>
        <v>-20.993630011645013</v>
      </c>
      <c r="E40" s="139">
        <f t="shared" si="2"/>
        <v>-20.021737888771995</v>
      </c>
      <c r="F40" s="76">
        <f t="shared" si="2"/>
        <v>-6.1490235940432463</v>
      </c>
      <c r="G40" s="72">
        <f t="shared" si="2"/>
        <v>-6.1035640842228904</v>
      </c>
      <c r="H40" s="72">
        <f t="shared" si="2"/>
        <v>-3.1822979605546142</v>
      </c>
      <c r="I40" s="139">
        <f t="shared" si="2"/>
        <v>-5.1554265944908639</v>
      </c>
      <c r="J40" s="72">
        <f t="shared" si="2"/>
        <v>-4.6300059075361277</v>
      </c>
      <c r="K40" s="72">
        <f t="shared" si="2"/>
        <v>-0.27932513398440939</v>
      </c>
      <c r="L40" s="72">
        <f t="shared" si="2"/>
        <v>-7.2171291837858975</v>
      </c>
      <c r="M40" s="139">
        <f t="shared" si="2"/>
        <v>-3.0309790644379886</v>
      </c>
    </row>
    <row r="41" spans="1:13">
      <c r="A41" s="17" t="s">
        <v>70</v>
      </c>
      <c r="B41" s="39">
        <f>(POWER(B35/B6,1/($A$35-$A$6))-1)*100</f>
        <v>-4.033779951899108</v>
      </c>
      <c r="C41" s="74">
        <f t="shared" ref="C41:M41" si="3">(POWER(C35/C6,1/($A$35-$A$6))-1)*100</f>
        <v>-1.2743995972692934</v>
      </c>
      <c r="D41" s="74">
        <f t="shared" si="3"/>
        <v>4.7670202845776055</v>
      </c>
      <c r="E41" s="137">
        <f t="shared" si="3"/>
        <v>0.42183951506979955</v>
      </c>
      <c r="F41" s="77">
        <f t="shared" si="3"/>
        <v>3.7246280776593643</v>
      </c>
      <c r="G41" s="74">
        <f t="shared" si="3"/>
        <v>12.414627925520927</v>
      </c>
      <c r="H41" s="74">
        <f t="shared" si="3"/>
        <v>-2.9785702225024635</v>
      </c>
      <c r="I41" s="137">
        <f t="shared" si="3"/>
        <v>8.7162942941887422E-2</v>
      </c>
      <c r="J41" s="74">
        <f t="shared" si="3"/>
        <v>0.4675285560759912</v>
      </c>
      <c r="K41" s="74">
        <f t="shared" si="3"/>
        <v>5.4828173334976693</v>
      </c>
      <c r="L41" s="74">
        <f t="shared" si="3"/>
        <v>-1.4082578509765686</v>
      </c>
      <c r="M41" s="137">
        <f t="shared" si="3"/>
        <v>1.7615250695700135</v>
      </c>
    </row>
    <row r="42" spans="1:13">
      <c r="A42" s="26"/>
      <c r="B42" s="34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13">
      <c r="A43" s="389" t="s">
        <v>77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0"/>
    </row>
    <row r="44" spans="1:13">
      <c r="A44" s="15" t="s">
        <v>53</v>
      </c>
      <c r="B44" s="35">
        <f>B15-B6</f>
        <v>-0.40661999624130796</v>
      </c>
      <c r="C44" s="73">
        <f t="shared" ref="C44:M44" si="4">C15-C6</f>
        <v>-7.5620184175906768E-2</v>
      </c>
      <c r="D44" s="73">
        <f t="shared" si="4"/>
        <v>2.6221105055440708</v>
      </c>
      <c r="E44" s="138">
        <f t="shared" si="4"/>
        <v>2.1398703251268558</v>
      </c>
      <c r="F44" s="75">
        <f t="shared" si="4"/>
        <v>0.1577060931899642</v>
      </c>
      <c r="G44" s="73">
        <f t="shared" si="4"/>
        <v>0.25567502986857826</v>
      </c>
      <c r="H44" s="73">
        <f t="shared" si="4"/>
        <v>2.8972520908004951E-2</v>
      </c>
      <c r="I44" s="138">
        <f t="shared" si="4"/>
        <v>0.44235364396654719</v>
      </c>
      <c r="J44" s="75">
        <f t="shared" si="4"/>
        <v>0.13992283747149559</v>
      </c>
      <c r="K44" s="73">
        <f t="shared" si="4"/>
        <v>0.51630831312339243</v>
      </c>
      <c r="L44" s="73">
        <f t="shared" si="4"/>
        <v>-0.10177904261850523</v>
      </c>
      <c r="M44" s="138">
        <f t="shared" si="4"/>
        <v>0.55445210797638333</v>
      </c>
    </row>
    <row r="45" spans="1:13">
      <c r="A45" s="16" t="s">
        <v>71</v>
      </c>
      <c r="B45" s="37">
        <f>B25-B15</f>
        <v>1.3203371780292774</v>
      </c>
      <c r="C45" s="72">
        <f t="shared" ref="C45:M45" si="5">C25-C15</f>
        <v>3.4729698019891333</v>
      </c>
      <c r="D45" s="72">
        <f t="shared" si="5"/>
        <v>13.152205435521621</v>
      </c>
      <c r="E45" s="139">
        <f t="shared" si="5"/>
        <v>17.94551241554003</v>
      </c>
      <c r="F45" s="76">
        <f t="shared" si="5"/>
        <v>0.33644595359366153</v>
      </c>
      <c r="G45" s="72">
        <f t="shared" si="5"/>
        <v>0.76089417091114875</v>
      </c>
      <c r="H45" s="72">
        <f t="shared" si="5"/>
        <v>-0.54456706281833611</v>
      </c>
      <c r="I45" s="139">
        <f t="shared" si="5"/>
        <v>0.55277306168647411</v>
      </c>
      <c r="J45" s="76">
        <f t="shared" si="5"/>
        <v>0.39125394149064374</v>
      </c>
      <c r="K45" s="72">
        <f t="shared" si="5"/>
        <v>1.1588398558379174</v>
      </c>
      <c r="L45" s="72">
        <f t="shared" si="5"/>
        <v>0.50635320675867979</v>
      </c>
      <c r="M45" s="139">
        <f t="shared" si="5"/>
        <v>2.0564470040872407</v>
      </c>
    </row>
    <row r="46" spans="1:13">
      <c r="A46" s="16" t="s">
        <v>69</v>
      </c>
      <c r="B46" s="37">
        <f>B35-B25</f>
        <v>-1.5133477923260235</v>
      </c>
      <c r="C46" s="72">
        <f t="shared" ref="C46:M46" si="6">C35-C25</f>
        <v>-3.6599994644817517</v>
      </c>
      <c r="D46" s="72">
        <f t="shared" si="6"/>
        <v>-14.638989298560348</v>
      </c>
      <c r="E46" s="139">
        <f t="shared" si="6"/>
        <v>-19.812336555368123</v>
      </c>
      <c r="F46" s="76">
        <f t="shared" si="6"/>
        <v>-0.28439088375143462</v>
      </c>
      <c r="G46" s="72">
        <f t="shared" si="6"/>
        <v>-0.48368585013936694</v>
      </c>
      <c r="H46" s="72">
        <f t="shared" si="6"/>
        <v>-0.19269552385637001</v>
      </c>
      <c r="I46" s="139">
        <f t="shared" si="6"/>
        <v>-0.96077225774717157</v>
      </c>
      <c r="J46" s="76">
        <f t="shared" si="6"/>
        <v>-0.4394973447674807</v>
      </c>
      <c r="K46" s="72">
        <f t="shared" si="6"/>
        <v>-5.8255407754712163E-2</v>
      </c>
      <c r="L46" s="72">
        <f t="shared" si="6"/>
        <v>-0.74408123215595257</v>
      </c>
      <c r="M46" s="139">
        <f t="shared" si="6"/>
        <v>-1.241833984678145</v>
      </c>
    </row>
    <row r="47" spans="1:13">
      <c r="A47" s="17" t="s">
        <v>70</v>
      </c>
      <c r="B47" s="39">
        <f>B35-B6</f>
        <v>-0.599630610538054</v>
      </c>
      <c r="C47" s="74">
        <f t="shared" ref="C47:M47" si="7">C35-C6</f>
        <v>-0.2626498466685252</v>
      </c>
      <c r="D47" s="74">
        <f t="shared" si="7"/>
        <v>1.1353266425053434</v>
      </c>
      <c r="E47" s="137">
        <f t="shared" si="7"/>
        <v>0.27304618529876379</v>
      </c>
      <c r="F47" s="77">
        <f t="shared" si="7"/>
        <v>0.20976116303219111</v>
      </c>
      <c r="G47" s="74">
        <f>G35-G6</f>
        <v>0.53288335064036008</v>
      </c>
      <c r="H47" s="74">
        <f t="shared" si="7"/>
        <v>-0.70829006576670117</v>
      </c>
      <c r="I47" s="137">
        <f t="shared" si="7"/>
        <v>3.4354447905849739E-2</v>
      </c>
      <c r="J47" s="77">
        <f t="shared" si="7"/>
        <v>9.1679434194658627E-2</v>
      </c>
      <c r="K47" s="74">
        <f t="shared" si="7"/>
        <v>1.6168927612065978</v>
      </c>
      <c r="L47" s="74">
        <f t="shared" si="7"/>
        <v>-0.33950706801577801</v>
      </c>
      <c r="M47" s="137">
        <f t="shared" si="7"/>
        <v>1.369065127385479</v>
      </c>
    </row>
    <row r="49" spans="1:1">
      <c r="A49" s="1" t="s">
        <v>221</v>
      </c>
    </row>
  </sheetData>
  <mergeCells count="5">
    <mergeCell ref="B4:E4"/>
    <mergeCell ref="F4:I4"/>
    <mergeCell ref="J4:M4"/>
    <mergeCell ref="A37:M37"/>
    <mergeCell ref="A43:M43"/>
  </mergeCells>
  <pageMargins left="0.7" right="0.7" top="0.75" bottom="0.75" header="0.3" footer="0.3"/>
  <pageSetup scale="66" orientation="landscape" horizontalDpi="0" verticalDpi="0" r:id="rId1"/>
  <colBreaks count="1" manualBreakCount="1">
    <brk id="13" max="49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55"/>
  <dimension ref="A1:M49"/>
  <sheetViews>
    <sheetView zoomScaleNormal="100" workbookViewId="0">
      <selection activeCell="B15" sqref="B15"/>
    </sheetView>
  </sheetViews>
  <sheetFormatPr defaultRowHeight="15"/>
  <cols>
    <col min="1" max="1" width="10.42578125" style="1" customWidth="1"/>
    <col min="2" max="2" width="11.85546875" style="1" customWidth="1"/>
    <col min="3" max="3" width="9.140625" style="1"/>
    <col min="4" max="4" width="17" style="1" customWidth="1"/>
    <col min="5" max="5" width="15.42578125" style="1" customWidth="1"/>
    <col min="6" max="6" width="11" style="1" customWidth="1"/>
    <col min="7" max="7" width="9.140625" style="1"/>
    <col min="8" max="8" width="17.85546875" style="1" customWidth="1"/>
    <col min="9" max="9" width="13.7109375" style="1" customWidth="1"/>
    <col min="10" max="10" width="13" style="1" customWidth="1"/>
    <col min="11" max="11" width="9.140625" style="1"/>
    <col min="12" max="12" width="19.7109375" style="1" customWidth="1"/>
    <col min="13" max="13" width="13" style="1" customWidth="1"/>
    <col min="14" max="16384" width="9.140625" style="1"/>
  </cols>
  <sheetData>
    <row r="1" spans="1:13">
      <c r="A1" s="2" t="s">
        <v>106</v>
      </c>
    </row>
    <row r="4" spans="1:13">
      <c r="A4" s="18"/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8" t="s">
        <v>42</v>
      </c>
      <c r="K4" s="379"/>
      <c r="L4" s="379"/>
      <c r="M4" s="380"/>
    </row>
    <row r="5" spans="1:13" ht="30">
      <c r="A5" s="18"/>
      <c r="B5" s="59" t="s">
        <v>0</v>
      </c>
      <c r="C5" s="60" t="s">
        <v>1</v>
      </c>
      <c r="D5" s="60" t="s">
        <v>2</v>
      </c>
      <c r="E5" s="5" t="s">
        <v>72</v>
      </c>
      <c r="F5" s="59" t="s">
        <v>0</v>
      </c>
      <c r="G5" s="60" t="s">
        <v>1</v>
      </c>
      <c r="H5" s="60" t="s">
        <v>2</v>
      </c>
      <c r="I5" s="5" t="s">
        <v>72</v>
      </c>
      <c r="J5" s="59" t="s">
        <v>39</v>
      </c>
      <c r="K5" s="60" t="s">
        <v>41</v>
      </c>
      <c r="L5" s="60" t="s">
        <v>40</v>
      </c>
      <c r="M5" s="5" t="s">
        <v>72</v>
      </c>
    </row>
    <row r="6" spans="1:13">
      <c r="A6" s="19" t="s">
        <v>6</v>
      </c>
      <c r="B6" s="67">
        <f>'5a'!B6/'5c'!$B6*100</f>
        <v>2.34</v>
      </c>
      <c r="C6" s="105">
        <f>'5a'!C6/'5c'!$B6*100</f>
        <v>2.2999999999999998</v>
      </c>
      <c r="D6" s="105">
        <f>'5a'!D6/'5c'!$B6*100</f>
        <v>1.08</v>
      </c>
      <c r="E6" s="109">
        <f>'5a'!E6/'5c'!$B6*100</f>
        <v>5.72</v>
      </c>
      <c r="F6" s="289">
        <f>'5a'!F6/'5c'!$C6*100</f>
        <v>0.46153846153846156</v>
      </c>
      <c r="G6" s="290">
        <f>'5a'!G6/'5c'!$C6*100</f>
        <v>7.6923076923076927E-2</v>
      </c>
      <c r="H6" s="290">
        <f>'5a'!H6/'5c'!$C6*100</f>
        <v>5.0384615384615383</v>
      </c>
      <c r="I6" s="291">
        <f>'5a'!I6/'5c'!$C6*100</f>
        <v>5.5769230769230775</v>
      </c>
      <c r="J6" s="67">
        <f>'5a'!J6/'5c'!$D6*100</f>
        <v>3.1813953488372091</v>
      </c>
      <c r="K6" s="105">
        <f>'5a'!K6/'5c'!$D6*100</f>
        <v>2.1953488372093024</v>
      </c>
      <c r="L6" s="105">
        <f>'5a'!L6/'5c'!$D6*100</f>
        <v>5.0604651162790697</v>
      </c>
      <c r="M6" s="109">
        <f>'5a'!M6/'5c'!$D6*100</f>
        <v>10.437209302325581</v>
      </c>
    </row>
    <row r="7" spans="1:13">
      <c r="A7" s="20" t="s">
        <v>7</v>
      </c>
      <c r="B7" s="106">
        <f>'5a'!B7/'5c'!$B7*100</f>
        <v>0.19444444444444445</v>
      </c>
      <c r="C7" s="104">
        <f>'5a'!C7/'5c'!$B7*100</f>
        <v>0.52777777777777779</v>
      </c>
      <c r="D7" s="104">
        <f>'5a'!D7/'5c'!$B7*100</f>
        <v>1.5555555555555556</v>
      </c>
      <c r="E7" s="110">
        <f>'5a'!E7/'5c'!$B7*100</f>
        <v>2.2777777777777777</v>
      </c>
      <c r="F7" s="292">
        <f>'5a'!F7/'5c'!$C7*100</f>
        <v>0.14634146341463414</v>
      </c>
      <c r="G7" s="293">
        <f>'5a'!G7/'5c'!$C7*100</f>
        <v>7.3170731707317069E-2</v>
      </c>
      <c r="H7" s="293">
        <f>'5a'!H7/'5c'!$C7*100</f>
        <v>5.6829268292682933</v>
      </c>
      <c r="I7" s="294">
        <f>'5a'!I7/'5c'!$C7*100</f>
        <v>5.9024390243902438</v>
      </c>
      <c r="J7" s="106">
        <f>'5a'!J7/'5c'!$D7*100</f>
        <v>3.6034318398474734</v>
      </c>
      <c r="K7" s="104">
        <f>'5a'!K7/'5c'!$D7*100</f>
        <v>2.6692087702573879</v>
      </c>
      <c r="L7" s="104">
        <f>'5a'!L7/'5c'!$D7*100</f>
        <v>5.5100095328884651</v>
      </c>
      <c r="M7" s="110">
        <f>'5a'!M7/'5c'!$D7*100</f>
        <v>11.782650142993328</v>
      </c>
    </row>
    <row r="8" spans="1:13">
      <c r="A8" s="20" t="s">
        <v>8</v>
      </c>
      <c r="B8" s="106">
        <f>'5a'!B8/'5c'!$B8*100</f>
        <v>0.48148148148148151</v>
      </c>
      <c r="C8" s="104">
        <f>'5a'!C8/'5c'!$B8*100</f>
        <v>0.55555555555555558</v>
      </c>
      <c r="D8" s="104">
        <f>'5a'!D8/'5c'!$B8*100</f>
        <v>3.0370370370370372</v>
      </c>
      <c r="E8" s="110">
        <f>'5a'!E8/'5c'!$B8*100</f>
        <v>4.0740740740740744</v>
      </c>
      <c r="F8" s="292">
        <f>'5a'!F8/'5c'!$C8*100</f>
        <v>0.1111111111111111</v>
      </c>
      <c r="G8" s="293">
        <f>'5a'!G8/'5c'!$C8*100</f>
        <v>2.7777777777777776E-2</v>
      </c>
      <c r="H8" s="293">
        <f>'5a'!H8/'5c'!$C8*100</f>
        <v>5.5277777777777777</v>
      </c>
      <c r="I8" s="294">
        <f>'5a'!I8/'5c'!$C8*100</f>
        <v>5.6666666666666661</v>
      </c>
      <c r="J8" s="106">
        <f>'5a'!J8/'5c'!$D8*100</f>
        <v>4.2488888888888887</v>
      </c>
      <c r="K8" s="104">
        <f>'5a'!K8/'5c'!$D8*100</f>
        <v>2.9155555555555548</v>
      </c>
      <c r="L8" s="104">
        <f>'5a'!L8/'5c'!$D8*100</f>
        <v>5.2444444444444445</v>
      </c>
      <c r="M8" s="110">
        <f>'5a'!M8/'5c'!$D8*100</f>
        <v>12.408888888888889</v>
      </c>
    </row>
    <row r="9" spans="1:13">
      <c r="A9" s="20" t="s">
        <v>9</v>
      </c>
      <c r="B9" s="106">
        <f>'5a'!B9/'5c'!$B9*100</f>
        <v>1.3725490196078431</v>
      </c>
      <c r="C9" s="104">
        <f>'5a'!C9/'5c'!$B9*100</f>
        <v>1.196078431372549</v>
      </c>
      <c r="D9" s="104">
        <f>'5a'!D9/'5c'!$B9*100</f>
        <v>8.7254901960784306</v>
      </c>
      <c r="E9" s="110">
        <f>'5a'!E9/'5c'!$B9*100</f>
        <v>11.294117647058824</v>
      </c>
      <c r="F9" s="292">
        <f>'5a'!F9/'5c'!$C9*100</f>
        <v>8.8888888888888892E-2</v>
      </c>
      <c r="G9" s="293">
        <f>'5a'!G9/'5c'!$C9*100</f>
        <v>2.2222222222222223E-2</v>
      </c>
      <c r="H9" s="293">
        <f>'5a'!H9/'5c'!$C9*100</f>
        <v>7.022222222222223</v>
      </c>
      <c r="I9" s="294">
        <f>'5a'!I9/'5c'!$C9*100</f>
        <v>7.1333333333333329</v>
      </c>
      <c r="J9" s="106">
        <f>'5a'!J9/'5c'!$D9*100</f>
        <v>4.7611872834111804</v>
      </c>
      <c r="K9" s="104">
        <f>'5a'!K9/'5c'!$D9*100</f>
        <v>3.0736778665059514</v>
      </c>
      <c r="L9" s="104">
        <f>'5a'!L9/'5c'!$D9*100</f>
        <v>5.1227964441765863</v>
      </c>
      <c r="M9" s="110">
        <f>'5a'!M9/'5c'!$D9*100</f>
        <v>12.957661594093716</v>
      </c>
    </row>
    <row r="10" spans="1:13">
      <c r="A10" s="20" t="s">
        <v>10</v>
      </c>
      <c r="B10" s="106">
        <f>'5a'!B10/'5c'!$B10*100</f>
        <v>1.6481481481481481</v>
      </c>
      <c r="C10" s="104">
        <f>'5a'!C10/'5c'!$B10*100</f>
        <v>1.5555555555555556</v>
      </c>
      <c r="D10" s="104">
        <f>'5a'!D10/'5c'!$B10*100</f>
        <v>8.7407407407407405</v>
      </c>
      <c r="E10" s="110">
        <f>'5a'!E10/'5c'!$B10*100</f>
        <v>11.944444444444445</v>
      </c>
      <c r="F10" s="292">
        <f>'5a'!F10/'5c'!$C10*100</f>
        <v>0.12</v>
      </c>
      <c r="G10" s="293">
        <f>'5a'!G10/'5c'!$C10*100</f>
        <v>0.04</v>
      </c>
      <c r="H10" s="293">
        <f>'5a'!H10/'5c'!$C10*100</f>
        <v>6.58</v>
      </c>
      <c r="I10" s="294">
        <f>'5a'!I10/'5c'!$C10*100</f>
        <v>6.74</v>
      </c>
      <c r="J10" s="106">
        <f>'5a'!J10/'5c'!$D10*100</f>
        <v>4.751163118567602</v>
      </c>
      <c r="K10" s="104">
        <f>'5a'!K10/'5c'!$D10*100</f>
        <v>3.3554208374453687</v>
      </c>
      <c r="L10" s="104">
        <f>'5a'!L10/'5c'!$D10*100</f>
        <v>5.2164105456083467</v>
      </c>
      <c r="M10" s="110">
        <f>'5a'!M10/'5c'!$D10*100</f>
        <v>13.322994501621316</v>
      </c>
    </row>
    <row r="11" spans="1:13">
      <c r="A11" s="20" t="s">
        <v>11</v>
      </c>
      <c r="B11" s="106">
        <f>'5a'!B11/'5c'!$B11*100</f>
        <v>2.4181818181818184</v>
      </c>
      <c r="C11" s="104">
        <f>'5a'!C11/'5c'!$B11*100</f>
        <v>2.3090909090909091</v>
      </c>
      <c r="D11" s="104">
        <f>'5a'!D11/'5c'!$B11*100</f>
        <v>12.745454545454546</v>
      </c>
      <c r="E11" s="110">
        <f>'5a'!E11/'5c'!$B11*100</f>
        <v>17.472727272727273</v>
      </c>
      <c r="F11" s="292">
        <f>'5a'!F11/'5c'!$C11*100</f>
        <v>0.14285714285714285</v>
      </c>
      <c r="G11" s="293">
        <f>'5a'!G11/'5c'!$C11*100</f>
        <v>5.7142857142857148E-2</v>
      </c>
      <c r="H11" s="293">
        <f>'5a'!H11/'5c'!$C11*100</f>
        <v>6.5714285714285712</v>
      </c>
      <c r="I11" s="294">
        <f>'5a'!I11/'5c'!$C11*100</f>
        <v>6.7714285714285714</v>
      </c>
      <c r="J11" s="106">
        <f>'5a'!J11/'5c'!$D11*100</f>
        <v>4.5853926414058206</v>
      </c>
      <c r="K11" s="104">
        <f>'5a'!K11/'5c'!$D11*100</f>
        <v>3.5145524437122462</v>
      </c>
      <c r="L11" s="104">
        <f>'5a'!L11/'5c'!$D11*100</f>
        <v>5.3679297089511264</v>
      </c>
      <c r="M11" s="110">
        <f>'5a'!M11/'5c'!$D11*100</f>
        <v>13.467874794069193</v>
      </c>
    </row>
    <row r="12" spans="1:13">
      <c r="A12" s="20" t="s">
        <v>12</v>
      </c>
      <c r="B12" s="106">
        <f>'5a'!B12/'5c'!$B12*100</f>
        <v>1.5599999999999998</v>
      </c>
      <c r="C12" s="104">
        <f>'5a'!C12/'5c'!$B12*100</f>
        <v>1.5599999999999998</v>
      </c>
      <c r="D12" s="104">
        <f>'5a'!D12/'5c'!$B12*100</f>
        <v>4.82</v>
      </c>
      <c r="E12" s="110">
        <f>'5a'!E12/'5c'!$B12*100</f>
        <v>7.9399999999999995</v>
      </c>
      <c r="F12" s="292">
        <f>'5a'!F12/'5c'!$C12*100</f>
        <v>0.16129032258064516</v>
      </c>
      <c r="G12" s="293">
        <f>'5a'!G12/'5c'!$C12*100</f>
        <v>9.6774193548387094E-2</v>
      </c>
      <c r="H12" s="293">
        <f>'5a'!H12/'5c'!$C12*100</f>
        <v>6.5483870967741939</v>
      </c>
      <c r="I12" s="294">
        <f>'5a'!I12/'5c'!$C12*100</f>
        <v>6.806451612903226</v>
      </c>
      <c r="J12" s="106">
        <f>'5a'!J12/'5c'!$D12*100</f>
        <v>4.7695177191580074</v>
      </c>
      <c r="K12" s="104">
        <f>'5a'!K12/'5c'!$D12*100</f>
        <v>3.8635758060218488</v>
      </c>
      <c r="L12" s="104">
        <f>'5a'!L12/'5c'!$D12*100</f>
        <v>5.222488675726086</v>
      </c>
      <c r="M12" s="110">
        <f>'5a'!M12/'5c'!$D12*100</f>
        <v>13.855582200905941</v>
      </c>
    </row>
    <row r="13" spans="1:13">
      <c r="A13" s="20" t="s">
        <v>13</v>
      </c>
      <c r="B13" s="106">
        <f>'5a'!B13/'5c'!$B13*100</f>
        <v>1.7580645161290325</v>
      </c>
      <c r="C13" s="104">
        <f>'5a'!C13/'5c'!$B13*100</f>
        <v>2.064516129032258</v>
      </c>
      <c r="D13" s="104">
        <f>'5a'!D13/'5c'!$B13*100</f>
        <v>8.32258064516129</v>
      </c>
      <c r="E13" s="110">
        <f>'5a'!E13/'5c'!$B13*100</f>
        <v>12.14516129032258</v>
      </c>
      <c r="F13" s="292">
        <f>'5a'!F13/'5c'!$C13*100</f>
        <v>0.48648648648648646</v>
      </c>
      <c r="G13" s="293">
        <f>'5a'!G13/'5c'!$C13*100</f>
        <v>0.24324324324324323</v>
      </c>
      <c r="H13" s="293">
        <f>'5a'!H13/'5c'!$C13*100</f>
        <v>9.4054054054054053</v>
      </c>
      <c r="I13" s="294">
        <f>'5a'!I13/'5c'!$C13*100</f>
        <v>10.135135135135135</v>
      </c>
      <c r="J13" s="106">
        <f>'5a'!J13/'5c'!$D13*100</f>
        <v>4.7786720321931586</v>
      </c>
      <c r="K13" s="104">
        <f>'5a'!K13/'5c'!$D13*100</f>
        <v>4.3008048289738428</v>
      </c>
      <c r="L13" s="104">
        <f>'5a'!L13/'5c'!$D13*100</f>
        <v>5.4954728370221329</v>
      </c>
      <c r="M13" s="110">
        <f>'5a'!M13/'5c'!$D13*100</f>
        <v>14.574949698189135</v>
      </c>
    </row>
    <row r="14" spans="1:13">
      <c r="A14" s="20" t="s">
        <v>14</v>
      </c>
      <c r="B14" s="106">
        <f>'5a'!B14/'5c'!$B14*100</f>
        <v>2.3220338983050848</v>
      </c>
      <c r="C14" s="104">
        <f>'5a'!C14/'5c'!$B14*100</f>
        <v>3.0847457627118642</v>
      </c>
      <c r="D14" s="104">
        <f>'5a'!D14/'5c'!$B14*100</f>
        <v>12.915254237288135</v>
      </c>
      <c r="E14" s="110">
        <f>'5a'!E14/'5c'!$B14*100</f>
        <v>18.322033898305083</v>
      </c>
      <c r="F14" s="292">
        <f>'5a'!F14/'5c'!$C14*100</f>
        <v>0.8222222222222223</v>
      </c>
      <c r="G14" s="293">
        <f>'5a'!G14/'5c'!$C14*100</f>
        <v>0.64444444444444449</v>
      </c>
      <c r="H14" s="293">
        <f>'5a'!H14/'5c'!$C14*100</f>
        <v>8.1777777777777789</v>
      </c>
      <c r="I14" s="294">
        <f>'5a'!I14/'5c'!$C14*100</f>
        <v>9.6444444444444439</v>
      </c>
      <c r="J14" s="106">
        <f>'5a'!J14/'5c'!$D14*100</f>
        <v>5.1487277505674358</v>
      </c>
      <c r="K14" s="104">
        <f>'5a'!K14/'5c'!$D14*100</f>
        <v>5.0053757018277381</v>
      </c>
      <c r="L14" s="104">
        <f>'5a'!L14/'5c'!$D14*100</f>
        <v>5.2084577708756425</v>
      </c>
      <c r="M14" s="110">
        <f>'5a'!M14/'5c'!$D14*100</f>
        <v>15.362561223270815</v>
      </c>
    </row>
    <row r="15" spans="1:13">
      <c r="A15" s="20" t="s">
        <v>15</v>
      </c>
      <c r="B15" s="106">
        <f>'5a'!B15/'5c'!$B15*100</f>
        <v>2.21875</v>
      </c>
      <c r="C15" s="104">
        <f>'5a'!C15/'5c'!$B15*100</f>
        <v>3.765625</v>
      </c>
      <c r="D15" s="104">
        <f>'5a'!D15/'5c'!$B15*100</f>
        <v>14.765624999999998</v>
      </c>
      <c r="E15" s="110">
        <f>'5a'!E15/'5c'!$B15*100</f>
        <v>20.75</v>
      </c>
      <c r="F15" s="292">
        <f>'5a'!F15/'5c'!$C15*100</f>
        <v>1.2195121951219512</v>
      </c>
      <c r="G15" s="293">
        <f>'5a'!G15/'5c'!$C15*100</f>
        <v>1.2439024390243902</v>
      </c>
      <c r="H15" s="293">
        <f>'5a'!H15/'5c'!$C15*100</f>
        <v>5.6341463414634152</v>
      </c>
      <c r="I15" s="294">
        <f>'5a'!I15/'5c'!$C15*100</f>
        <v>8.0975609756097562</v>
      </c>
      <c r="J15" s="106">
        <f>'5a'!J15/'5c'!$D15*100</f>
        <v>4.5979749851101852</v>
      </c>
      <c r="K15" s="104">
        <f>'5a'!K15/'5c'!$D15*100</f>
        <v>5.6700416914830258</v>
      </c>
      <c r="L15" s="104">
        <f>'5a'!L15/'5c'!$D15*100</f>
        <v>5.3841572364502683</v>
      </c>
      <c r="M15" s="110">
        <f>'5a'!M15/'5c'!$D15*100</f>
        <v>15.65217391304348</v>
      </c>
    </row>
    <row r="16" spans="1:13">
      <c r="A16" s="20" t="s">
        <v>16</v>
      </c>
      <c r="B16" s="106">
        <f>'5a'!B16/'5c'!$B16*100</f>
        <v>1.7948717948717947</v>
      </c>
      <c r="C16" s="104">
        <f>'5a'!C16/'5c'!$B16*100</f>
        <v>3.833333333333333</v>
      </c>
      <c r="D16" s="104">
        <f>'5a'!D16/'5c'!$B16*100</f>
        <v>11.384615384615385</v>
      </c>
      <c r="E16" s="110">
        <f>'5a'!E16/'5c'!$B16*100</f>
        <v>17.012820512820511</v>
      </c>
      <c r="F16" s="292">
        <f>'5a'!F16/'5c'!$C16*100</f>
        <v>1.5263157894736841</v>
      </c>
      <c r="G16" s="293">
        <f>'5a'!G16/'5c'!$C16*100</f>
        <v>1.9736842105263157</v>
      </c>
      <c r="H16" s="293">
        <f>'5a'!H16/'5c'!$C16*100</f>
        <v>4.3684210526315788</v>
      </c>
      <c r="I16" s="294">
        <f>'5a'!I16/'5c'!$C16*100</f>
        <v>7.8684210526315788</v>
      </c>
      <c r="J16" s="106">
        <f>'5a'!J16/'5c'!$D16*100</f>
        <v>4.7517015376859089</v>
      </c>
      <c r="K16" s="104">
        <f>'5a'!K16/'5c'!$D16*100</f>
        <v>6.7683387950592397</v>
      </c>
      <c r="L16" s="104">
        <f>'5a'!L16/'5c'!$D16*100</f>
        <v>5.5079405092009068</v>
      </c>
      <c r="M16" s="110">
        <f>'5a'!M16/'5c'!$D16*100</f>
        <v>17.027980841946054</v>
      </c>
    </row>
    <row r="17" spans="1:13">
      <c r="A17" s="20" t="s">
        <v>17</v>
      </c>
      <c r="B17" s="106">
        <f>'5a'!B17/'5c'!$B17*100</f>
        <v>1.3461538461538463</v>
      </c>
      <c r="C17" s="104">
        <f>'5a'!C17/'5c'!$B17*100</f>
        <v>2.6230769230769231</v>
      </c>
      <c r="D17" s="104">
        <f>'5a'!D17/'5c'!$B17*100</f>
        <v>18.476923076923075</v>
      </c>
      <c r="E17" s="110">
        <f>'5a'!E17/'5c'!$B17*100</f>
        <v>22.446153846153845</v>
      </c>
      <c r="F17" s="292">
        <f>'5a'!F17/'5c'!$C17*100</f>
        <v>2.2682926829268291</v>
      </c>
      <c r="G17" s="293">
        <f>'5a'!G17/'5c'!$C17*100</f>
        <v>2.5121951219512195</v>
      </c>
      <c r="H17" s="293">
        <f>'5a'!H17/'5c'!$C17*100</f>
        <v>2.6097560975609757</v>
      </c>
      <c r="I17" s="294">
        <f>'5a'!I17/'5c'!$C17*100</f>
        <v>7.3902439024390238</v>
      </c>
      <c r="J17" s="106">
        <f>'5a'!J17/'5c'!$D17*100</f>
        <v>5.2215568862275452</v>
      </c>
      <c r="K17" s="104">
        <f>'5a'!K17/'5c'!$D17*100</f>
        <v>6.9341317365269468</v>
      </c>
      <c r="L17" s="104">
        <f>'5a'!L17/'5c'!$D17*100</f>
        <v>5.5329341317365266</v>
      </c>
      <c r="M17" s="110">
        <f>'5a'!M17/'5c'!$D17*100</f>
        <v>17.688622754491018</v>
      </c>
    </row>
    <row r="18" spans="1:13">
      <c r="A18" s="20" t="s">
        <v>18</v>
      </c>
      <c r="B18" s="106">
        <f>'5a'!B18/'5c'!$B18*100</f>
        <v>2.1057692307692308</v>
      </c>
      <c r="C18" s="104">
        <f>'5a'!C18/'5c'!$B18*100</f>
        <v>4.3269230769230766</v>
      </c>
      <c r="D18" s="104">
        <f>'5a'!D18/'5c'!$B18*100</f>
        <v>21.23076923076923</v>
      </c>
      <c r="E18" s="110">
        <f>'5a'!E18/'5c'!$B18*100</f>
        <v>27.663461538461537</v>
      </c>
      <c r="F18" s="292">
        <f>'5a'!F18/'5c'!$C18*100</f>
        <v>3.9464285714285716</v>
      </c>
      <c r="G18" s="293">
        <f>'5a'!G18/'5c'!$C18*100</f>
        <v>5.875</v>
      </c>
      <c r="H18" s="293">
        <f>'5a'!H18/'5c'!$C18*100</f>
        <v>3.9464285714285716</v>
      </c>
      <c r="I18" s="294">
        <f>'5a'!I18/'5c'!$C18*100</f>
        <v>13.767857142857142</v>
      </c>
      <c r="J18" s="106">
        <f>'5a'!J18/'5c'!$D18*100</f>
        <v>5.1306977748973859</v>
      </c>
      <c r="K18" s="104">
        <f>'5a'!K18/'5c'!$D18*100</f>
        <v>6.9453445668610936</v>
      </c>
      <c r="L18" s="104">
        <f>'5a'!L18/'5c'!$D18*100</f>
        <v>5.2603154028947934</v>
      </c>
      <c r="M18" s="110">
        <f>'5a'!M18/'5c'!$D18*100</f>
        <v>17.33635774465327</v>
      </c>
    </row>
    <row r="19" spans="1:13">
      <c r="A19" s="20" t="s">
        <v>19</v>
      </c>
      <c r="B19" s="106">
        <f>'5a'!B19/'5c'!$B19*100</f>
        <v>3.064516129032258</v>
      </c>
      <c r="C19" s="104">
        <f>'5a'!C19/'5c'!$B19*100</f>
        <v>6.806451612903226</v>
      </c>
      <c r="D19" s="104">
        <f>'5a'!D19/'5c'!$B19*100</f>
        <v>33.096774193548391</v>
      </c>
      <c r="E19" s="110">
        <f>'5a'!E19/'5c'!$B19*100</f>
        <v>42.967741935483872</v>
      </c>
      <c r="F19" s="292">
        <f>'5a'!F19/'5c'!$C19*100</f>
        <v>4.6166666666666671</v>
      </c>
      <c r="G19" s="293">
        <f>'5a'!G19/'5c'!$C19*100</f>
        <v>6.7833333333333332</v>
      </c>
      <c r="H19" s="293">
        <f>'5a'!H19/'5c'!$C19*100</f>
        <v>4.5</v>
      </c>
      <c r="I19" s="294">
        <f>'5a'!I19/'5c'!$C19*100</f>
        <v>15.9</v>
      </c>
      <c r="J19" s="106">
        <f>'5a'!J19/'5c'!$D19*100</f>
        <v>5.0629206906643267</v>
      </c>
      <c r="K19" s="104">
        <f>'5a'!K19/'5c'!$D19*100</f>
        <v>6.662764608330896</v>
      </c>
      <c r="L19" s="104">
        <f>'5a'!L19/'5c'!$D19*100</f>
        <v>5.540922836796411</v>
      </c>
      <c r="M19" s="110">
        <f>'5a'!M19/'5c'!$D19*100</f>
        <v>17.266608135791632</v>
      </c>
    </row>
    <row r="20" spans="1:13">
      <c r="A20" s="20" t="s">
        <v>20</v>
      </c>
      <c r="B20" s="106">
        <f>'5a'!B20/'5c'!$B20*100</f>
        <v>3.814569536423841</v>
      </c>
      <c r="C20" s="104">
        <f>'5a'!C20/'5c'!$B20*100</f>
        <v>7.1655629139072845</v>
      </c>
      <c r="D20" s="104">
        <f>'5a'!D20/'5c'!$B20*100</f>
        <v>40.284768211920529</v>
      </c>
      <c r="E20" s="110">
        <f>'5a'!E20/'5c'!$B20*100</f>
        <v>51.264900662251655</v>
      </c>
      <c r="F20" s="292">
        <f>'5a'!F20/'5c'!$C20*100</f>
        <v>5.3728813559322033</v>
      </c>
      <c r="G20" s="293">
        <f>'5a'!G20/'5c'!$C20*100</f>
        <v>6.0508474576271185</v>
      </c>
      <c r="H20" s="293">
        <f>'5a'!H20/'5c'!$C20*100</f>
        <v>4.2542372881355934</v>
      </c>
      <c r="I20" s="294">
        <f>'5a'!I20/'5c'!$C20*100</f>
        <v>15.677966101694915</v>
      </c>
      <c r="J20" s="106">
        <f>'5a'!J20/'5c'!$D20*100</f>
        <v>5.9104854719364734</v>
      </c>
      <c r="K20" s="104">
        <f>'5a'!K20/'5c'!$D20*100</f>
        <v>6.731636888648258</v>
      </c>
      <c r="L20" s="104">
        <f>'5a'!L20/'5c'!$D20*100</f>
        <v>5.7300126330987187</v>
      </c>
      <c r="M20" s="110">
        <f>'5a'!M20/'5c'!$D20*100</f>
        <v>18.372134993683449</v>
      </c>
    </row>
    <row r="21" spans="1:13">
      <c r="A21" s="20" t="s">
        <v>21</v>
      </c>
      <c r="B21" s="106">
        <f>'5a'!B21/'5c'!$B21*100</f>
        <v>4.1215469613259668</v>
      </c>
      <c r="C21" s="104">
        <f>'5a'!C21/'5c'!$B21*100</f>
        <v>7.9834254143646408</v>
      </c>
      <c r="D21" s="104">
        <f>'5a'!D21/'5c'!$B21*100</f>
        <v>42.546961325966855</v>
      </c>
      <c r="E21" s="110">
        <f>'5a'!E21/'5c'!$B21*100</f>
        <v>54.651933701657462</v>
      </c>
      <c r="F21" s="292">
        <f>'5a'!F21/'5c'!$C21*100</f>
        <v>4.4776119402985071</v>
      </c>
      <c r="G21" s="293">
        <f>'5a'!G21/'5c'!$C21*100</f>
        <v>5.2985074626865671</v>
      </c>
      <c r="H21" s="293">
        <f>'5a'!H21/'5c'!$C21*100</f>
        <v>3.7164179104477615</v>
      </c>
      <c r="I21" s="294">
        <f>'5a'!I21/'5c'!$C21*100</f>
        <v>13.492537313432837</v>
      </c>
      <c r="J21" s="106">
        <f>'5a'!J21/'5c'!$D21*100</f>
        <v>5.9636062861869314</v>
      </c>
      <c r="K21" s="104">
        <f>'5a'!K21/'5c'!$D21*100</f>
        <v>7.0719602977667497</v>
      </c>
      <c r="L21" s="104">
        <f>'5a'!L21/'5c'!$D21*100</f>
        <v>5.8560794044665014</v>
      </c>
      <c r="M21" s="110">
        <f>'5a'!M21/'5c'!$D21*100</f>
        <v>18.891645988420183</v>
      </c>
    </row>
    <row r="22" spans="1:13">
      <c r="A22" s="20" t="s">
        <v>22</v>
      </c>
      <c r="B22" s="106">
        <f>'5a'!B22/'5c'!$B22*100</f>
        <v>4.7510548523206753</v>
      </c>
      <c r="C22" s="104">
        <f>'5a'!C22/'5c'!$B22*100</f>
        <v>9.2573839662447259</v>
      </c>
      <c r="D22" s="104">
        <f>'5a'!D22/'5c'!$B22*100</f>
        <v>42.81856540084388</v>
      </c>
      <c r="E22" s="110">
        <f>'5a'!E22/'5c'!$B22*100</f>
        <v>56.827004219409282</v>
      </c>
      <c r="F22" s="292">
        <f>'5a'!F22/'5c'!$C22*100</f>
        <v>3.8970588235294117</v>
      </c>
      <c r="G22" s="293">
        <f>'5a'!G22/'5c'!$C22*100</f>
        <v>5.0882352941176467</v>
      </c>
      <c r="H22" s="293">
        <f>'5a'!H22/'5c'!$C22*100</f>
        <v>3.0294117647058822</v>
      </c>
      <c r="I22" s="294">
        <f>'5a'!I22/'5c'!$C22*100</f>
        <v>12.014705882352942</v>
      </c>
      <c r="J22" s="106">
        <f>'5a'!J22/'5c'!$D22*100</f>
        <v>6.1836781433697228</v>
      </c>
      <c r="K22" s="104">
        <f>'5a'!K22/'5c'!$D22*100</f>
        <v>8.2067333384227812</v>
      </c>
      <c r="L22" s="104">
        <f>'5a'!L22/'5c'!$D22*100</f>
        <v>6.1073364378960227</v>
      </c>
      <c r="M22" s="110">
        <f>'5a'!M22/'5c'!$D22*100</f>
        <v>20.497747919688525</v>
      </c>
    </row>
    <row r="23" spans="1:13">
      <c r="A23" s="20" t="s">
        <v>23</v>
      </c>
      <c r="B23" s="106">
        <f>'5a'!B23/'5c'!$B23*100</f>
        <v>3.9399293286219077</v>
      </c>
      <c r="C23" s="104">
        <f>'5a'!C23/'5c'!$B23*100</f>
        <v>7.3003533568904597</v>
      </c>
      <c r="D23" s="104">
        <f>'5a'!D23/'5c'!$B23*100</f>
        <v>32.371024734982335</v>
      </c>
      <c r="E23" s="110">
        <f>'5a'!E23/'5c'!$B23*100</f>
        <v>43.611307420494697</v>
      </c>
      <c r="F23" s="292">
        <f>'5a'!F23/'5c'!$C23*100</f>
        <v>3.9146341463414633</v>
      </c>
      <c r="G23" s="293">
        <f>'5a'!G23/'5c'!$C23*100</f>
        <v>5.2926829268292686</v>
      </c>
      <c r="H23" s="293">
        <f>'5a'!H23/'5c'!$C23*100</f>
        <v>3.0853658536585367</v>
      </c>
      <c r="I23" s="294">
        <f>'5a'!I23/'5c'!$C23*100</f>
        <v>12.292682926829269</v>
      </c>
      <c r="J23" s="106">
        <f>'5a'!J23/'5c'!$D23*100</f>
        <v>6.0570236439499308</v>
      </c>
      <c r="K23" s="104">
        <f>'5a'!K23/'5c'!$D23*100</f>
        <v>8.762169680111267</v>
      </c>
      <c r="L23" s="104">
        <f>'5a'!L23/'5c'!$D23*100</f>
        <v>6.0570236439499308</v>
      </c>
      <c r="M23" s="110">
        <f>'5a'!M23/'5c'!$D23*100</f>
        <v>20.876216968011128</v>
      </c>
    </row>
    <row r="24" spans="1:13">
      <c r="A24" s="20" t="s">
        <v>24</v>
      </c>
      <c r="B24" s="106">
        <f>'5a'!B24/'5c'!$B24*100</f>
        <v>2.9598393574297188</v>
      </c>
      <c r="C24" s="104">
        <f>'5a'!C24/'5c'!$B24*100</f>
        <v>6.289156626506025</v>
      </c>
      <c r="D24" s="104">
        <f>'5a'!D24/'5c'!$B24*100</f>
        <v>24.626506024096386</v>
      </c>
      <c r="E24" s="110">
        <f>'5a'!E24/'5c'!$B24*100</f>
        <v>33.875502008032129</v>
      </c>
      <c r="F24" s="292">
        <f>'5a'!F24/'5c'!$C24*100</f>
        <v>3.8219178082191783</v>
      </c>
      <c r="G24" s="293">
        <f>'5a'!G24/'5c'!$C24*100</f>
        <v>6.5479452054794525</v>
      </c>
      <c r="H24" s="293">
        <f>'5a'!H24/'5c'!$C24*100</f>
        <v>3.7260273972602738</v>
      </c>
      <c r="I24" s="294">
        <f>'5a'!I24/'5c'!$C24*100</f>
        <v>14.095890410958903</v>
      </c>
      <c r="J24" s="106">
        <f>'5a'!J24/'5c'!$D24*100</f>
        <v>6.1245299853419155</v>
      </c>
      <c r="K24" s="104">
        <f>'5a'!K24/'5c'!$D24*100</f>
        <v>10.024855012427507</v>
      </c>
      <c r="L24" s="104">
        <f>'5a'!L24/'5c'!$D24*100</f>
        <v>6.2902300681919572</v>
      </c>
      <c r="M24" s="110">
        <f>'5a'!M24/'5c'!$D24*100</f>
        <v>22.43961506596138</v>
      </c>
    </row>
    <row r="25" spans="1:13">
      <c r="A25" s="20" t="s">
        <v>25</v>
      </c>
      <c r="B25" s="106">
        <f>'5a'!B25/'5c'!$B25*100</f>
        <v>3.3169014084507045</v>
      </c>
      <c r="C25" s="104">
        <f>'5a'!C25/'5c'!$B25*100</f>
        <v>7.9330985915492951</v>
      </c>
      <c r="D25" s="104">
        <f>'5a'!D25/'5c'!$B25*100</f>
        <v>30.235915492957748</v>
      </c>
      <c r="E25" s="110">
        <f>'5a'!E25/'5c'!$B25*100</f>
        <v>41.485915492957744</v>
      </c>
      <c r="F25" s="292">
        <f>'5a'!F25/'5c'!$C25*100</f>
        <v>2.262295081967213</v>
      </c>
      <c r="G25" s="293">
        <f>'5a'!G25/'5c'!$C25*100</f>
        <v>3.8688524590163933</v>
      </c>
      <c r="H25" s="293">
        <f>'5a'!H25/'5c'!$C25*100</f>
        <v>2.6065573770491803</v>
      </c>
      <c r="I25" s="294">
        <f>'5a'!I25/'5c'!$C25*100</f>
        <v>8.7377049180327866</v>
      </c>
      <c r="J25" s="106">
        <f>'5a'!J25/'5c'!$D25*100</f>
        <v>5.9669091762497066</v>
      </c>
      <c r="K25" s="104">
        <f>'5a'!K25/'5c'!$D25*100</f>
        <v>10.824923726824689</v>
      </c>
      <c r="L25" s="104">
        <f>'5a'!L25/'5c'!$D25*100</f>
        <v>7.2342173198779625</v>
      </c>
      <c r="M25" s="110">
        <f>'5a'!M25/'5c'!$D25*100</f>
        <v>24.026050222952357</v>
      </c>
    </row>
    <row r="26" spans="1:13">
      <c r="A26" s="20" t="s">
        <v>26</v>
      </c>
      <c r="B26" s="106">
        <f>'5a'!B26/'5c'!$B26*100</f>
        <v>2.42560553633218</v>
      </c>
      <c r="C26" s="104">
        <f>'5a'!C26/'5c'!$B26*100</f>
        <v>6.844290657439446</v>
      </c>
      <c r="D26" s="104">
        <f>'5a'!D26/'5c'!$B26*100</f>
        <v>25.39100346020761</v>
      </c>
      <c r="E26" s="110">
        <f>'5a'!E26/'5c'!$B26*100</f>
        <v>34.660899653979236</v>
      </c>
      <c r="F26" s="292">
        <f>'5a'!F26/'5c'!$C26*100</f>
        <v>1.1587301587301586</v>
      </c>
      <c r="G26" s="293">
        <f>'5a'!G26/'5c'!$C26*100</f>
        <v>2.1111111111111112</v>
      </c>
      <c r="H26" s="293">
        <f>'5a'!H26/'5c'!$C26*100</f>
        <v>1.8571428571428572</v>
      </c>
      <c r="I26" s="294">
        <f>'5a'!I26/'5c'!$C26*100</f>
        <v>5.1269841269841274</v>
      </c>
      <c r="J26" s="106">
        <f>'5a'!J26/'5c'!$D26*100</f>
        <v>5.0945190821543216</v>
      </c>
      <c r="K26" s="104">
        <f>'5a'!K26/'5c'!$D26*100</f>
        <v>11.092616811318512</v>
      </c>
      <c r="L26" s="104">
        <f>'5a'!L26/'5c'!$D26*100</f>
        <v>6.485554630840566</v>
      </c>
      <c r="M26" s="110">
        <f>'5a'!M26/'5c'!$D26*100</f>
        <v>22.672690524313399</v>
      </c>
    </row>
    <row r="27" spans="1:13">
      <c r="A27" s="20" t="s">
        <v>27</v>
      </c>
      <c r="B27" s="106">
        <f>'5a'!B27/'5c'!$B27*100</f>
        <v>1.176056338028169</v>
      </c>
      <c r="C27" s="104">
        <f>'5a'!C27/'5c'!$B27*100</f>
        <v>2.4295774647887325</v>
      </c>
      <c r="D27" s="104">
        <f>'5a'!D27/'5c'!$B27*100</f>
        <v>8.5985915492957741</v>
      </c>
      <c r="E27" s="110">
        <f>'5a'!E27/'5c'!$B27*100</f>
        <v>12.204225352112676</v>
      </c>
      <c r="F27" s="292">
        <f>'5a'!F27/'5c'!$C27*100</f>
        <v>0.74242424242424243</v>
      </c>
      <c r="G27" s="293">
        <f>'5a'!G27/'5c'!$C27*100</f>
        <v>1.4242424242424243</v>
      </c>
      <c r="H27" s="293">
        <f>'5a'!H27/'5c'!$C27*100</f>
        <v>1.6969696969696972</v>
      </c>
      <c r="I27" s="294">
        <f>'5a'!I27/'5c'!$C27*100</f>
        <v>3.8636363636363633</v>
      </c>
      <c r="J27" s="106">
        <f>'5a'!J27/'5c'!$D27*100</f>
        <v>4.7943086916176929</v>
      </c>
      <c r="K27" s="104">
        <f>'5a'!K27/'5c'!$D27*100</f>
        <v>11.320754716981133</v>
      </c>
      <c r="L27" s="104">
        <f>'5a'!L27/'5c'!$D27*100</f>
        <v>5.1778533869471079</v>
      </c>
      <c r="M27" s="110">
        <f>'5a'!M27/'5c'!$D27*100</f>
        <v>21.292916795545931</v>
      </c>
    </row>
    <row r="28" spans="1:13">
      <c r="A28" s="20" t="s">
        <v>28</v>
      </c>
      <c r="B28" s="106">
        <f>'5a'!B28/'5c'!$B28*100</f>
        <v>1.3762376237623763</v>
      </c>
      <c r="C28" s="104">
        <f>'5a'!C28/'5c'!$B28*100</f>
        <v>3.0198019801980198</v>
      </c>
      <c r="D28" s="104">
        <f>'5a'!D28/'5c'!$B28*100</f>
        <v>11.01980198019802</v>
      </c>
      <c r="E28" s="110">
        <f>'5a'!E28/'5c'!$B28*100</f>
        <v>15.415841584158416</v>
      </c>
      <c r="F28" s="292">
        <f>'5a'!F28/'5c'!$C28*100</f>
        <v>0.78082191780821919</v>
      </c>
      <c r="G28" s="293">
        <f>'5a'!G28/'5c'!$C28*100</f>
        <v>1.547945205479452</v>
      </c>
      <c r="H28" s="293">
        <f>'5a'!H28/'5c'!$C28*100</f>
        <v>1.8493150684931507</v>
      </c>
      <c r="I28" s="294">
        <f>'5a'!I28/'5c'!$C28*100</f>
        <v>4.1780821917808222</v>
      </c>
      <c r="J28" s="106">
        <f>'5a'!J28/'5c'!$D28*100</f>
        <v>4.4517919348172637</v>
      </c>
      <c r="K28" s="104">
        <f>'5a'!K28/'5c'!$D28*100</f>
        <v>11.2947983704316</v>
      </c>
      <c r="L28" s="104">
        <f>'5a'!L28/'5c'!$D28*100</f>
        <v>4.8060459349353479</v>
      </c>
      <c r="M28" s="110">
        <f>'5a'!M28/'5c'!$D28*100</f>
        <v>20.552636240184214</v>
      </c>
    </row>
    <row r="29" spans="1:13">
      <c r="A29" s="20" t="s">
        <v>29</v>
      </c>
      <c r="B29" s="106">
        <f>'5a'!B29/'5c'!$B29*100</f>
        <v>1.1698113207547169</v>
      </c>
      <c r="C29" s="104">
        <f>'5a'!C29/'5c'!$B29*100</f>
        <v>2.7830188679245285</v>
      </c>
      <c r="D29" s="104">
        <f>'5a'!D29/'5c'!$B29*100</f>
        <v>9.2452830188679247</v>
      </c>
      <c r="E29" s="110">
        <f>'5a'!E29/'5c'!$B29*100</f>
        <v>13.198113207547168</v>
      </c>
      <c r="F29" s="292">
        <f>'5a'!F29/'5c'!$C29*100</f>
        <v>0.67500000000000004</v>
      </c>
      <c r="G29" s="293">
        <f>'5a'!G29/'5c'!$C29*100</f>
        <v>1.4375</v>
      </c>
      <c r="H29" s="293">
        <f>'5a'!H29/'5c'!$C29*100</f>
        <v>1.575</v>
      </c>
      <c r="I29" s="294">
        <f>'5a'!I29/'5c'!$C29*100</f>
        <v>3.6875</v>
      </c>
      <c r="J29" s="106">
        <f>'5a'!J29/'5c'!$D29*100</f>
        <v>4.1308728391133736</v>
      </c>
      <c r="K29" s="104">
        <f>'5a'!K29/'5c'!$D29*100</f>
        <v>10.907837522536855</v>
      </c>
      <c r="L29" s="104">
        <f>'5a'!L29/'5c'!$D29*100</f>
        <v>4.4225262488068724</v>
      </c>
      <c r="M29" s="110">
        <f>'5a'!M29/'5c'!$D29*100</f>
        <v>19.4612366104571</v>
      </c>
    </row>
    <row r="30" spans="1:13">
      <c r="A30" s="20" t="s">
        <v>30</v>
      </c>
      <c r="B30" s="106">
        <f>'5a'!B30/'5c'!$B30*100</f>
        <v>1.1807228915662651</v>
      </c>
      <c r="C30" s="104">
        <f>'5a'!C30/'5c'!$B30*100</f>
        <v>3.0963855421686746</v>
      </c>
      <c r="D30" s="104">
        <f>'5a'!D30/'5c'!$B30*100</f>
        <v>9.5060240963855414</v>
      </c>
      <c r="E30" s="110">
        <f>'5a'!E30/'5c'!$B30*100</f>
        <v>13.783132530120481</v>
      </c>
      <c r="F30" s="292">
        <f>'5a'!F30/'5c'!$C30*100</f>
        <v>0.60227272727272729</v>
      </c>
      <c r="G30" s="293">
        <f>'5a'!G30/'5c'!$C30*100</f>
        <v>1.3636363636363635</v>
      </c>
      <c r="H30" s="293">
        <f>'5a'!H30/'5c'!$C30*100</f>
        <v>1.3863636363636365</v>
      </c>
      <c r="I30" s="294">
        <f>'5a'!I30/'5c'!$C30*100</f>
        <v>3.3522727272727275</v>
      </c>
      <c r="J30" s="106">
        <f>'5a'!J30/'5c'!$D30*100</f>
        <v>3.6403383708772932</v>
      </c>
      <c r="K30" s="104">
        <f>'5a'!K30/'5c'!$D30*100</f>
        <v>10.360231917118144</v>
      </c>
      <c r="L30" s="104">
        <f>'5a'!L30/'5c'!$D30*100</f>
        <v>3.9539967683680262</v>
      </c>
      <c r="M30" s="110">
        <f>'5a'!M30/'5c'!$D30*100</f>
        <v>17.954567056363462</v>
      </c>
    </row>
    <row r="31" spans="1:13">
      <c r="A31" s="20" t="s">
        <v>31</v>
      </c>
      <c r="B31" s="106">
        <f>'5a'!B31/'5c'!$B31*100</f>
        <v>1.3472222222222223</v>
      </c>
      <c r="C31" s="104">
        <f>'5a'!C31/'5c'!$B31*100</f>
        <v>3.375</v>
      </c>
      <c r="D31" s="104">
        <f>'5a'!D31/'5c'!$B31*100</f>
        <v>10</v>
      </c>
      <c r="E31" s="110">
        <f>'5a'!E31/'5c'!$B31*100</f>
        <v>14.722222222222223</v>
      </c>
      <c r="F31" s="292">
        <f>'5a'!F31/'5c'!$C31*100</f>
        <v>0.62037037037037035</v>
      </c>
      <c r="G31" s="293">
        <f>'5a'!G31/'5c'!$C31*100</f>
        <v>1.2592592592592593</v>
      </c>
      <c r="H31" s="293">
        <f>'5a'!H31/'5c'!$C31*100</f>
        <v>1.2685185185185184</v>
      </c>
      <c r="I31" s="294">
        <f>'5a'!I31/'5c'!$C31*100</f>
        <v>3.1481481481481479</v>
      </c>
      <c r="J31" s="106">
        <f>'5a'!J31/'5c'!$D31*100</f>
        <v>3.6659696578724921</v>
      </c>
      <c r="K31" s="104">
        <f>'5a'!K31/'5c'!$D31*100</f>
        <v>10.223784312853139</v>
      </c>
      <c r="L31" s="104">
        <f>'5a'!L31/'5c'!$D31*100</f>
        <v>4.0574809805579033</v>
      </c>
      <c r="M31" s="110">
        <f>'5a'!M31/'5c'!$D31*100</f>
        <v>17.947234951283534</v>
      </c>
    </row>
    <row r="32" spans="1:13">
      <c r="A32" s="20" t="s">
        <v>32</v>
      </c>
      <c r="B32" s="106">
        <f>'5a'!B32/'5c'!$B32*100</f>
        <v>1.1884057971014492</v>
      </c>
      <c r="C32" s="104">
        <f>'5a'!C32/'5c'!$B32*100</f>
        <v>2.9782608695652173</v>
      </c>
      <c r="D32" s="104">
        <f>'5a'!D32/'5c'!$B32*100</f>
        <v>9.3623188405797109</v>
      </c>
      <c r="E32" s="110">
        <f>'5a'!E32/'5c'!$B32*100</f>
        <v>13.528985507246377</v>
      </c>
      <c r="F32" s="292">
        <f>'5a'!F32/'5c'!$C32*100</f>
        <v>0.72799999999999998</v>
      </c>
      <c r="G32" s="293">
        <f>'5a'!G32/'5c'!$C32*100</f>
        <v>1.496</v>
      </c>
      <c r="H32" s="293">
        <f>'5a'!H32/'5c'!$C32*100</f>
        <v>1.6</v>
      </c>
      <c r="I32" s="294">
        <f>'5a'!I32/'5c'!$C32*100</f>
        <v>3.8240000000000003</v>
      </c>
      <c r="J32" s="106">
        <f>'5a'!J32/'5c'!$D32*100</f>
        <v>3.7558894123922126</v>
      </c>
      <c r="K32" s="104">
        <f>'5a'!K32/'5c'!$D32*100</f>
        <v>10.889856876166771</v>
      </c>
      <c r="L32" s="104">
        <f>'5a'!L32/'5c'!$D32*100</f>
        <v>4.418170504044804</v>
      </c>
      <c r="M32" s="110">
        <f>'5a'!M32/'5c'!$D32*100</f>
        <v>19.063916792603788</v>
      </c>
    </row>
    <row r="33" spans="1:13">
      <c r="A33" s="20" t="s">
        <v>33</v>
      </c>
      <c r="B33" s="106">
        <f>'5a'!B33/'5c'!$B33*100</f>
        <v>1.1476510067114094</v>
      </c>
      <c r="C33" s="104">
        <f>'5a'!C33/'5c'!$B33*100</f>
        <v>2.9328859060402683</v>
      </c>
      <c r="D33" s="104">
        <f>'5a'!D33/'5c'!$B33*100</f>
        <v>8.0067114093959741</v>
      </c>
      <c r="E33" s="110">
        <f>'5a'!E33/'5c'!$B33*100</f>
        <v>12.087248322147651</v>
      </c>
      <c r="F33" s="292">
        <f>'5a'!F33/'5c'!$C33*100</f>
        <v>0.7448275862068966</v>
      </c>
      <c r="G33" s="293">
        <f>'5a'!G33/'5c'!$C33*100</f>
        <v>1.510344827586207</v>
      </c>
      <c r="H33" s="293">
        <f>'5a'!H33/'5c'!$C33*100</f>
        <v>1.4137931034482758</v>
      </c>
      <c r="I33" s="294">
        <f>'5a'!I33/'5c'!$C33*100</f>
        <v>3.6689655172413795</v>
      </c>
      <c r="J33" s="106">
        <f>'5a'!J33/'5c'!$D33*100</f>
        <v>3.8915651270425995</v>
      </c>
      <c r="K33" s="104">
        <f>'5a'!K33/'5c'!$D33*100</f>
        <v>12.146972702370833</v>
      </c>
      <c r="L33" s="104">
        <f>'5a'!L33/'5c'!$D33*100</f>
        <v>4.193822612638141</v>
      </c>
      <c r="M33" s="110">
        <f>'5a'!M33/'5c'!$D33*100</f>
        <v>20.232360442051572</v>
      </c>
    </row>
    <row r="34" spans="1:13">
      <c r="A34" s="20" t="s">
        <v>34</v>
      </c>
      <c r="B34" s="106">
        <f>'5a'!B34/'5c'!$B34*100</f>
        <v>1.2293577981651376</v>
      </c>
      <c r="C34" s="104">
        <f>'5a'!C34/'5c'!$B34*100</f>
        <v>3.3211009174311927</v>
      </c>
      <c r="D34" s="104">
        <f>'5a'!D34/'5c'!$B34*100</f>
        <v>8.2201834862385326</v>
      </c>
      <c r="E34" s="110">
        <f>'5a'!E34/'5c'!$B34*100</f>
        <v>12.770642201834862</v>
      </c>
      <c r="F34" s="292">
        <f>'5a'!F34/'5c'!$C34*100</f>
        <v>0.67200000000000004</v>
      </c>
      <c r="G34" s="293">
        <f>'5a'!G34/'5c'!$C34*100</f>
        <v>1.3919999999999999</v>
      </c>
      <c r="H34" s="293">
        <f>'5a'!H34/'5c'!$C34*100</f>
        <v>1.2</v>
      </c>
      <c r="I34" s="294">
        <f>'5a'!I34/'5c'!$C34*100</f>
        <v>3.2640000000000002</v>
      </c>
      <c r="J34" s="106">
        <f>'5a'!J34/'5c'!$D34*100</f>
        <v>4.3270365997638729</v>
      </c>
      <c r="K34" s="104">
        <f>'5a'!K34/'5c'!$D34*100</f>
        <v>14.946871310507673</v>
      </c>
      <c r="L34" s="104">
        <f>'5a'!L34/'5c'!$D34*100</f>
        <v>4.5690672963400232</v>
      </c>
      <c r="M34" s="110">
        <f>'5a'!M34/'5c'!$D34*100</f>
        <v>23.84297520661157</v>
      </c>
    </row>
    <row r="35" spans="1:13">
      <c r="A35" s="21" t="s">
        <v>35</v>
      </c>
      <c r="B35" s="107">
        <f>'5a'!B35/'5c'!$B35*100</f>
        <v>1.5277777777777777</v>
      </c>
      <c r="C35" s="108">
        <f>'5a'!C35/'5c'!$B35*100</f>
        <v>3.4166666666666665</v>
      </c>
      <c r="D35" s="108">
        <f>'5a'!D35/'5c'!$B35*100</f>
        <v>8.9814814814814827</v>
      </c>
      <c r="E35" s="111">
        <f>'5a'!E35/'5c'!$B35*100</f>
        <v>13.925925925925926</v>
      </c>
      <c r="F35" s="295">
        <f>'5a'!F35/'5c'!$C35*100</f>
        <v>0.75182481751824826</v>
      </c>
      <c r="G35" s="296">
        <f>'5a'!G35/'5c'!$C35*100</f>
        <v>1.2919708029197081</v>
      </c>
      <c r="H35" s="296">
        <f>'5a'!H35/'5c'!$C35*100</f>
        <v>1.1824817518248174</v>
      </c>
      <c r="I35" s="297">
        <f>'5a'!I35/'5c'!$C35*100</f>
        <v>3.2262773722627736</v>
      </c>
      <c r="J35" s="107">
        <f>'5a'!J35/'5c'!$D35*100</f>
        <v>5.2885453594467373</v>
      </c>
      <c r="K35" s="108">
        <f>'5a'!K35/'5c'!$D35*100</f>
        <v>14.988086243970475</v>
      </c>
      <c r="L35" s="108">
        <f>'5a'!L35/'5c'!$D35*100</f>
        <v>4.8701110013366655</v>
      </c>
      <c r="M35" s="111">
        <f>'5a'!M35/'5c'!$D35*100</f>
        <v>25.146742604753879</v>
      </c>
    </row>
    <row r="37" spans="1:13">
      <c r="A37" s="389" t="s">
        <v>52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15" t="s">
        <v>53</v>
      </c>
      <c r="B38" s="82">
        <f>(POWER(B15/B6,1/($A15-$A6))-1)*100</f>
        <v>-0.58944431037242229</v>
      </c>
      <c r="C38" s="83">
        <f t="shared" ref="C38:M38" si="0">(POWER(C15/C6,1/($A15-$A6))-1)*100</f>
        <v>5.6306408776166883</v>
      </c>
      <c r="D38" s="83">
        <f t="shared" si="0"/>
        <v>33.722078959866849</v>
      </c>
      <c r="E38" s="84">
        <f t="shared" si="0"/>
        <v>15.393203505732988</v>
      </c>
      <c r="F38" s="82">
        <f t="shared" si="0"/>
        <v>11.400328672711503</v>
      </c>
      <c r="G38" s="83">
        <f t="shared" si="0"/>
        <v>36.239580232861535</v>
      </c>
      <c r="H38" s="83">
        <f t="shared" si="0"/>
        <v>1.2493495119110909</v>
      </c>
      <c r="I38" s="84">
        <f t="shared" si="0"/>
        <v>4.2306648730705554</v>
      </c>
      <c r="J38" s="83">
        <f t="shared" si="0"/>
        <v>4.1770623909763271</v>
      </c>
      <c r="K38" s="83">
        <f t="shared" si="0"/>
        <v>11.118653000758005</v>
      </c>
      <c r="L38" s="83">
        <f t="shared" si="0"/>
        <v>0.69129400420777642</v>
      </c>
      <c r="M38" s="84">
        <f t="shared" si="0"/>
        <v>4.605489159442766</v>
      </c>
    </row>
    <row r="39" spans="1:13">
      <c r="A39" s="16" t="s">
        <v>71</v>
      </c>
      <c r="B39" s="37">
        <f>(POWER(B$25/B15,1/($A$25-$A$15))-1)*100</f>
        <v>4.1028020541597376</v>
      </c>
      <c r="C39" s="72">
        <f t="shared" ref="C39:M39" si="1">(POWER(C$25/C15,1/($A$25-$A$15))-1)*100</f>
        <v>7.7359333172927647</v>
      </c>
      <c r="D39" s="72">
        <f t="shared" si="1"/>
        <v>7.4303841861979691</v>
      </c>
      <c r="E39" s="139">
        <f t="shared" si="1"/>
        <v>7.1737082519907736</v>
      </c>
      <c r="F39" s="76">
        <f t="shared" si="1"/>
        <v>6.3742008417263518</v>
      </c>
      <c r="G39" s="72">
        <f t="shared" si="1"/>
        <v>12.015877369036399</v>
      </c>
      <c r="H39" s="72">
        <f t="shared" si="1"/>
        <v>-7.4185631650339872</v>
      </c>
      <c r="I39" s="139">
        <f t="shared" si="1"/>
        <v>0.76374837010559915</v>
      </c>
      <c r="J39" s="72">
        <f t="shared" si="1"/>
        <v>2.6403873464642347</v>
      </c>
      <c r="K39" s="72">
        <f t="shared" si="1"/>
        <v>6.6802093477340341</v>
      </c>
      <c r="L39" s="72">
        <f t="shared" si="1"/>
        <v>2.9976655912817396</v>
      </c>
      <c r="M39" s="139">
        <f t="shared" si="1"/>
        <v>4.3784327446330096</v>
      </c>
    </row>
    <row r="40" spans="1:13">
      <c r="A40" s="16" t="s">
        <v>69</v>
      </c>
      <c r="B40" s="37">
        <f>(POWER(B$35/B25,1/($A$35-$A$25))-1)*100</f>
        <v>-7.459303768493486</v>
      </c>
      <c r="C40" s="72">
        <f t="shared" ref="C40:M40" si="2">(POWER(C$35/C25,1/($A$35-$A$25))-1)*100</f>
        <v>-8.0787384893416974</v>
      </c>
      <c r="D40" s="72">
        <f t="shared" si="2"/>
        <v>-11.430848199581689</v>
      </c>
      <c r="E40" s="139">
        <f t="shared" si="2"/>
        <v>-10.341320089670303</v>
      </c>
      <c r="F40" s="76">
        <f t="shared" si="2"/>
        <v>-10.431203128158517</v>
      </c>
      <c r="G40" s="72">
        <f t="shared" si="2"/>
        <v>-10.387817819268585</v>
      </c>
      <c r="H40" s="72">
        <f t="shared" si="2"/>
        <v>-7.5998415822645438</v>
      </c>
      <c r="I40" s="139">
        <f t="shared" si="2"/>
        <v>-9.4829414133264187</v>
      </c>
      <c r="J40" s="72">
        <f t="shared" si="2"/>
        <v>-1.1996050593345076</v>
      </c>
      <c r="K40" s="72">
        <f t="shared" si="2"/>
        <v>3.3075670630724696</v>
      </c>
      <c r="L40" s="72">
        <f t="shared" si="2"/>
        <v>-3.8797855908111578</v>
      </c>
      <c r="M40" s="139">
        <f t="shared" si="2"/>
        <v>0.45693780954363383</v>
      </c>
    </row>
    <row r="41" spans="1:13">
      <c r="A41" s="17" t="s">
        <v>70</v>
      </c>
      <c r="B41" s="39">
        <f>(POWER(B35/B6,1/($A$35-$A$6))-1)*100</f>
        <v>-1.4593728938526729</v>
      </c>
      <c r="C41" s="74">
        <f t="shared" ref="C41:M41" si="3">(POWER(C35/C6,1/($A$35-$A$6))-1)*100</f>
        <v>1.3740310938558764</v>
      </c>
      <c r="D41" s="74">
        <f t="shared" si="3"/>
        <v>7.5775191907127226</v>
      </c>
      <c r="E41" s="137">
        <f t="shared" si="3"/>
        <v>3.1157738213290376</v>
      </c>
      <c r="F41" s="77">
        <f t="shared" si="3"/>
        <v>1.6967791618850203</v>
      </c>
      <c r="G41" s="74">
        <f>(POWER(G35/G6,1/($A$35-$A$6))-1)*100</f>
        <v>10.216886795176583</v>
      </c>
      <c r="H41" s="74">
        <f t="shared" si="3"/>
        <v>-4.8753695152786154</v>
      </c>
      <c r="I41" s="137">
        <f t="shared" si="3"/>
        <v>-1.8695723919374463</v>
      </c>
      <c r="J41" s="74">
        <f t="shared" si="3"/>
        <v>1.7679405539674287</v>
      </c>
      <c r="K41" s="74">
        <f t="shared" si="3"/>
        <v>6.8481452479323357</v>
      </c>
      <c r="L41" s="74">
        <f t="shared" si="3"/>
        <v>-0.13212529127046846</v>
      </c>
      <c r="M41" s="137">
        <f t="shared" si="3"/>
        <v>3.0786860471125221</v>
      </c>
    </row>
    <row r="43" spans="1:13">
      <c r="A43" s="389" t="s">
        <v>77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0"/>
    </row>
    <row r="44" spans="1:13">
      <c r="A44" s="15" t="s">
        <v>53</v>
      </c>
      <c r="B44" s="82">
        <f>B15-B6</f>
        <v>-0.12124999999999986</v>
      </c>
      <c r="C44" s="83">
        <f t="shared" ref="C44:M44" si="4">C15-C6</f>
        <v>1.4656250000000002</v>
      </c>
      <c r="D44" s="83">
        <f t="shared" si="4"/>
        <v>13.685624999999998</v>
      </c>
      <c r="E44" s="84">
        <f t="shared" si="4"/>
        <v>15.030000000000001</v>
      </c>
      <c r="F44" s="82">
        <f t="shared" si="4"/>
        <v>0.75797373358348963</v>
      </c>
      <c r="G44" s="83">
        <f t="shared" si="4"/>
        <v>1.1669793621013134</v>
      </c>
      <c r="H44" s="83">
        <f t="shared" si="4"/>
        <v>0.59568480300187687</v>
      </c>
      <c r="I44" s="84">
        <f t="shared" si="4"/>
        <v>2.5206378986866786</v>
      </c>
      <c r="J44" s="83">
        <f t="shared" si="4"/>
        <v>1.4165796362729761</v>
      </c>
      <c r="K44" s="83">
        <f t="shared" si="4"/>
        <v>3.4746928542737234</v>
      </c>
      <c r="L44" s="83">
        <f t="shared" si="4"/>
        <v>0.32369212017119864</v>
      </c>
      <c r="M44" s="84">
        <f t="shared" si="4"/>
        <v>5.2149646107178995</v>
      </c>
    </row>
    <row r="45" spans="1:13">
      <c r="A45" s="16" t="s">
        <v>71</v>
      </c>
      <c r="B45" s="85">
        <f>B25-B15</f>
        <v>1.0981514084507045</v>
      </c>
      <c r="C45" s="86">
        <f t="shared" ref="C45:M45" si="5">C25-C15</f>
        <v>4.1674735915492951</v>
      </c>
      <c r="D45" s="86">
        <f t="shared" si="5"/>
        <v>15.47029049295775</v>
      </c>
      <c r="E45" s="87">
        <f t="shared" si="5"/>
        <v>20.735915492957744</v>
      </c>
      <c r="F45" s="85">
        <f t="shared" si="5"/>
        <v>1.0427828868452618</v>
      </c>
      <c r="G45" s="86">
        <f t="shared" si="5"/>
        <v>2.6249500199920028</v>
      </c>
      <c r="H45" s="86">
        <f t="shared" si="5"/>
        <v>-3.0275889644142349</v>
      </c>
      <c r="I45" s="87">
        <f t="shared" si="5"/>
        <v>0.64014394242303041</v>
      </c>
      <c r="J45" s="86">
        <f t="shared" si="5"/>
        <v>1.3689341911395214</v>
      </c>
      <c r="K45" s="86">
        <f t="shared" si="5"/>
        <v>5.1548820353416636</v>
      </c>
      <c r="L45" s="86">
        <f t="shared" si="5"/>
        <v>1.8500600834276941</v>
      </c>
      <c r="M45" s="87">
        <f t="shared" si="5"/>
        <v>8.3738763099088764</v>
      </c>
    </row>
    <row r="46" spans="1:13">
      <c r="A46" s="16" t="s">
        <v>69</v>
      </c>
      <c r="B46" s="85">
        <f>B35-B25</f>
        <v>-1.7891236306729268</v>
      </c>
      <c r="C46" s="86">
        <f t="shared" ref="C46:M46" si="6">C35-C25</f>
        <v>-4.5164319248826281</v>
      </c>
      <c r="D46" s="86">
        <f t="shared" si="6"/>
        <v>-21.254434011476263</v>
      </c>
      <c r="E46" s="87">
        <f t="shared" si="6"/>
        <v>-27.55998956703182</v>
      </c>
      <c r="F46" s="85">
        <f t="shared" si="6"/>
        <v>-1.5104702644489647</v>
      </c>
      <c r="G46" s="86">
        <f t="shared" si="6"/>
        <v>-2.5768816560966852</v>
      </c>
      <c r="H46" s="86">
        <f t="shared" si="6"/>
        <v>-1.4240756252243629</v>
      </c>
      <c r="I46" s="87">
        <f t="shared" si="6"/>
        <v>-5.5114275457700135</v>
      </c>
      <c r="J46" s="86">
        <f t="shared" si="6"/>
        <v>-0.67836381680296931</v>
      </c>
      <c r="K46" s="86">
        <f t="shared" si="6"/>
        <v>4.1631625171457856</v>
      </c>
      <c r="L46" s="86">
        <f t="shared" si="6"/>
        <v>-2.3641063185412969</v>
      </c>
      <c r="M46" s="87">
        <f t="shared" si="6"/>
        <v>1.120692381801522</v>
      </c>
    </row>
    <row r="47" spans="1:13">
      <c r="A47" s="17" t="s">
        <v>70</v>
      </c>
      <c r="B47" s="88">
        <f>B35-B6</f>
        <v>-0.81222222222222218</v>
      </c>
      <c r="C47" s="89">
        <f t="shared" ref="C47:M47" si="7">C35-C6</f>
        <v>1.1166666666666667</v>
      </c>
      <c r="D47" s="89">
        <f t="shared" si="7"/>
        <v>7.9014814814814827</v>
      </c>
      <c r="E47" s="90">
        <f t="shared" si="7"/>
        <v>8.205925925925925</v>
      </c>
      <c r="F47" s="88">
        <f t="shared" si="7"/>
        <v>0.29028635597978669</v>
      </c>
      <c r="G47" s="89">
        <f>G35-G6</f>
        <v>1.2150477259966312</v>
      </c>
      <c r="H47" s="89">
        <f t="shared" si="7"/>
        <v>-3.8559797866367207</v>
      </c>
      <c r="I47" s="90">
        <f t="shared" si="7"/>
        <v>-2.350645704660304</v>
      </c>
      <c r="J47" s="89">
        <f t="shared" si="7"/>
        <v>2.1071500106095282</v>
      </c>
      <c r="K47" s="89">
        <f t="shared" si="7"/>
        <v>12.792737406761173</v>
      </c>
      <c r="L47" s="89">
        <f t="shared" si="7"/>
        <v>-0.19035411494240417</v>
      </c>
      <c r="M47" s="90">
        <f t="shared" si="7"/>
        <v>14.709533302428298</v>
      </c>
    </row>
    <row r="48" spans="1:13">
      <c r="A48" s="2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">
      <c r="A49" s="1" t="s">
        <v>221</v>
      </c>
    </row>
  </sheetData>
  <mergeCells count="5">
    <mergeCell ref="B4:E4"/>
    <mergeCell ref="F4:I4"/>
    <mergeCell ref="J4:M4"/>
    <mergeCell ref="A37:M37"/>
    <mergeCell ref="A43:M43"/>
  </mergeCells>
  <pageMargins left="0.7" right="0.7" top="0.75" bottom="0.75" header="0.3" footer="0.3"/>
  <pageSetup scale="66" orientation="landscape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56"/>
  <dimension ref="A1:N43"/>
  <sheetViews>
    <sheetView zoomScaleNormal="100" workbookViewId="0">
      <selection activeCell="B15" sqref="B15"/>
    </sheetView>
  </sheetViews>
  <sheetFormatPr defaultRowHeight="15"/>
  <cols>
    <col min="1" max="1" width="10.7109375" style="1" customWidth="1"/>
    <col min="2" max="2" width="10.5703125" style="1" customWidth="1"/>
    <col min="3" max="3" width="9.140625" style="1"/>
    <col min="4" max="4" width="17.5703125" style="1" customWidth="1"/>
    <col min="5" max="5" width="11.140625" style="1" customWidth="1"/>
    <col min="6" max="6" width="12.42578125" style="1" customWidth="1"/>
    <col min="7" max="7" width="9.140625" style="1"/>
    <col min="8" max="8" width="19.28515625" style="1" customWidth="1"/>
    <col min="9" max="10" width="13.28515625" style="1" customWidth="1"/>
    <col min="11" max="11" width="10.85546875" style="1" bestFit="1" customWidth="1"/>
    <col min="12" max="12" width="22.28515625" style="1" bestFit="1" customWidth="1"/>
    <col min="13" max="13" width="14.28515625" style="1" customWidth="1"/>
    <col min="14" max="16384" width="9.140625" style="1"/>
  </cols>
  <sheetData>
    <row r="1" spans="1:13">
      <c r="A1" s="398" t="s">
        <v>107</v>
      </c>
      <c r="B1" s="398"/>
      <c r="C1" s="398"/>
      <c r="D1" s="398"/>
      <c r="E1" s="398"/>
      <c r="F1" s="398"/>
      <c r="G1" s="398"/>
      <c r="H1" s="398"/>
    </row>
    <row r="2" spans="1:13">
      <c r="A2" s="398"/>
      <c r="B2" s="398"/>
      <c r="C2" s="398"/>
      <c r="D2" s="398"/>
      <c r="E2" s="398"/>
      <c r="F2" s="398"/>
      <c r="G2" s="398"/>
      <c r="H2" s="398"/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30">
      <c r="B5" s="59" t="s">
        <v>0</v>
      </c>
      <c r="C5" s="60" t="s">
        <v>1</v>
      </c>
      <c r="D5" s="60" t="s">
        <v>2</v>
      </c>
      <c r="E5" s="5" t="s">
        <v>72</v>
      </c>
      <c r="F5" s="60" t="s">
        <v>0</v>
      </c>
      <c r="G5" s="60" t="s">
        <v>1</v>
      </c>
      <c r="H5" s="60" t="s">
        <v>2</v>
      </c>
      <c r="I5" s="5" t="s">
        <v>72</v>
      </c>
      <c r="J5" s="59" t="s">
        <v>39</v>
      </c>
      <c r="K5" s="60" t="s">
        <v>41</v>
      </c>
      <c r="L5" s="60" t="s">
        <v>40</v>
      </c>
      <c r="M5" s="275" t="s">
        <v>72</v>
      </c>
    </row>
    <row r="6" spans="1:13">
      <c r="A6" s="27">
        <v>1981</v>
      </c>
      <c r="B6" s="167">
        <f>'5a'!B6/'5a'!J6*100</f>
        <v>0.68421052631578949</v>
      </c>
      <c r="C6" s="155">
        <f>'5a'!C6/'5a'!K6*100</f>
        <v>0.97457627118644075</v>
      </c>
      <c r="D6" s="155">
        <f>'5a'!D6/'5a'!L6*100</f>
        <v>0.19852941176470587</v>
      </c>
      <c r="E6" s="155">
        <f>'5a'!E6/'5a'!M6*100</f>
        <v>0.50980392156862753</v>
      </c>
      <c r="F6" s="167">
        <f>'5a'!F6/'5a'!J6*100</f>
        <v>0.14035087719298245</v>
      </c>
      <c r="G6" s="155">
        <f>'5a'!G6/'5a'!K6*100</f>
        <v>3.3898305084745763E-2</v>
      </c>
      <c r="H6" s="155">
        <f>'5a'!H6/'5a'!L6*100</f>
        <v>0.96323529411764708</v>
      </c>
      <c r="I6" s="168">
        <f>'5a'!I6/'5a'!M6*100</f>
        <v>0.51693404634581097</v>
      </c>
      <c r="J6" s="44">
        <f>IFERROR('5a'!J6/'5a'!J6*100, "na")</f>
        <v>100</v>
      </c>
      <c r="K6" s="31">
        <f>IFERROR('5a'!K6/'5a'!K6*100, "na")</f>
        <v>100</v>
      </c>
      <c r="L6" s="31">
        <f>IFERROR('5a'!L6/'5a'!L6*100, "na")</f>
        <v>100</v>
      </c>
      <c r="M6" s="45">
        <f>IFERROR('5a'!M6/'5a'!M6*100, "na")</f>
        <v>100</v>
      </c>
    </row>
    <row r="7" spans="1:13">
      <c r="A7" s="28">
        <v>1982</v>
      </c>
      <c r="B7" s="169">
        <f>'5a'!B7/'5a'!J7*100</f>
        <v>3.7037037037037035E-2</v>
      </c>
      <c r="C7" s="156">
        <f>'5a'!C7/'5a'!K7*100</f>
        <v>0.1357142857142857</v>
      </c>
      <c r="D7" s="156">
        <f>'5a'!D7/'5a'!L7*100</f>
        <v>0.19377162629757785</v>
      </c>
      <c r="E7" s="156">
        <f>'5a'!E7/'5a'!M7*100</f>
        <v>0.1326860841423948</v>
      </c>
      <c r="F7" s="169">
        <f>'5a'!F7/'5a'!J7*100</f>
        <v>3.1746031746031744E-2</v>
      </c>
      <c r="G7" s="156">
        <f>'5a'!G7/'5a'!K7*100</f>
        <v>2.1428571428571429E-2</v>
      </c>
      <c r="H7" s="156">
        <f>'5a'!H7/'5a'!L7*100</f>
        <v>0.80622837370242206</v>
      </c>
      <c r="I7" s="170">
        <f>'5a'!I7/'5a'!M7*100</f>
        <v>0.39158576051779936</v>
      </c>
      <c r="J7" s="46">
        <f>IFERROR('5a'!J7/'5a'!J7*100, "na")</f>
        <v>100</v>
      </c>
      <c r="K7" s="43">
        <f>IFERROR('5a'!K7/'5a'!K7*100, "na")</f>
        <v>100</v>
      </c>
      <c r="L7" s="43">
        <f>IFERROR('5a'!L7/'5a'!L7*100, "na")</f>
        <v>100</v>
      </c>
      <c r="M7" s="47">
        <f>IFERROR('5a'!M7/'5a'!M7*100, "na")</f>
        <v>100</v>
      </c>
    </row>
    <row r="8" spans="1:13">
      <c r="A8" s="28">
        <v>1983</v>
      </c>
      <c r="B8" s="169">
        <f>'5a'!B8/'5a'!J8*100</f>
        <v>0.10878661087866108</v>
      </c>
      <c r="C8" s="156">
        <f>'5a'!C8/'5a'!K8*100</f>
        <v>0.18292682926829271</v>
      </c>
      <c r="D8" s="156">
        <f>'5a'!D8/'5a'!L8*100</f>
        <v>0.55593220338983051</v>
      </c>
      <c r="E8" s="156">
        <f>'5a'!E8/'5a'!M8*100</f>
        <v>0.31518624641833809</v>
      </c>
      <c r="F8" s="169">
        <f>'5a'!F8/'5a'!J8*100</f>
        <v>1.6736401673640169E-2</v>
      </c>
      <c r="G8" s="156">
        <f>'5a'!G8/'5a'!K8*100</f>
        <v>6.0975609756097572E-3</v>
      </c>
      <c r="H8" s="156">
        <f>'5a'!H8/'5a'!L8*100</f>
        <v>0.6745762711864407</v>
      </c>
      <c r="I8" s="170">
        <f>'5a'!I8/'5a'!M8*100</f>
        <v>0.29226361031518627</v>
      </c>
      <c r="J8" s="46">
        <f>IFERROR('5a'!J8/'5a'!J8*100, "na")</f>
        <v>100</v>
      </c>
      <c r="K8" s="43">
        <f>IFERROR('5a'!K8/'5a'!K8*100, "na")</f>
        <v>100</v>
      </c>
      <c r="L8" s="43">
        <f>IFERROR('5a'!L8/'5a'!L8*100, "na")</f>
        <v>100</v>
      </c>
      <c r="M8" s="47">
        <f>IFERROR('5a'!M8/'5a'!M8*100, "na")</f>
        <v>100</v>
      </c>
    </row>
    <row r="9" spans="1:13">
      <c r="A9" s="28">
        <v>1984</v>
      </c>
      <c r="B9" s="169">
        <f>'5a'!B9/'5a'!J9*100</f>
        <v>0.22151898734177217</v>
      </c>
      <c r="C9" s="156">
        <f>'5a'!C9/'5a'!K9*100</f>
        <v>0.29901960784313725</v>
      </c>
      <c r="D9" s="156">
        <f>'5a'!D9/'5a'!L9*100</f>
        <v>1.3088235294117647</v>
      </c>
      <c r="E9" s="156">
        <f>'5a'!E9/'5a'!M9*100</f>
        <v>0.66976744186046511</v>
      </c>
      <c r="F9" s="169">
        <f>'5a'!F9/'5a'!J9*100</f>
        <v>1.2658227848101267E-2</v>
      </c>
      <c r="G9" s="156">
        <f>'5a'!G9/'5a'!K9*100</f>
        <v>4.9019607843137254E-3</v>
      </c>
      <c r="H9" s="156">
        <f>'5a'!H9/'5a'!L9*100</f>
        <v>0.92941176470588238</v>
      </c>
      <c r="I9" s="170">
        <f>'5a'!I9/'5a'!M9*100</f>
        <v>0.37325581395348834</v>
      </c>
      <c r="J9" s="46">
        <f>IFERROR('5a'!J9/'5a'!J9*100, "na")</f>
        <v>100</v>
      </c>
      <c r="K9" s="43">
        <f>IFERROR('5a'!K9/'5a'!K9*100, "na")</f>
        <v>100</v>
      </c>
      <c r="L9" s="43">
        <f>IFERROR('5a'!L9/'5a'!L9*100, "na")</f>
        <v>100</v>
      </c>
      <c r="M9" s="47">
        <f>IFERROR('5a'!M9/'5a'!M9*100, "na")</f>
        <v>100</v>
      </c>
    </row>
    <row r="10" spans="1:13">
      <c r="A10" s="28">
        <v>1985</v>
      </c>
      <c r="B10" s="169">
        <f>'5a'!B10/'5a'!J10*100</f>
        <v>0.26409495548961426</v>
      </c>
      <c r="C10" s="156">
        <f>'5a'!C10/'5a'!K10*100</f>
        <v>0.35294117647058826</v>
      </c>
      <c r="D10" s="156">
        <f>'5a'!D10/'5a'!L10*100</f>
        <v>1.2756756756756757</v>
      </c>
      <c r="E10" s="156">
        <f>'5a'!E10/'5a'!M10*100</f>
        <v>0.68253968253968256</v>
      </c>
      <c r="F10" s="169">
        <f>'5a'!F10/'5a'!J10*100</f>
        <v>1.7804154302670624E-2</v>
      </c>
      <c r="G10" s="156">
        <f>'5a'!G10/'5a'!K10*100</f>
        <v>8.4033613445378148E-3</v>
      </c>
      <c r="H10" s="156">
        <f>'5a'!H10/'5a'!L10*100</f>
        <v>0.88918918918918921</v>
      </c>
      <c r="I10" s="170">
        <f>'5a'!I10/'5a'!M10*100</f>
        <v>0.35661375661375661</v>
      </c>
      <c r="J10" s="46">
        <f>IFERROR('5a'!J10/'5a'!J10*100, "na")</f>
        <v>100</v>
      </c>
      <c r="K10" s="43">
        <f>IFERROR('5a'!K10/'5a'!K10*100, "na")</f>
        <v>100</v>
      </c>
      <c r="L10" s="43">
        <f>IFERROR('5a'!L10/'5a'!L10*100, "na")</f>
        <v>100</v>
      </c>
      <c r="M10" s="47">
        <f>IFERROR('5a'!M10/'5a'!M10*100, "na")</f>
        <v>100</v>
      </c>
    </row>
    <row r="11" spans="1:13">
      <c r="A11" s="28">
        <v>1986</v>
      </c>
      <c r="B11" s="169">
        <f>'5a'!B11/'5a'!J11*100</f>
        <v>0.39820359281437123</v>
      </c>
      <c r="C11" s="156">
        <f>'5a'!C11/'5a'!K11*100</f>
        <v>0.49609375</v>
      </c>
      <c r="D11" s="156">
        <f>'5a'!D11/'5a'!L11*100</f>
        <v>1.792838874680307</v>
      </c>
      <c r="E11" s="156">
        <f>'5a'!E11/'5a'!M11*100</f>
        <v>0.9796126401630989</v>
      </c>
      <c r="F11" s="169">
        <f>'5a'!F11/'5a'!J11*100</f>
        <v>1.4970059880239521E-2</v>
      </c>
      <c r="G11" s="156">
        <f>'5a'!G11/'5a'!K11*100</f>
        <v>7.8125E-3</v>
      </c>
      <c r="H11" s="156">
        <f>'5a'!H11/'5a'!L11*100</f>
        <v>0.58823529411764708</v>
      </c>
      <c r="I11" s="170">
        <f>'5a'!I11/'5a'!M11*100</f>
        <v>0.24159021406727829</v>
      </c>
      <c r="J11" s="46">
        <f>IFERROR('5a'!J11/'5a'!J11*100, "na")</f>
        <v>100</v>
      </c>
      <c r="K11" s="43">
        <f>IFERROR('5a'!K11/'5a'!K11*100, "na")</f>
        <v>100</v>
      </c>
      <c r="L11" s="43">
        <f>IFERROR('5a'!L11/'5a'!L11*100, "na")</f>
        <v>100</v>
      </c>
      <c r="M11" s="47">
        <f>IFERROR('5a'!M11/'5a'!M11*100, "na")</f>
        <v>100</v>
      </c>
    </row>
    <row r="12" spans="1:13">
      <c r="A12" s="28">
        <v>1987</v>
      </c>
      <c r="B12" s="169">
        <f>'5a'!B12/'5a'!J12*100</f>
        <v>0.21787709497206703</v>
      </c>
      <c r="C12" s="156">
        <f>'5a'!C12/'5a'!K12*100</f>
        <v>0.26896551724137935</v>
      </c>
      <c r="D12" s="156">
        <f>'5a'!D12/'5a'!L12*100</f>
        <v>0.61479591836734693</v>
      </c>
      <c r="E12" s="156">
        <f>'5a'!E12/'5a'!M12*100</f>
        <v>0.38173076923076921</v>
      </c>
      <c r="F12" s="169">
        <f>'5a'!F12/'5a'!J12*100</f>
        <v>1.3966480446927373E-2</v>
      </c>
      <c r="G12" s="156">
        <f>'5a'!G12/'5a'!K12*100</f>
        <v>1.0344827586206896E-2</v>
      </c>
      <c r="H12" s="156">
        <f>'5a'!H12/'5a'!L12*100</f>
        <v>0.51785714285714279</v>
      </c>
      <c r="I12" s="170">
        <f>'5a'!I12/'5a'!M12*100</f>
        <v>0.20288461538461536</v>
      </c>
      <c r="J12" s="46">
        <f>IFERROR('5a'!J12/'5a'!J12*100, "na")</f>
        <v>100</v>
      </c>
      <c r="K12" s="43">
        <f>IFERROR('5a'!K12/'5a'!K12*100, "na")</f>
        <v>100</v>
      </c>
      <c r="L12" s="43">
        <f>IFERROR('5a'!L12/'5a'!L12*100, "na")</f>
        <v>100</v>
      </c>
      <c r="M12" s="47">
        <f>IFERROR('5a'!M12/'5a'!M12*100, "na")</f>
        <v>100</v>
      </c>
    </row>
    <row r="13" spans="1:13">
      <c r="A13" s="28">
        <v>1988</v>
      </c>
      <c r="B13" s="169">
        <f>'5a'!B13/'5a'!J13*100</f>
        <v>0.2868421052631579</v>
      </c>
      <c r="C13" s="156">
        <f>'5a'!C13/'5a'!K13*100</f>
        <v>0.37426900584795325</v>
      </c>
      <c r="D13" s="156">
        <f>'5a'!D13/'5a'!L13*100</f>
        <v>1.1807780320366132</v>
      </c>
      <c r="E13" s="156">
        <f>'5a'!E13/'5a'!M13*100</f>
        <v>0.64969801553062989</v>
      </c>
      <c r="F13" s="169">
        <f>'5a'!F13/'5a'!J13*100</f>
        <v>4.7368421052631574E-2</v>
      </c>
      <c r="G13" s="156">
        <f>'5a'!G13/'5a'!K13*100</f>
        <v>2.6315789473684209E-2</v>
      </c>
      <c r="H13" s="156">
        <f>'5a'!H13/'5a'!L13*100</f>
        <v>0.79633867276887871</v>
      </c>
      <c r="I13" s="170">
        <f>'5a'!I13/'5a'!M13*100</f>
        <v>0.32355478861087145</v>
      </c>
      <c r="J13" s="46">
        <f>IFERROR('5a'!J13/'5a'!J13*100, "na")</f>
        <v>100</v>
      </c>
      <c r="K13" s="43">
        <f>IFERROR('5a'!K13/'5a'!K13*100, "na")</f>
        <v>100</v>
      </c>
      <c r="L13" s="43">
        <f>IFERROR('5a'!L13/'5a'!L13*100, "na")</f>
        <v>100</v>
      </c>
      <c r="M13" s="47">
        <f>IFERROR('5a'!M13/'5a'!M13*100, "na")</f>
        <v>100</v>
      </c>
    </row>
    <row r="14" spans="1:13">
      <c r="A14" s="28">
        <v>1989</v>
      </c>
      <c r="B14" s="169">
        <f>'5a'!B14/'5a'!J14*100</f>
        <v>0.31786542923433875</v>
      </c>
      <c r="C14" s="156">
        <f>'5a'!C14/'5a'!K14*100</f>
        <v>0.43436754176610975</v>
      </c>
      <c r="D14" s="156">
        <f>'5a'!D14/'5a'!L14*100</f>
        <v>1.7477064220183487</v>
      </c>
      <c r="E14" s="156">
        <f>'5a'!E14/'5a'!M14*100</f>
        <v>0.84059097978227071</v>
      </c>
      <c r="F14" s="169">
        <f>'5a'!F14/'5a'!J14*100</f>
        <v>8.584686774941995E-2</v>
      </c>
      <c r="G14" s="156">
        <f>'5a'!G14/'5a'!K14*100</f>
        <v>6.9212410501193325E-2</v>
      </c>
      <c r="H14" s="156">
        <f>'5a'!H14/'5a'!L14*100</f>
        <v>0.84403669724770636</v>
      </c>
      <c r="I14" s="170">
        <f>'5a'!I14/'5a'!M14*100</f>
        <v>0.33748055987558323</v>
      </c>
      <c r="J14" s="46">
        <f>IFERROR('5a'!J14/'5a'!J14*100, "na")</f>
        <v>100</v>
      </c>
      <c r="K14" s="43">
        <f>IFERROR('5a'!K14/'5a'!K14*100, "na")</f>
        <v>100</v>
      </c>
      <c r="L14" s="43">
        <f>IFERROR('5a'!L14/'5a'!L14*100, "na")</f>
        <v>100</v>
      </c>
      <c r="M14" s="47">
        <f>IFERROR('5a'!M14/'5a'!M14*100, "na")</f>
        <v>100</v>
      </c>
    </row>
    <row r="15" spans="1:13">
      <c r="A15" s="28">
        <v>1990</v>
      </c>
      <c r="B15" s="169">
        <f>'5a'!B15/'5a'!J15*100</f>
        <v>0.36787564766839381</v>
      </c>
      <c r="C15" s="156">
        <f>'5a'!C15/'5a'!K15*100</f>
        <v>0.50630252100840345</v>
      </c>
      <c r="D15" s="156">
        <f>'5a'!D15/'5a'!L15*100</f>
        <v>2.0907079646017701</v>
      </c>
      <c r="E15" s="156">
        <f>'5a'!E15/'5a'!M15*100</f>
        <v>1.0106544901065448</v>
      </c>
      <c r="F15" s="169">
        <f>'5a'!F15/'5a'!J15*100</f>
        <v>0.1295336787564767</v>
      </c>
      <c r="G15" s="156">
        <f>'5a'!G15/'5a'!K15*100</f>
        <v>0.10714285714285715</v>
      </c>
      <c r="H15" s="156">
        <f>'5a'!H15/'5a'!L15*100</f>
        <v>0.51106194690265483</v>
      </c>
      <c r="I15" s="170">
        <f>'5a'!I15/'5a'!M15*100</f>
        <v>0.25266362252663621</v>
      </c>
      <c r="J15" s="46">
        <f>IFERROR('5a'!J15/'5a'!J15*100, "na")</f>
        <v>100</v>
      </c>
      <c r="K15" s="43">
        <f>IFERROR('5a'!K15/'5a'!K15*100, "na")</f>
        <v>100</v>
      </c>
      <c r="L15" s="43">
        <f>IFERROR('5a'!L15/'5a'!L15*100, "na")</f>
        <v>100</v>
      </c>
      <c r="M15" s="47">
        <f>IFERROR('5a'!M15/'5a'!M15*100, "na")</f>
        <v>100</v>
      </c>
    </row>
    <row r="16" spans="1:13">
      <c r="A16" s="28">
        <v>1991</v>
      </c>
      <c r="B16" s="169">
        <f>'5a'!B16/'5a'!J16*100</f>
        <v>0.3713527851458886</v>
      </c>
      <c r="C16" s="156">
        <f>'5a'!C16/'5a'!K16*100</f>
        <v>0.55679702048417135</v>
      </c>
      <c r="D16" s="156">
        <f>'5a'!D16/'5a'!L16*100</f>
        <v>2.0320366132723113</v>
      </c>
      <c r="E16" s="156">
        <f>'5a'!E16/'5a'!M16*100</f>
        <v>0.98223538119911169</v>
      </c>
      <c r="F16" s="169">
        <f>'5a'!F16/'5a'!J16*100</f>
        <v>0.15384615384615385</v>
      </c>
      <c r="G16" s="156">
        <f>'5a'!G16/'5a'!K16*100</f>
        <v>0.13966480446927373</v>
      </c>
      <c r="H16" s="156">
        <f>'5a'!H16/'5a'!L16*100</f>
        <v>0.37986270022883295</v>
      </c>
      <c r="I16" s="170">
        <f>'5a'!I16/'5a'!M16*100</f>
        <v>0.22131754256106587</v>
      </c>
      <c r="J16" s="46">
        <f>IFERROR('5a'!J16/'5a'!J16*100, "na")</f>
        <v>100</v>
      </c>
      <c r="K16" s="43">
        <f>IFERROR('5a'!K16/'5a'!K16*100, "na")</f>
        <v>100</v>
      </c>
      <c r="L16" s="43">
        <f>IFERROR('5a'!L16/'5a'!L16*100, "na")</f>
        <v>100</v>
      </c>
      <c r="M16" s="47">
        <f>IFERROR('5a'!M16/'5a'!M16*100, "na")</f>
        <v>100</v>
      </c>
    </row>
    <row r="17" spans="1:13">
      <c r="A17" s="28">
        <v>1992</v>
      </c>
      <c r="B17" s="169">
        <f>'5a'!B17/'5a'!J17*100</f>
        <v>0.40137614678899086</v>
      </c>
      <c r="C17" s="156">
        <f>'5a'!C17/'5a'!K17*100</f>
        <v>0.58894645941278068</v>
      </c>
      <c r="D17" s="156">
        <f>'5a'!D17/'5a'!L17*100</f>
        <v>5.1991341991341988</v>
      </c>
      <c r="E17" s="156">
        <f>'5a'!E17/'5a'!M17*100</f>
        <v>1.9756262694651319</v>
      </c>
      <c r="F17" s="169">
        <f>'5a'!F17/'5a'!J17*100</f>
        <v>0.21330275229357798</v>
      </c>
      <c r="G17" s="156">
        <f>'5a'!G17/'5a'!K17*100</f>
        <v>0.17789291882556132</v>
      </c>
      <c r="H17" s="156">
        <f>'5a'!H17/'5a'!L17*100</f>
        <v>0.23160173160173161</v>
      </c>
      <c r="I17" s="170">
        <f>'5a'!I17/'5a'!M17*100</f>
        <v>0.20514556533513881</v>
      </c>
      <c r="J17" s="46">
        <f>IFERROR('5a'!J17/'5a'!J17*100, "na")</f>
        <v>100</v>
      </c>
      <c r="K17" s="43">
        <f>IFERROR('5a'!K17/'5a'!K17*100, "na")</f>
        <v>100</v>
      </c>
      <c r="L17" s="43">
        <f>IFERROR('5a'!L17/'5a'!L17*100, "na")</f>
        <v>100</v>
      </c>
      <c r="M17" s="47">
        <f>IFERROR('5a'!M17/'5a'!M17*100, "na")</f>
        <v>100</v>
      </c>
    </row>
    <row r="18" spans="1:13">
      <c r="A18" s="28">
        <v>1993</v>
      </c>
      <c r="B18" s="169">
        <f>'5a'!B18/'5a'!J18*100</f>
        <v>0.46105263157894738</v>
      </c>
      <c r="C18" s="156">
        <f>'5a'!C18/'5a'!K18*100</f>
        <v>0.69984447900466562</v>
      </c>
      <c r="D18" s="156">
        <f>'5a'!D18/'5a'!L18*100</f>
        <v>4.5338809034907595</v>
      </c>
      <c r="E18" s="156">
        <f>'5a'!E18/'5a'!M18*100</f>
        <v>1.7925233644859813</v>
      </c>
      <c r="F18" s="169">
        <f>'5a'!F18/'5a'!J18*100</f>
        <v>0.46526315789473682</v>
      </c>
      <c r="G18" s="156">
        <f>'5a'!G18/'5a'!K18*100</f>
        <v>0.51166407465007779</v>
      </c>
      <c r="H18" s="156">
        <f>'5a'!H18/'5a'!L18*100</f>
        <v>0.4537987679671458</v>
      </c>
      <c r="I18" s="170">
        <f>'5a'!I18/'5a'!M18*100</f>
        <v>0.48037383177570092</v>
      </c>
      <c r="J18" s="46">
        <f>IFERROR('5a'!J18/'5a'!J18*100, "na")</f>
        <v>100</v>
      </c>
      <c r="K18" s="43">
        <f>IFERROR('5a'!K18/'5a'!K18*100, "na")</f>
        <v>100</v>
      </c>
      <c r="L18" s="43">
        <f>IFERROR('5a'!L18/'5a'!L18*100, "na")</f>
        <v>100</v>
      </c>
      <c r="M18" s="47">
        <f>IFERROR('5a'!M18/'5a'!M18*100, "na")</f>
        <v>100</v>
      </c>
    </row>
    <row r="19" spans="1:13">
      <c r="A19" s="28">
        <v>1994</v>
      </c>
      <c r="B19" s="169">
        <f>'5a'!B19/'5a'!J19*100</f>
        <v>0.54913294797687862</v>
      </c>
      <c r="C19" s="156">
        <f>'5a'!C19/'5a'!K19*100</f>
        <v>0.92679355783308937</v>
      </c>
      <c r="D19" s="156">
        <f>'5a'!D19/'5a'!L19*100</f>
        <v>5.419014084507042</v>
      </c>
      <c r="E19" s="156">
        <f>'5a'!E19/'5a'!M19*100</f>
        <v>2.2576271186440677</v>
      </c>
      <c r="F19" s="169">
        <f>'5a'!F19/'5a'!J19*100</f>
        <v>0.53371868978805392</v>
      </c>
      <c r="G19" s="156">
        <f>'5a'!G19/'5a'!K19*100</f>
        <v>0.59590043923865299</v>
      </c>
      <c r="H19" s="156">
        <f>'5a'!H19/'5a'!L19*100</f>
        <v>0.47535211267605632</v>
      </c>
      <c r="I19" s="170">
        <f>'5a'!I19/'5a'!M19*100</f>
        <v>0.53898305084745768</v>
      </c>
      <c r="J19" s="46">
        <f>IFERROR('5a'!J19/'5a'!J19*100, "na")</f>
        <v>100</v>
      </c>
      <c r="K19" s="43">
        <f>IFERROR('5a'!K19/'5a'!K19*100, "na")</f>
        <v>100</v>
      </c>
      <c r="L19" s="43">
        <f>IFERROR('5a'!L19/'5a'!L19*100, "na")</f>
        <v>100</v>
      </c>
      <c r="M19" s="47">
        <f>IFERROR('5a'!M19/'5a'!M19*100, "na")</f>
        <v>100</v>
      </c>
    </row>
    <row r="20" spans="1:13">
      <c r="A20" s="28">
        <v>1995</v>
      </c>
      <c r="B20" s="169">
        <f>'5a'!B20/'5a'!J20*100</f>
        <v>0.87938931297709932</v>
      </c>
      <c r="C20" s="156">
        <f>'5a'!C20/'5a'!K20*100</f>
        <v>1.450402144772118</v>
      </c>
      <c r="D20" s="156">
        <f>'5a'!D20/'5a'!L20*100</f>
        <v>9.5795275590551174</v>
      </c>
      <c r="E20" s="156">
        <f>'5a'!E20/'5a'!M20*100</f>
        <v>3.8020628683693518</v>
      </c>
      <c r="F20" s="169">
        <f>'5a'!F20/'5a'!J20*100</f>
        <v>0.48396946564885496</v>
      </c>
      <c r="G20" s="156">
        <f>'5a'!G20/'5a'!K20*100</f>
        <v>0.47855227882037538</v>
      </c>
      <c r="H20" s="156">
        <f>'5a'!H20/'5a'!L20*100</f>
        <v>0.39527559055118111</v>
      </c>
      <c r="I20" s="170">
        <f>'5a'!I20/'5a'!M20*100</f>
        <v>0.45432220039292731</v>
      </c>
      <c r="J20" s="46">
        <f>IFERROR('5a'!J20/'5a'!J20*100, "na")</f>
        <v>100</v>
      </c>
      <c r="K20" s="43">
        <f>IFERROR('5a'!K20/'5a'!K20*100, "na")</f>
        <v>100</v>
      </c>
      <c r="L20" s="43">
        <f>IFERROR('5a'!L20/'5a'!L20*100, "na")</f>
        <v>100</v>
      </c>
      <c r="M20" s="47">
        <f>IFERROR('5a'!M20/'5a'!M20*100, "na")</f>
        <v>100</v>
      </c>
    </row>
    <row r="21" spans="1:13">
      <c r="A21" s="28">
        <v>1996</v>
      </c>
      <c r="B21" s="169">
        <f>'5a'!B21/'5a'!J21*100</f>
        <v>1.0346740638002774</v>
      </c>
      <c r="C21" s="156">
        <f>'5a'!C21/'5a'!K21*100</f>
        <v>1.6900584795321638</v>
      </c>
      <c r="D21" s="156">
        <f>'5a'!D21/'5a'!L21*100</f>
        <v>10.877118644067798</v>
      </c>
      <c r="E21" s="156">
        <f>'5a'!E21/'5a'!M21*100</f>
        <v>4.3309982486865151</v>
      </c>
      <c r="F21" s="169">
        <f>'5a'!F21/'5a'!J21*100</f>
        <v>0.41608876560332869</v>
      </c>
      <c r="G21" s="156">
        <f>'5a'!G21/'5a'!K21*100</f>
        <v>0.41520467836257308</v>
      </c>
      <c r="H21" s="156">
        <f>'5a'!H21/'5a'!L21*100</f>
        <v>0.35169491525423729</v>
      </c>
      <c r="I21" s="170">
        <f>'5a'!I21/'5a'!M21*100</f>
        <v>0.39579684763572681</v>
      </c>
      <c r="J21" s="46">
        <f>IFERROR('5a'!J21/'5a'!J21*100, "na")</f>
        <v>100</v>
      </c>
      <c r="K21" s="43">
        <f>IFERROR('5a'!K21/'5a'!K21*100, "na")</f>
        <v>100</v>
      </c>
      <c r="L21" s="43">
        <f>IFERROR('5a'!L21/'5a'!L21*100, "na")</f>
        <v>100</v>
      </c>
      <c r="M21" s="47">
        <f>IFERROR('5a'!M21/'5a'!M21*100, "na")</f>
        <v>100</v>
      </c>
    </row>
    <row r="22" spans="1:13">
      <c r="A22" s="28">
        <v>1997</v>
      </c>
      <c r="B22" s="169">
        <f>'5a'!B22/'5a'!J22*100</f>
        <v>1.3901234567901235</v>
      </c>
      <c r="C22" s="156">
        <f>'5a'!C22/'5a'!K22*100</f>
        <v>2.0409302325581398</v>
      </c>
      <c r="D22" s="156">
        <f>'5a'!D22/'5a'!L22*100</f>
        <v>12.684999999999999</v>
      </c>
      <c r="E22" s="156">
        <f>'5a'!E22/'5a'!M22*100</f>
        <v>5.0160148975791436</v>
      </c>
      <c r="F22" s="169">
        <f>'5a'!F22/'5a'!J22*100</f>
        <v>0.3271604938271605</v>
      </c>
      <c r="G22" s="156">
        <f>'5a'!G22/'5a'!K22*100</f>
        <v>0.32186046511627908</v>
      </c>
      <c r="H22" s="156">
        <f>'5a'!H22/'5a'!L22*100</f>
        <v>0.25750000000000001</v>
      </c>
      <c r="I22" s="170">
        <f>'5a'!I22/'5a'!M22*100</f>
        <v>0.30428305400372441</v>
      </c>
      <c r="J22" s="46">
        <f>IFERROR('5a'!J22/'5a'!J22*100, "na")</f>
        <v>100</v>
      </c>
      <c r="K22" s="43">
        <f>IFERROR('5a'!K22/'5a'!K22*100, "na")</f>
        <v>100</v>
      </c>
      <c r="L22" s="43">
        <f>IFERROR('5a'!L22/'5a'!L22*100, "na")</f>
        <v>100</v>
      </c>
      <c r="M22" s="47">
        <f>IFERROR('5a'!M22/'5a'!M22*100, "na")</f>
        <v>100</v>
      </c>
    </row>
    <row r="23" spans="1:13">
      <c r="A23" s="28">
        <v>1998</v>
      </c>
      <c r="B23" s="169">
        <f>'5a'!B23/'5a'!J23*100</f>
        <v>1.2801377726750862</v>
      </c>
      <c r="C23" s="156">
        <f>'5a'!C23/'5a'!K23*100</f>
        <v>1.6396825396825396</v>
      </c>
      <c r="D23" s="156">
        <f>'5a'!D23/'5a'!L23*100</f>
        <v>10.517795637198622</v>
      </c>
      <c r="E23" s="156">
        <f>'5a'!E23/'5a'!M23*100</f>
        <v>4.1112591605596274</v>
      </c>
      <c r="F23" s="169">
        <f>'5a'!F23/'5a'!J23*100</f>
        <v>0.36854190585533869</v>
      </c>
      <c r="G23" s="156">
        <f>'5a'!G23/'5a'!K23*100</f>
        <v>0.34444444444444444</v>
      </c>
      <c r="H23" s="156">
        <f>'5a'!H23/'5a'!L23*100</f>
        <v>0.29047072330654417</v>
      </c>
      <c r="I23" s="170">
        <f>'5a'!I23/'5a'!M23*100</f>
        <v>0.33577614923384413</v>
      </c>
      <c r="J23" s="46">
        <f>IFERROR('5a'!J23/'5a'!J23*100, "na")</f>
        <v>100</v>
      </c>
      <c r="K23" s="43">
        <f>IFERROR('5a'!K23/'5a'!K23*100, "na")</f>
        <v>100</v>
      </c>
      <c r="L23" s="43">
        <f>IFERROR('5a'!L23/'5a'!L23*100, "na")</f>
        <v>100</v>
      </c>
      <c r="M23" s="47">
        <f>IFERROR('5a'!M23/'5a'!M23*100, "na")</f>
        <v>100</v>
      </c>
    </row>
    <row r="24" spans="1:13">
      <c r="A24" s="28">
        <v>1999</v>
      </c>
      <c r="B24" s="169">
        <f>'5a'!B24/'5a'!J24*100</f>
        <v>0.76690946930280957</v>
      </c>
      <c r="C24" s="156">
        <f>'5a'!C24/'5a'!K24*100</f>
        <v>0.99554990464081372</v>
      </c>
      <c r="D24" s="156">
        <f>'5a'!D24/'5a'!L24*100</f>
        <v>6.212765957446809</v>
      </c>
      <c r="E24" s="156">
        <f>'5a'!E24/'5a'!M24*100</f>
        <v>2.3956262425447314</v>
      </c>
      <c r="F24" s="169">
        <f>'5a'!F24/'5a'!J24*100</f>
        <v>0.29032258064516131</v>
      </c>
      <c r="G24" s="156">
        <f>'5a'!G24/'5a'!K24*100</f>
        <v>0.30387794024157661</v>
      </c>
      <c r="H24" s="156">
        <f>'5a'!H24/'5a'!L24*100</f>
        <v>0.27558257345491388</v>
      </c>
      <c r="I24" s="170">
        <f>'5a'!I24/'5a'!M24*100</f>
        <v>0.2922465208747515</v>
      </c>
      <c r="J24" s="46">
        <f>IFERROR('5a'!J24/'5a'!J24*100, "na")</f>
        <v>100</v>
      </c>
      <c r="K24" s="43">
        <f>IFERROR('5a'!K24/'5a'!K24*100, "na")</f>
        <v>100</v>
      </c>
      <c r="L24" s="43">
        <f>IFERROR('5a'!L24/'5a'!L24*100, "na")</f>
        <v>100</v>
      </c>
      <c r="M24" s="47">
        <f>IFERROR('5a'!M24/'5a'!M24*100, "na")</f>
        <v>100</v>
      </c>
    </row>
    <row r="25" spans="1:13">
      <c r="A25" s="28">
        <v>2000</v>
      </c>
      <c r="B25" s="169">
        <f>'5a'!B25/'5a'!J25*100</f>
        <v>0.92625368731563429</v>
      </c>
      <c r="C25" s="156">
        <f>'5a'!C25/'5a'!K25*100</f>
        <v>1.2211382113821139</v>
      </c>
      <c r="D25" s="156">
        <f>'5a'!D25/'5a'!L25*100</f>
        <v>6.964314679643147</v>
      </c>
      <c r="E25" s="156">
        <f>'5a'!E25/'5a'!M25*100</f>
        <v>2.8771672771672772</v>
      </c>
      <c r="F25" s="169">
        <f>'5a'!F25/'5a'!J25*100</f>
        <v>0.13569321533923304</v>
      </c>
      <c r="G25" s="156">
        <f>'5a'!G25/'5a'!K25*100</f>
        <v>0.12791327913279132</v>
      </c>
      <c r="H25" s="156">
        <f>'5a'!H25/'5a'!L25*100</f>
        <v>0.12895377128953772</v>
      </c>
      <c r="I25" s="170">
        <f>'5a'!I25/'5a'!M25*100</f>
        <v>0.13015873015873017</v>
      </c>
      <c r="J25" s="46">
        <f>IFERROR('5a'!J25/'5a'!J25*100, "na")</f>
        <v>100</v>
      </c>
      <c r="K25" s="43">
        <f>IFERROR('5a'!K25/'5a'!K25*100, "na")</f>
        <v>100</v>
      </c>
      <c r="L25" s="43">
        <f>IFERROR('5a'!L25/'5a'!L25*100, "na")</f>
        <v>100</v>
      </c>
      <c r="M25" s="47">
        <f>IFERROR('5a'!M25/'5a'!M25*100, "na")</f>
        <v>100</v>
      </c>
    </row>
    <row r="26" spans="1:13">
      <c r="A26" s="28">
        <v>2001</v>
      </c>
      <c r="B26" s="169">
        <f>'5a'!B26/'5a'!J26*100</f>
        <v>0.81796966161026829</v>
      </c>
      <c r="C26" s="156">
        <f>'5a'!C26/'5a'!K26*100</f>
        <v>1.060021436227224</v>
      </c>
      <c r="D26" s="156">
        <f>'5a'!D26/'5a'!L26*100</f>
        <v>6.7259395050412465</v>
      </c>
      <c r="E26" s="156">
        <f>'5a'!E26/'5a'!M26*100</f>
        <v>2.6263765076035659</v>
      </c>
      <c r="F26" s="169">
        <f>'5a'!F26/'5a'!J26*100</f>
        <v>8.518086347724621E-2</v>
      </c>
      <c r="G26" s="156">
        <f>'5a'!G26/'5a'!K26*100</f>
        <v>7.1275455519828515E-2</v>
      </c>
      <c r="H26" s="156">
        <f>'5a'!H26/'5a'!L26*100</f>
        <v>0.10724106324472961</v>
      </c>
      <c r="I26" s="170">
        <f>'5a'!I26/'5a'!M26*100</f>
        <v>8.4687991609858418E-2</v>
      </c>
      <c r="J26" s="46">
        <f>IFERROR('5a'!J26/'5a'!J26*100, "na")</f>
        <v>100</v>
      </c>
      <c r="K26" s="43">
        <f>IFERROR('5a'!K26/'5a'!K26*100, "na")</f>
        <v>100</v>
      </c>
      <c r="L26" s="43">
        <f>IFERROR('5a'!L26/'5a'!L26*100, "na")</f>
        <v>100</v>
      </c>
      <c r="M26" s="47">
        <f>IFERROR('5a'!M26/'5a'!M26*100, "na")</f>
        <v>100</v>
      </c>
    </row>
    <row r="27" spans="1:13">
      <c r="A27" s="28">
        <v>2002</v>
      </c>
      <c r="B27" s="169">
        <f>'5a'!B27/'5a'!J27*100</f>
        <v>0.21548387096774194</v>
      </c>
      <c r="C27" s="156">
        <f>'5a'!C27/'5a'!K27*100</f>
        <v>0.18852459016393444</v>
      </c>
      <c r="D27" s="156">
        <f>'5a'!D27/'5a'!L27*100</f>
        <v>1.4587813620071686</v>
      </c>
      <c r="E27" s="156">
        <f>'5a'!E27/'5a'!M27*100</f>
        <v>0.50348634514816959</v>
      </c>
      <c r="F27" s="169">
        <f>'5a'!F27/'5a'!J27*100</f>
        <v>6.3225806451612895E-2</v>
      </c>
      <c r="G27" s="156">
        <f>'5a'!G27/'5a'!K27*100</f>
        <v>5.1366120218579232E-2</v>
      </c>
      <c r="H27" s="156">
        <f>'5a'!H27/'5a'!L27*100</f>
        <v>0.13381123058542413</v>
      </c>
      <c r="I27" s="170">
        <f>'5a'!I27/'5a'!M27*100</f>
        <v>7.4084834398605456E-2</v>
      </c>
      <c r="J27" s="46">
        <f>IFERROR('5a'!J27/'5a'!J27*100, "na")</f>
        <v>100</v>
      </c>
      <c r="K27" s="43">
        <f>IFERROR('5a'!K27/'5a'!K27*100, "na")</f>
        <v>100</v>
      </c>
      <c r="L27" s="43">
        <f>IFERROR('5a'!L27/'5a'!L27*100, "na")</f>
        <v>100</v>
      </c>
      <c r="M27" s="47">
        <f>IFERROR('5a'!M27/'5a'!M27*100, "na")</f>
        <v>100</v>
      </c>
    </row>
    <row r="28" spans="1:13">
      <c r="A28" s="28">
        <v>2003</v>
      </c>
      <c r="B28" s="169">
        <f>'5a'!B28/'5a'!J28*100</f>
        <v>0.1843501326259947</v>
      </c>
      <c r="C28" s="156">
        <f>'5a'!C28/'5a'!K28*100</f>
        <v>0.15943544171458443</v>
      </c>
      <c r="D28" s="156">
        <f>'5a'!D28/'5a'!L28*100</f>
        <v>1.3673218673218672</v>
      </c>
      <c r="E28" s="156">
        <f>'5a'!E28/'5a'!M28*100</f>
        <v>0.4472852628555013</v>
      </c>
      <c r="F28" s="169">
        <f>'5a'!F28/'5a'!J28*100</f>
        <v>7.5596816976127315E-2</v>
      </c>
      <c r="G28" s="156">
        <f>'5a'!G28/'5a'!K28*100</f>
        <v>5.9069524307370627E-2</v>
      </c>
      <c r="H28" s="156">
        <f>'5a'!H28/'5a'!L28*100</f>
        <v>0.16584766584766586</v>
      </c>
      <c r="I28" s="170">
        <f>'5a'!I28/'5a'!M28*100</f>
        <v>8.7618500430910656E-2</v>
      </c>
      <c r="J28" s="46">
        <f>IFERROR('5a'!J28/'5a'!J28*100, "na")</f>
        <v>100</v>
      </c>
      <c r="K28" s="43">
        <f>IFERROR('5a'!K28/'5a'!K28*100, "na")</f>
        <v>100</v>
      </c>
      <c r="L28" s="43">
        <f>IFERROR('5a'!L28/'5a'!L28*100, "na")</f>
        <v>100</v>
      </c>
      <c r="M28" s="47">
        <f>IFERROR('5a'!M28/'5a'!M28*100, "na")</f>
        <v>100</v>
      </c>
    </row>
    <row r="29" spans="1:13">
      <c r="A29" s="28">
        <v>2004</v>
      </c>
      <c r="B29" s="169">
        <f>'5a'!B29/'5a'!J29*100</f>
        <v>0.15917843388960207</v>
      </c>
      <c r="C29" s="156">
        <f>'5a'!C29/'5a'!K29*100</f>
        <v>0.14341273699562471</v>
      </c>
      <c r="D29" s="156">
        <f>'5a'!D29/'5a'!L29*100</f>
        <v>1.1750599520383693</v>
      </c>
      <c r="E29" s="156">
        <f>'5a'!E29/'5a'!M29*100</f>
        <v>0.38119891008174384</v>
      </c>
      <c r="F29" s="169">
        <f>'5a'!F29/'5a'!J29*100</f>
        <v>6.9319640564826701E-2</v>
      </c>
      <c r="G29" s="156">
        <f>'5a'!G29/'5a'!K29*100</f>
        <v>5.5906660184735051E-2</v>
      </c>
      <c r="H29" s="156">
        <f>'5a'!H29/'5a'!L29*100</f>
        <v>0.15107913669064749</v>
      </c>
      <c r="I29" s="170">
        <f>'5a'!I29/'5a'!M29*100</f>
        <v>8.0381471389645784E-2</v>
      </c>
      <c r="J29" s="46">
        <f>IFERROR('5a'!J29/'5a'!J29*100, "na")</f>
        <v>100</v>
      </c>
      <c r="K29" s="43">
        <f>IFERROR('5a'!K29/'5a'!K29*100, "na")</f>
        <v>100</v>
      </c>
      <c r="L29" s="43">
        <f>IFERROR('5a'!L29/'5a'!L29*100, "na")</f>
        <v>100</v>
      </c>
      <c r="M29" s="47">
        <f>IFERROR('5a'!M29/'5a'!M29*100, "na")</f>
        <v>100</v>
      </c>
    </row>
    <row r="30" spans="1:13">
      <c r="A30" s="28">
        <v>2005</v>
      </c>
      <c r="B30" s="169">
        <f>'5a'!B30/'5a'!J30*100</f>
        <v>0.12793733681462141</v>
      </c>
      <c r="C30" s="156">
        <f>'5a'!C30/'5a'!K30*100</f>
        <v>0.11788990825688074</v>
      </c>
      <c r="D30" s="156">
        <f>'5a'!D30/'5a'!L30*100</f>
        <v>0.94831730769230771</v>
      </c>
      <c r="E30" s="156">
        <f>'5a'!E30/'5a'!M30*100</f>
        <v>0.30280571731074646</v>
      </c>
      <c r="F30" s="169">
        <f>'5a'!F30/'5a'!J30*100</f>
        <v>6.919060052219321E-2</v>
      </c>
      <c r="G30" s="156">
        <f>'5a'!G30/'5a'!K30*100</f>
        <v>5.5045871559633031E-2</v>
      </c>
      <c r="H30" s="156">
        <f>'5a'!H30/'5a'!L30*100</f>
        <v>0.14663461538461539</v>
      </c>
      <c r="I30" s="170">
        <f>'5a'!I30/'5a'!M30*100</f>
        <v>7.8083642138697715E-2</v>
      </c>
      <c r="J30" s="46">
        <f>IFERROR('5a'!J30/'5a'!J30*100, "na")</f>
        <v>100</v>
      </c>
      <c r="K30" s="43">
        <f>IFERROR('5a'!K30/'5a'!K30*100, "na")</f>
        <v>100</v>
      </c>
      <c r="L30" s="43">
        <f>IFERROR('5a'!L30/'5a'!L30*100, "na")</f>
        <v>100</v>
      </c>
      <c r="M30" s="47">
        <f>IFERROR('5a'!M30/'5a'!M30*100, "na")</f>
        <v>100</v>
      </c>
    </row>
    <row r="31" spans="1:13">
      <c r="A31" s="28">
        <v>2006</v>
      </c>
      <c r="B31" s="169">
        <f>'5a'!B31/'5a'!J31*100</f>
        <v>0.11771844660194175</v>
      </c>
      <c r="C31" s="156">
        <f>'5a'!C31/'5a'!K31*100</f>
        <v>0.10574412532637076</v>
      </c>
      <c r="D31" s="156">
        <f>'5a'!D31/'5a'!L31*100</f>
        <v>0.78947368421052633</v>
      </c>
      <c r="E31" s="156">
        <f>'5a'!E31/'5a'!M31*100</f>
        <v>0.26276648487853244</v>
      </c>
      <c r="F31" s="169">
        <f>'5a'!F31/'5a'!J31*100</f>
        <v>8.1310679611650477E-2</v>
      </c>
      <c r="G31" s="156">
        <f>'5a'!G31/'5a'!K31*100</f>
        <v>5.9181897302001747E-2</v>
      </c>
      <c r="H31" s="156">
        <f>'5a'!H31/'5a'!L31*100</f>
        <v>0.15021929824561403</v>
      </c>
      <c r="I31" s="170">
        <f>'5a'!I31/'5a'!M31*100</f>
        <v>8.4283589489340602E-2</v>
      </c>
      <c r="J31" s="46">
        <f>IFERROR('5a'!J31/'5a'!J31*100, "na")</f>
        <v>100</v>
      </c>
      <c r="K31" s="43">
        <f>IFERROR('5a'!K31/'5a'!K31*100, "na")</f>
        <v>100</v>
      </c>
      <c r="L31" s="43">
        <f>IFERROR('5a'!L31/'5a'!L31*100, "na")</f>
        <v>100</v>
      </c>
      <c r="M31" s="47">
        <f>IFERROR('5a'!M31/'5a'!M31*100, "na")</f>
        <v>100</v>
      </c>
    </row>
    <row r="32" spans="1:13">
      <c r="A32" s="28">
        <v>2007</v>
      </c>
      <c r="B32" s="169">
        <f>'5a'!B32/'5a'!J32*100</f>
        <v>0.1940828402366864</v>
      </c>
      <c r="C32" s="156">
        <f>'5a'!C32/'5a'!K32*100</f>
        <v>0.16775510204081631</v>
      </c>
      <c r="D32" s="156">
        <f>'5a'!D32/'5a'!L32*100</f>
        <v>1.2997987927565391</v>
      </c>
      <c r="E32" s="156">
        <f>'5a'!E32/'5a'!M32*100</f>
        <v>0.43529960363721149</v>
      </c>
      <c r="F32" s="169">
        <f>'5a'!F32/'5a'!J32*100</f>
        <v>0.10769230769230768</v>
      </c>
      <c r="G32" s="156">
        <f>'5a'!G32/'5a'!K32*100</f>
        <v>7.6326530612244897E-2</v>
      </c>
      <c r="H32" s="156">
        <f>'5a'!H32/'5a'!L32*100</f>
        <v>0.2012072434607646</v>
      </c>
      <c r="I32" s="170">
        <f>'5a'!I32/'5a'!M32*100</f>
        <v>0.11144788995103753</v>
      </c>
      <c r="J32" s="46">
        <f>IFERROR('5a'!J32/'5a'!J32*100, "na")</f>
        <v>100</v>
      </c>
      <c r="K32" s="43">
        <f>IFERROR('5a'!K32/'5a'!K32*100, "na")</f>
        <v>100</v>
      </c>
      <c r="L32" s="43">
        <f>IFERROR('5a'!L32/'5a'!L32*100, "na")</f>
        <v>100</v>
      </c>
      <c r="M32" s="47">
        <f>IFERROR('5a'!M32/'5a'!M32*100, "na")</f>
        <v>100</v>
      </c>
    </row>
    <row r="33" spans="1:14">
      <c r="A33" s="28">
        <v>2008</v>
      </c>
      <c r="B33" s="169">
        <f>'5a'!B33/'5a'!J33*100</f>
        <v>0.20752427184466019</v>
      </c>
      <c r="C33" s="156">
        <f>'5a'!C33/'5a'!K33*100</f>
        <v>0.16990668740279938</v>
      </c>
      <c r="D33" s="156">
        <f>'5a'!D33/'5a'!L33*100</f>
        <v>1.3434684684684683</v>
      </c>
      <c r="E33" s="156">
        <f>'5a'!E33/'5a'!M33*100</f>
        <v>0.42040149393090565</v>
      </c>
      <c r="F33" s="169">
        <f>'5a'!F33/'5a'!J33*100</f>
        <v>0.13106796116504854</v>
      </c>
      <c r="G33" s="156">
        <f>'5a'!G33/'5a'!K33*100</f>
        <v>8.5147744945567663E-2</v>
      </c>
      <c r="H33" s="156">
        <f>'5a'!H33/'5a'!L33*100</f>
        <v>0.23085585585585583</v>
      </c>
      <c r="I33" s="170">
        <f>'5a'!I33/'5a'!M33*100</f>
        <v>0.12418300653594772</v>
      </c>
      <c r="J33" s="46">
        <f>IFERROR('5a'!J33/'5a'!J33*100, "na")</f>
        <v>100</v>
      </c>
      <c r="K33" s="43">
        <f>IFERROR('5a'!K33/'5a'!K33*100, "na")</f>
        <v>100</v>
      </c>
      <c r="L33" s="43">
        <f>IFERROR('5a'!L33/'5a'!L33*100, "na")</f>
        <v>100</v>
      </c>
      <c r="M33" s="47">
        <f>IFERROR('5a'!M33/'5a'!M33*100, "na")</f>
        <v>100</v>
      </c>
    </row>
    <row r="34" spans="1:14">
      <c r="A34" s="28">
        <v>2009</v>
      </c>
      <c r="B34" s="169">
        <f>'5a'!B34/'5a'!J34*100</f>
        <v>0.18281036834924966</v>
      </c>
      <c r="C34" s="156">
        <f>'5a'!C34/'5a'!K34*100</f>
        <v>0.14296998420221169</v>
      </c>
      <c r="D34" s="156">
        <f>'5a'!D34/'5a'!L34*100</f>
        <v>1.1576227390180878</v>
      </c>
      <c r="E34" s="156">
        <f>'5a'!E34/'5a'!M34*100</f>
        <v>0.34463976231740528</v>
      </c>
      <c r="F34" s="169">
        <f>'5a'!F34/'5a'!J34*100</f>
        <v>0.11459754433833561</v>
      </c>
      <c r="G34" s="156">
        <f>'5a'!G34/'5a'!K34*100</f>
        <v>6.8720379146919433E-2</v>
      </c>
      <c r="H34" s="156">
        <f>'5a'!H34/'5a'!L34*100</f>
        <v>0.19379844961240311</v>
      </c>
      <c r="I34" s="170">
        <f>'5a'!I34/'5a'!M34*100</f>
        <v>0.10101510274820499</v>
      </c>
      <c r="J34" s="46">
        <f>IFERROR('5a'!J34/'5a'!J34*100, "na")</f>
        <v>100</v>
      </c>
      <c r="K34" s="43">
        <f>IFERROR('5a'!K34/'5a'!K34*100, "na")</f>
        <v>100</v>
      </c>
      <c r="L34" s="43">
        <f>IFERROR('5a'!L34/'5a'!L34*100, "na")</f>
        <v>100</v>
      </c>
      <c r="M34" s="47">
        <f>IFERROR('5a'!M34/'5a'!M34*100, "na")</f>
        <v>100</v>
      </c>
    </row>
    <row r="35" spans="1:14">
      <c r="A35" s="29">
        <v>2010</v>
      </c>
      <c r="B35" s="192">
        <f>'5a'!B35/'5a'!J35*100</f>
        <v>0.18131868131868134</v>
      </c>
      <c r="C35" s="157">
        <f>'5a'!C35/'5a'!K35*100</f>
        <v>0.14307871267933309</v>
      </c>
      <c r="D35" s="157">
        <f>'5a'!D35/'5a'!L35*100</f>
        <v>1.1575178997613365</v>
      </c>
      <c r="E35" s="157">
        <f>'5a'!E35/'5a'!M35*100</f>
        <v>0.34758493182343425</v>
      </c>
      <c r="F35" s="192">
        <f>'5a'!F35/'5a'!J35*100</f>
        <v>0.11318681318681319</v>
      </c>
      <c r="G35" s="157">
        <f>'5a'!G35/'5a'!K35*100</f>
        <v>6.8631252423419942E-2</v>
      </c>
      <c r="H35" s="157">
        <f>'5a'!H35/'5a'!L35*100</f>
        <v>0.19331742243436753</v>
      </c>
      <c r="I35" s="207">
        <f>'5a'!I35/'5a'!M35*100</f>
        <v>0.10214929512364225</v>
      </c>
      <c r="J35" s="48">
        <f>IFERROR('5a'!J35/'5a'!J35*100, "na")</f>
        <v>100</v>
      </c>
      <c r="K35" s="49">
        <f>IFERROR('5a'!K35/'5a'!K35*100, "na")</f>
        <v>100</v>
      </c>
      <c r="L35" s="49">
        <f>IFERROR('5a'!L35/'5a'!L35*100, "na")</f>
        <v>100</v>
      </c>
      <c r="M35" s="50">
        <f>IFERROR('5a'!M35/'5a'!M35*100, "na")</f>
        <v>100</v>
      </c>
    </row>
    <row r="37" spans="1:14">
      <c r="A37" s="389" t="s">
        <v>77</v>
      </c>
      <c r="B37" s="391"/>
      <c r="C37" s="391"/>
      <c r="D37" s="391"/>
      <c r="E37" s="391"/>
      <c r="F37" s="391"/>
      <c r="G37" s="391"/>
      <c r="H37" s="391"/>
      <c r="I37" s="390"/>
      <c r="J37" s="145"/>
      <c r="K37" s="145"/>
      <c r="L37" s="145"/>
      <c r="M37" s="145"/>
      <c r="N37" s="18"/>
    </row>
    <row r="38" spans="1:14">
      <c r="A38" s="15" t="s">
        <v>53</v>
      </c>
      <c r="B38" s="82">
        <f>B15-B6</f>
        <v>-0.31633487864739568</v>
      </c>
      <c r="C38" s="83">
        <f t="shared" ref="C38:I38" si="0">C15-C6</f>
        <v>-0.4682737501780373</v>
      </c>
      <c r="D38" s="83">
        <f t="shared" si="0"/>
        <v>1.8921785528370643</v>
      </c>
      <c r="E38" s="84">
        <f t="shared" si="0"/>
        <v>0.50085056853791732</v>
      </c>
      <c r="F38" s="214">
        <f t="shared" si="0"/>
        <v>-1.0817198436505748E-2</v>
      </c>
      <c r="G38" s="83">
        <f t="shared" si="0"/>
        <v>7.3244552058111395E-2</v>
      </c>
      <c r="H38" s="83">
        <f t="shared" si="0"/>
        <v>-0.45217334721499225</v>
      </c>
      <c r="I38" s="84">
        <f t="shared" si="0"/>
        <v>-0.26427042381917476</v>
      </c>
      <c r="J38" s="18"/>
      <c r="K38" s="18"/>
      <c r="L38" s="18"/>
      <c r="M38" s="18"/>
      <c r="N38" s="18"/>
    </row>
    <row r="39" spans="1:14">
      <c r="A39" s="16" t="s">
        <v>71</v>
      </c>
      <c r="B39" s="85">
        <f>B25-B15</f>
        <v>0.55837803964724042</v>
      </c>
      <c r="C39" s="86">
        <f t="shared" ref="C39:I39" si="1">C25-C15</f>
        <v>0.71483569037371042</v>
      </c>
      <c r="D39" s="86">
        <f t="shared" si="1"/>
        <v>4.8736067150413769</v>
      </c>
      <c r="E39" s="87">
        <f t="shared" si="1"/>
        <v>1.8665127870607323</v>
      </c>
      <c r="F39" s="143">
        <f t="shared" si="1"/>
        <v>6.1595365827563364E-3</v>
      </c>
      <c r="G39" s="86">
        <f t="shared" si="1"/>
        <v>2.0770421989934174E-2</v>
      </c>
      <c r="H39" s="86">
        <f t="shared" si="1"/>
        <v>-0.38210817561311711</v>
      </c>
      <c r="I39" s="87">
        <f t="shared" si="1"/>
        <v>-0.12250489236790604</v>
      </c>
    </row>
    <row r="40" spans="1:14">
      <c r="A40" s="16" t="s">
        <v>69</v>
      </c>
      <c r="B40" s="85">
        <f>B35-B25</f>
        <v>-0.74493500599695295</v>
      </c>
      <c r="C40" s="86">
        <f t="shared" ref="C40:I40" si="2">C35-C25</f>
        <v>-1.0780594987027807</v>
      </c>
      <c r="D40" s="86">
        <f t="shared" si="2"/>
        <v>-5.806796779881811</v>
      </c>
      <c r="E40" s="87">
        <f t="shared" si="2"/>
        <v>-2.5295823453438429</v>
      </c>
      <c r="F40" s="143">
        <f t="shared" si="2"/>
        <v>-2.2506402152419849E-2</v>
      </c>
      <c r="G40" s="86">
        <f t="shared" si="2"/>
        <v>-5.9282026709371383E-2</v>
      </c>
      <c r="H40" s="86">
        <f t="shared" si="2"/>
        <v>6.4363651144829809E-2</v>
      </c>
      <c r="I40" s="87">
        <f t="shared" si="2"/>
        <v>-2.8009435035087918E-2</v>
      </c>
    </row>
    <row r="41" spans="1:14">
      <c r="A41" s="17" t="s">
        <v>70</v>
      </c>
      <c r="B41" s="88">
        <f>B35-B6</f>
        <v>-0.50289184499710815</v>
      </c>
      <c r="C41" s="89">
        <f t="shared" ref="C41:I41" si="3">C35-C6</f>
        <v>-0.8314975585071076</v>
      </c>
      <c r="D41" s="89">
        <f t="shared" si="3"/>
        <v>0.95898848799663061</v>
      </c>
      <c r="E41" s="90">
        <f t="shared" si="3"/>
        <v>-0.16221898974519328</v>
      </c>
      <c r="F41" s="215">
        <f t="shared" si="3"/>
        <v>-2.7164064006169261E-2</v>
      </c>
      <c r="G41" s="89">
        <f>G35-G6</f>
        <v>3.4732947338674179E-2</v>
      </c>
      <c r="H41" s="89">
        <f t="shared" si="3"/>
        <v>-0.76991787168327952</v>
      </c>
      <c r="I41" s="90">
        <f t="shared" si="3"/>
        <v>-0.41478475122216873</v>
      </c>
    </row>
    <row r="42" spans="1:14">
      <c r="J42" s="18"/>
      <c r="K42" s="18"/>
      <c r="L42" s="18"/>
      <c r="M42" s="18"/>
      <c r="N42" s="18"/>
    </row>
    <row r="43" spans="1:14">
      <c r="A43" s="1" t="s">
        <v>85</v>
      </c>
    </row>
  </sheetData>
  <mergeCells count="5">
    <mergeCell ref="J4:M4"/>
    <mergeCell ref="B4:E4"/>
    <mergeCell ref="F4:I4"/>
    <mergeCell ref="A37:I37"/>
    <mergeCell ref="A1:H2"/>
  </mergeCells>
  <pageMargins left="0.7" right="0.7" top="0.75" bottom="0.75" header="0.3" footer="0.3"/>
  <pageSetup scale="64" orientation="landscape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7"/>
  <dimension ref="A1:P49"/>
  <sheetViews>
    <sheetView zoomScaleNormal="100" workbookViewId="0">
      <selection activeCell="A51" sqref="A51"/>
    </sheetView>
  </sheetViews>
  <sheetFormatPr defaultRowHeight="15"/>
  <cols>
    <col min="1" max="1" width="9.7109375" style="1" customWidth="1"/>
    <col min="2" max="2" width="11.42578125" style="1" customWidth="1"/>
    <col min="3" max="3" width="9.140625" style="1"/>
    <col min="4" max="5" width="17.28515625" style="1" customWidth="1"/>
    <col min="6" max="6" width="11.140625" style="1" customWidth="1"/>
    <col min="7" max="7" width="9.140625" style="1"/>
    <col min="8" max="9" width="17.5703125" style="1" customWidth="1"/>
    <col min="10" max="10" width="10.85546875" style="1" customWidth="1"/>
    <col min="11" max="11" width="9.5703125" style="1" bestFit="1" customWidth="1"/>
    <col min="12" max="12" width="19.28515625" style="1" customWidth="1"/>
    <col min="13" max="13" width="14" style="1" customWidth="1"/>
    <col min="14" max="16384" width="9.140625" style="1"/>
  </cols>
  <sheetData>
    <row r="1" spans="1:16">
      <c r="A1" s="2" t="s">
        <v>108</v>
      </c>
    </row>
    <row r="4" spans="1:16"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7" t="s">
        <v>42</v>
      </c>
      <c r="K4" s="375"/>
      <c r="L4" s="375"/>
      <c r="M4" s="376"/>
    </row>
    <row r="5" spans="1:16" ht="30"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3" t="s">
        <v>0</v>
      </c>
      <c r="K5" s="4" t="s">
        <v>1</v>
      </c>
      <c r="L5" s="4" t="s">
        <v>2</v>
      </c>
      <c r="M5" s="5" t="s">
        <v>72</v>
      </c>
    </row>
    <row r="6" spans="1:16">
      <c r="A6" s="27">
        <v>1981</v>
      </c>
      <c r="B6" s="37">
        <f>'5a'!B6/'5a'!$E6*100</f>
        <v>40.909090909090914</v>
      </c>
      <c r="C6" s="34">
        <f>'5a'!C6/'5a'!$E6*100</f>
        <v>40.209790209790206</v>
      </c>
      <c r="D6" s="34">
        <f>'5a'!D6/'5a'!$E6*100</f>
        <v>18.88111888111888</v>
      </c>
      <c r="E6" s="38">
        <f>SUM(B6:D6)</f>
        <v>100</v>
      </c>
      <c r="F6" s="37">
        <f>'5a'!F6/'5a'!$I6*100</f>
        <v>8.2758620689655178</v>
      </c>
      <c r="G6" s="34">
        <f>'5a'!G6/'5a'!$I6*100</f>
        <v>1.3793103448275863</v>
      </c>
      <c r="H6" s="34">
        <f>'5a'!H6/'5a'!$I6*100</f>
        <v>90.344827586206904</v>
      </c>
      <c r="I6" s="38">
        <f>SUM(F6:H6)</f>
        <v>100</v>
      </c>
      <c r="J6" s="85">
        <f>'5a'!J6/'5a'!$M6*100</f>
        <v>30.481283422459892</v>
      </c>
      <c r="K6" s="86">
        <f>'5a'!K6/'5a'!$M6*100</f>
        <v>21.03386809269162</v>
      </c>
      <c r="L6" s="86">
        <f>'5a'!L6/'5a'!$M6*100</f>
        <v>48.484848484848484</v>
      </c>
      <c r="M6" s="38">
        <f>SUM(J6:L6)</f>
        <v>100</v>
      </c>
    </row>
    <row r="7" spans="1:16">
      <c r="A7" s="28">
        <v>1982</v>
      </c>
      <c r="B7" s="37">
        <f>'5a'!B7/'5a'!$E7*100</f>
        <v>8.536585365853659</v>
      </c>
      <c r="C7" s="34">
        <f>'5a'!C7/'5a'!$E7*100</f>
        <v>23.170731707317074</v>
      </c>
      <c r="D7" s="34">
        <f>'5a'!D7/'5a'!$E7*100</f>
        <v>68.292682926829272</v>
      </c>
      <c r="E7" s="38">
        <f t="shared" ref="E7:E35" si="0">SUM(B7:D7)</f>
        <v>100</v>
      </c>
      <c r="F7" s="37">
        <f>'5a'!F7/'5a'!$I7*100</f>
        <v>2.4793388429752068</v>
      </c>
      <c r="G7" s="34">
        <f>'5a'!G7/'5a'!$I7*100</f>
        <v>1.2396694214876034</v>
      </c>
      <c r="H7" s="34">
        <f>'5a'!H7/'5a'!$I7*100</f>
        <v>96.280991735537185</v>
      </c>
      <c r="I7" s="38">
        <f t="shared" ref="I7:I35" si="1">SUM(F7:H7)</f>
        <v>100</v>
      </c>
      <c r="J7" s="85">
        <f>'5a'!J7/'5a'!$M7*100</f>
        <v>30.582524271844658</v>
      </c>
      <c r="K7" s="86">
        <f>'5a'!K7/'5a'!$M7*100</f>
        <v>22.653721682847898</v>
      </c>
      <c r="L7" s="86">
        <f>'5a'!L7/'5a'!$M7*100</f>
        <v>46.763754045307444</v>
      </c>
      <c r="M7" s="38">
        <f t="shared" ref="M7:M35" si="2">SUM(J7:L7)</f>
        <v>100</v>
      </c>
    </row>
    <row r="8" spans="1:16">
      <c r="A8" s="28">
        <v>1983</v>
      </c>
      <c r="B8" s="37">
        <f>'5a'!B8/'5a'!$E8*100</f>
        <v>11.818181818181818</v>
      </c>
      <c r="C8" s="34">
        <f>'5a'!C8/'5a'!$E8*100</f>
        <v>13.636363636363635</v>
      </c>
      <c r="D8" s="34">
        <f>'5a'!D8/'5a'!$E8*100</f>
        <v>74.545454545454547</v>
      </c>
      <c r="E8" s="38">
        <f t="shared" si="0"/>
        <v>100</v>
      </c>
      <c r="F8" s="37">
        <f>'5a'!F8/'5a'!$I8*100</f>
        <v>1.9607843137254901</v>
      </c>
      <c r="G8" s="34">
        <f>'5a'!G8/'5a'!$I8*100</f>
        <v>0.49019607843137253</v>
      </c>
      <c r="H8" s="34">
        <f>'5a'!H8/'5a'!$I8*100</f>
        <v>97.549019607843135</v>
      </c>
      <c r="I8" s="38">
        <f t="shared" si="1"/>
        <v>100</v>
      </c>
      <c r="J8" s="85">
        <f>'5a'!J8/'5a'!$M8*100</f>
        <v>34.240687679083095</v>
      </c>
      <c r="K8" s="86">
        <f>'5a'!K8/'5a'!$M8*100</f>
        <v>23.495702005730653</v>
      </c>
      <c r="L8" s="86">
        <f>'5a'!L8/'5a'!$M8*100</f>
        <v>42.263610315186249</v>
      </c>
      <c r="M8" s="38">
        <f t="shared" si="2"/>
        <v>100</v>
      </c>
      <c r="P8" s="154"/>
    </row>
    <row r="9" spans="1:16">
      <c r="A9" s="28">
        <v>1984</v>
      </c>
      <c r="B9" s="37">
        <f>'5a'!B9/'5a'!$E9*100</f>
        <v>12.152777777777777</v>
      </c>
      <c r="C9" s="34">
        <f>'5a'!C9/'5a'!$E9*100</f>
        <v>10.590277777777777</v>
      </c>
      <c r="D9" s="34">
        <f>'5a'!D9/'5a'!$E9*100</f>
        <v>77.256944444444443</v>
      </c>
      <c r="E9" s="38">
        <f t="shared" si="0"/>
        <v>100</v>
      </c>
      <c r="F9" s="37">
        <f>'5a'!F9/'5a'!$I9*100</f>
        <v>1.2461059190031152</v>
      </c>
      <c r="G9" s="34">
        <f>'5a'!G9/'5a'!$I9*100</f>
        <v>0.3115264797507788</v>
      </c>
      <c r="H9" s="34">
        <f>'5a'!H9/'5a'!$I9*100</f>
        <v>98.442367601246104</v>
      </c>
      <c r="I9" s="38">
        <f t="shared" si="1"/>
        <v>100</v>
      </c>
      <c r="J9" s="85">
        <f>'5a'!J9/'5a'!$M9*100</f>
        <v>36.744186046511629</v>
      </c>
      <c r="K9" s="86">
        <f>'5a'!K9/'5a'!$M9*100</f>
        <v>23.720930232558139</v>
      </c>
      <c r="L9" s="86">
        <f>'5a'!L9/'5a'!$M9*100</f>
        <v>39.534883720930232</v>
      </c>
      <c r="M9" s="38">
        <f t="shared" si="2"/>
        <v>100</v>
      </c>
    </row>
    <row r="10" spans="1:16">
      <c r="A10" s="28">
        <v>1985</v>
      </c>
      <c r="B10" s="37">
        <f>'5a'!B10/'5a'!$E10*100</f>
        <v>13.798449612403102</v>
      </c>
      <c r="C10" s="34">
        <f>'5a'!C10/'5a'!$E10*100</f>
        <v>13.023255813953488</v>
      </c>
      <c r="D10" s="34">
        <f>'5a'!D10/'5a'!$E10*100</f>
        <v>73.178294573643413</v>
      </c>
      <c r="E10" s="38">
        <f t="shared" si="0"/>
        <v>100</v>
      </c>
      <c r="F10" s="37">
        <f>'5a'!F10/'5a'!$I10*100</f>
        <v>1.7804154302670623</v>
      </c>
      <c r="G10" s="34">
        <f>'5a'!G10/'5a'!$I10*100</f>
        <v>0.59347181008902083</v>
      </c>
      <c r="H10" s="34">
        <f>'5a'!H10/'5a'!$I10*100</f>
        <v>97.626112759643917</v>
      </c>
      <c r="I10" s="38">
        <f t="shared" si="1"/>
        <v>100</v>
      </c>
      <c r="J10" s="85">
        <f>'5a'!J10/'5a'!$M10*100</f>
        <v>35.661375661375658</v>
      </c>
      <c r="K10" s="86">
        <f>'5a'!K10/'5a'!$M10*100</f>
        <v>25.185185185185183</v>
      </c>
      <c r="L10" s="86">
        <f>'5a'!L10/'5a'!$M10*100</f>
        <v>39.153439153439152</v>
      </c>
      <c r="M10" s="38">
        <f t="shared" si="2"/>
        <v>100</v>
      </c>
    </row>
    <row r="11" spans="1:16">
      <c r="A11" s="28">
        <v>1986</v>
      </c>
      <c r="B11" s="37">
        <f>'5a'!B11/'5a'!$E11*100</f>
        <v>13.839750260145681</v>
      </c>
      <c r="C11" s="34">
        <f>'5a'!C11/'5a'!$E11*100</f>
        <v>13.215400624349636</v>
      </c>
      <c r="D11" s="34">
        <f>'5a'!D11/'5a'!$E11*100</f>
        <v>72.944849115504681</v>
      </c>
      <c r="E11" s="38">
        <f t="shared" si="0"/>
        <v>100</v>
      </c>
      <c r="F11" s="37">
        <f>'5a'!F11/'5a'!$I11*100</f>
        <v>2.109704641350211</v>
      </c>
      <c r="G11" s="34">
        <f>'5a'!G11/'5a'!$I11*100</f>
        <v>0.8438818565400843</v>
      </c>
      <c r="H11" s="34">
        <f>'5a'!H11/'5a'!$I11*100</f>
        <v>97.046413502109701</v>
      </c>
      <c r="I11" s="38">
        <f t="shared" si="1"/>
        <v>100</v>
      </c>
      <c r="J11" s="85">
        <f>'5a'!J11/'5a'!$M11*100</f>
        <v>34.046890927624872</v>
      </c>
      <c r="K11" s="86">
        <f>'5a'!K11/'5a'!$M11*100</f>
        <v>26.095820591233437</v>
      </c>
      <c r="L11" s="86">
        <f>'5a'!L11/'5a'!$M11*100</f>
        <v>39.857288481141687</v>
      </c>
      <c r="M11" s="38">
        <f t="shared" si="2"/>
        <v>100</v>
      </c>
    </row>
    <row r="12" spans="1:16">
      <c r="A12" s="28">
        <v>1987</v>
      </c>
      <c r="B12" s="37">
        <f>'5a'!B12/'5a'!$E12*100</f>
        <v>19.647355163727958</v>
      </c>
      <c r="C12" s="34">
        <f>'5a'!C12/'5a'!$E12*100</f>
        <v>19.647355163727958</v>
      </c>
      <c r="D12" s="34">
        <f>'5a'!D12/'5a'!$E12*100</f>
        <v>60.705289672544083</v>
      </c>
      <c r="E12" s="38">
        <f t="shared" si="0"/>
        <v>100</v>
      </c>
      <c r="F12" s="37">
        <f>'5a'!F12/'5a'!$I12*100</f>
        <v>2.3696682464454977</v>
      </c>
      <c r="G12" s="34">
        <f>'5a'!G12/'5a'!$I12*100</f>
        <v>1.4218009478672986</v>
      </c>
      <c r="H12" s="34">
        <f>'5a'!H12/'5a'!$I12*100</f>
        <v>96.208530805687204</v>
      </c>
      <c r="I12" s="38">
        <f t="shared" si="1"/>
        <v>100</v>
      </c>
      <c r="J12" s="85">
        <f>'5a'!J12/'5a'!$M12*100</f>
        <v>34.42307692307692</v>
      </c>
      <c r="K12" s="86">
        <f>'5a'!K12/'5a'!$M12*100</f>
        <v>27.884615384615387</v>
      </c>
      <c r="L12" s="86">
        <f>'5a'!L12/'5a'!$M12*100</f>
        <v>37.692307692307693</v>
      </c>
      <c r="M12" s="38">
        <f t="shared" si="2"/>
        <v>100</v>
      </c>
    </row>
    <row r="13" spans="1:16">
      <c r="A13" s="28">
        <v>1988</v>
      </c>
      <c r="B13" s="37">
        <f>'5a'!B13/'5a'!$E13*100</f>
        <v>14.475431606905712</v>
      </c>
      <c r="C13" s="34">
        <f>'5a'!C13/'5a'!$E13*100</f>
        <v>16.998671978751659</v>
      </c>
      <c r="D13" s="34">
        <f>'5a'!D13/'5a'!$E13*100</f>
        <v>68.525896414342625</v>
      </c>
      <c r="E13" s="38">
        <f t="shared" si="0"/>
        <v>100</v>
      </c>
      <c r="F13" s="37">
        <f>'5a'!F13/'5a'!$I13*100</f>
        <v>4.8</v>
      </c>
      <c r="G13" s="34">
        <f>'5a'!G13/'5a'!$I13*100</f>
        <v>2.4</v>
      </c>
      <c r="H13" s="34">
        <f>'5a'!H13/'5a'!$I13*100</f>
        <v>92.800000000000011</v>
      </c>
      <c r="I13" s="38">
        <f t="shared" si="1"/>
        <v>100.00000000000001</v>
      </c>
      <c r="J13" s="85">
        <f>'5a'!J13/'5a'!$M13*100</f>
        <v>32.786885245901637</v>
      </c>
      <c r="K13" s="86">
        <f>'5a'!K13/'5a'!$M13*100</f>
        <v>29.508196721311474</v>
      </c>
      <c r="L13" s="86">
        <f>'5a'!L13/'5a'!$M13*100</f>
        <v>37.704918032786885</v>
      </c>
      <c r="M13" s="38">
        <f t="shared" si="2"/>
        <v>100</v>
      </c>
    </row>
    <row r="14" spans="1:16">
      <c r="A14" s="28">
        <v>1989</v>
      </c>
      <c r="B14" s="37">
        <f>'5a'!B14/'5a'!$E14*100</f>
        <v>12.673450508788159</v>
      </c>
      <c r="C14" s="34">
        <f>'5a'!C14/'5a'!$E14*100</f>
        <v>16.836262719703978</v>
      </c>
      <c r="D14" s="34">
        <f>'5a'!D14/'5a'!$E14*100</f>
        <v>70.490286771507854</v>
      </c>
      <c r="E14" s="38">
        <f t="shared" si="0"/>
        <v>100</v>
      </c>
      <c r="F14" s="37">
        <f>'5a'!F14/'5a'!$I14*100</f>
        <v>8.5253456221198167</v>
      </c>
      <c r="G14" s="34">
        <f>'5a'!G14/'5a'!$I14*100</f>
        <v>6.6820276497695854</v>
      </c>
      <c r="H14" s="34">
        <f>'5a'!H14/'5a'!$I14*100</f>
        <v>84.792626728110605</v>
      </c>
      <c r="I14" s="38">
        <f t="shared" si="1"/>
        <v>100</v>
      </c>
      <c r="J14" s="85">
        <f>'5a'!J14/'5a'!$M14*100</f>
        <v>33.514774494556768</v>
      </c>
      <c r="K14" s="86">
        <f>'5a'!K14/'5a'!$M14*100</f>
        <v>32.581648522550545</v>
      </c>
      <c r="L14" s="86">
        <f>'5a'!L14/'5a'!$M14*100</f>
        <v>33.903576982892695</v>
      </c>
      <c r="M14" s="38">
        <f t="shared" si="2"/>
        <v>100</v>
      </c>
    </row>
    <row r="15" spans="1:16">
      <c r="A15" s="28">
        <v>1990</v>
      </c>
      <c r="B15" s="37">
        <f>'5a'!B15/'5a'!$E15*100</f>
        <v>10.692771084337348</v>
      </c>
      <c r="C15" s="34">
        <f>'5a'!C15/'5a'!$E15*100</f>
        <v>18.147590361445783</v>
      </c>
      <c r="D15" s="34">
        <f>'5a'!D15/'5a'!$E15*100</f>
        <v>71.159638554216869</v>
      </c>
      <c r="E15" s="38">
        <f t="shared" si="0"/>
        <v>100</v>
      </c>
      <c r="F15" s="37">
        <f>'5a'!F15/'5a'!$I15*100</f>
        <v>15.060240963855422</v>
      </c>
      <c r="G15" s="34">
        <f>'5a'!G15/'5a'!$I15*100</f>
        <v>15.361445783132529</v>
      </c>
      <c r="H15" s="34">
        <f>'5a'!H15/'5a'!$I15*100</f>
        <v>69.578313253012041</v>
      </c>
      <c r="I15" s="38">
        <f t="shared" si="1"/>
        <v>100</v>
      </c>
      <c r="J15" s="85">
        <f>'5a'!J15/'5a'!$M15*100</f>
        <v>29.37595129375951</v>
      </c>
      <c r="K15" s="86">
        <f>'5a'!K15/'5a'!$M15*100</f>
        <v>36.225266362252661</v>
      </c>
      <c r="L15" s="86">
        <f>'5a'!L15/'5a'!$M15*100</f>
        <v>34.398782343987818</v>
      </c>
      <c r="M15" s="38">
        <f t="shared" si="2"/>
        <v>99.999999999999986</v>
      </c>
    </row>
    <row r="16" spans="1:16">
      <c r="A16" s="28">
        <v>1991</v>
      </c>
      <c r="B16" s="37">
        <f>'5a'!B16/'5a'!$E16*100</f>
        <v>10.550113036925396</v>
      </c>
      <c r="C16" s="34">
        <f>'5a'!C16/'5a'!$E16*100</f>
        <v>22.532027128862094</v>
      </c>
      <c r="D16" s="34">
        <f>'5a'!D16/'5a'!$E16*100</f>
        <v>66.917859834212507</v>
      </c>
      <c r="E16" s="38">
        <f t="shared" si="0"/>
        <v>100</v>
      </c>
      <c r="F16" s="37">
        <f>'5a'!F16/'5a'!$I16*100</f>
        <v>19.397993311036789</v>
      </c>
      <c r="G16" s="34">
        <f>'5a'!G16/'5a'!$I16*100</f>
        <v>25.083612040133779</v>
      </c>
      <c r="H16" s="34">
        <f>'5a'!H16/'5a'!$I16*100</f>
        <v>55.518394648829428</v>
      </c>
      <c r="I16" s="38">
        <f t="shared" si="1"/>
        <v>100</v>
      </c>
      <c r="J16" s="85">
        <f>'5a'!J16/'5a'!$M16*100</f>
        <v>27.905255366395266</v>
      </c>
      <c r="K16" s="86">
        <f>'5a'!K16/'5a'!$M16*100</f>
        <v>39.748334566987417</v>
      </c>
      <c r="L16" s="86">
        <f>'5a'!L16/'5a'!$M16*100</f>
        <v>32.346410066617324</v>
      </c>
      <c r="M16" s="38">
        <f t="shared" si="2"/>
        <v>100</v>
      </c>
    </row>
    <row r="17" spans="1:13">
      <c r="A17" s="28">
        <v>1992</v>
      </c>
      <c r="B17" s="37">
        <f>'5a'!B17/'5a'!$E17*100</f>
        <v>5.9972583961617545</v>
      </c>
      <c r="C17" s="34">
        <f>'5a'!C17/'5a'!$E17*100</f>
        <v>11.686086360520905</v>
      </c>
      <c r="D17" s="34">
        <f>'5a'!D17/'5a'!$E17*100</f>
        <v>82.316655243317342</v>
      </c>
      <c r="E17" s="38">
        <f t="shared" si="0"/>
        <v>100</v>
      </c>
      <c r="F17" s="37">
        <f>'5a'!F17/'5a'!$I17*100</f>
        <v>30.693069306930692</v>
      </c>
      <c r="G17" s="34">
        <f>'5a'!G17/'5a'!$I17*100</f>
        <v>33.993399339933994</v>
      </c>
      <c r="H17" s="34">
        <f>'5a'!H17/'5a'!$I17*100</f>
        <v>35.313531353135311</v>
      </c>
      <c r="I17" s="38">
        <f t="shared" si="1"/>
        <v>100</v>
      </c>
      <c r="J17" s="85">
        <f>'5a'!J17/'5a'!$M17*100</f>
        <v>29.519295870006772</v>
      </c>
      <c r="K17" s="86">
        <f>'5a'!K17/'5a'!$M17*100</f>
        <v>39.201083276912662</v>
      </c>
      <c r="L17" s="86">
        <f>'5a'!L17/'5a'!$M17*100</f>
        <v>31.279620853080569</v>
      </c>
      <c r="M17" s="38">
        <f t="shared" si="2"/>
        <v>100.00000000000001</v>
      </c>
    </row>
    <row r="18" spans="1:13">
      <c r="A18" s="28">
        <v>1993</v>
      </c>
      <c r="B18" s="37">
        <f>'5a'!B18/'5a'!$E18*100</f>
        <v>7.6120959332638165</v>
      </c>
      <c r="C18" s="34">
        <f>'5a'!C18/'5a'!$E18*100</f>
        <v>15.641293013555787</v>
      </c>
      <c r="D18" s="34">
        <f>'5a'!D18/'5a'!$E18*100</f>
        <v>76.746611053180388</v>
      </c>
      <c r="E18" s="38">
        <f t="shared" si="0"/>
        <v>100</v>
      </c>
      <c r="F18" s="37">
        <f>'5a'!F18/'5a'!$I18*100</f>
        <v>28.664072632944226</v>
      </c>
      <c r="G18" s="34">
        <f>'5a'!G18/'5a'!$I18*100</f>
        <v>42.671854734111541</v>
      </c>
      <c r="H18" s="34">
        <f>'5a'!H18/'5a'!$I18*100</f>
        <v>28.664072632944226</v>
      </c>
      <c r="I18" s="38">
        <f t="shared" si="1"/>
        <v>100</v>
      </c>
      <c r="J18" s="85">
        <f>'5a'!J18/'5a'!$M18*100</f>
        <v>29.595015576323984</v>
      </c>
      <c r="K18" s="86">
        <f>'5a'!K18/'5a'!$M18*100</f>
        <v>40.062305295950154</v>
      </c>
      <c r="L18" s="86">
        <f>'5a'!L18/'5a'!$M18*100</f>
        <v>30.342679127725859</v>
      </c>
      <c r="M18" s="38">
        <f t="shared" si="2"/>
        <v>100</v>
      </c>
    </row>
    <row r="19" spans="1:13">
      <c r="A19" s="28">
        <v>1994</v>
      </c>
      <c r="B19" s="37">
        <f>'5a'!B19/'5a'!$E19*100</f>
        <v>7.1321321321321323</v>
      </c>
      <c r="C19" s="34">
        <f>'5a'!C19/'5a'!$E19*100</f>
        <v>15.840840840840842</v>
      </c>
      <c r="D19" s="34">
        <f>'5a'!D19/'5a'!$E19*100</f>
        <v>77.027027027027032</v>
      </c>
      <c r="E19" s="38">
        <f t="shared" si="0"/>
        <v>100</v>
      </c>
      <c r="F19" s="37">
        <f>'5a'!F19/'5a'!$I19*100</f>
        <v>29.035639412997906</v>
      </c>
      <c r="G19" s="34">
        <f>'5a'!G19/'5a'!$I19*100</f>
        <v>42.662473794549264</v>
      </c>
      <c r="H19" s="34">
        <f>'5a'!H19/'5a'!$I19*100</f>
        <v>28.30188679245283</v>
      </c>
      <c r="I19" s="38">
        <f t="shared" si="1"/>
        <v>100</v>
      </c>
      <c r="J19" s="85">
        <f>'5a'!J19/'5a'!$M19*100</f>
        <v>29.322033898305083</v>
      </c>
      <c r="K19" s="86">
        <f>'5a'!K19/'5a'!$M19*100</f>
        <v>38.587570621468927</v>
      </c>
      <c r="L19" s="86">
        <f>'5a'!L19/'5a'!$M19*100</f>
        <v>32.090395480225986</v>
      </c>
      <c r="M19" s="38">
        <f t="shared" si="2"/>
        <v>100</v>
      </c>
    </row>
    <row r="20" spans="1:13">
      <c r="A20" s="28">
        <v>1995</v>
      </c>
      <c r="B20" s="37">
        <f>'5a'!B20/'5a'!$E20*100</f>
        <v>7.4408991086422942</v>
      </c>
      <c r="C20" s="34">
        <f>'5a'!C20/'5a'!$E20*100</f>
        <v>13.977522283942642</v>
      </c>
      <c r="D20" s="34">
        <f>'5a'!D20/'5a'!$E20*100</f>
        <v>78.581578607415054</v>
      </c>
      <c r="E20" s="38">
        <f t="shared" si="0"/>
        <v>99.999999999999986</v>
      </c>
      <c r="F20" s="37">
        <f>'5a'!F20/'5a'!$I20*100</f>
        <v>34.270270270270267</v>
      </c>
      <c r="G20" s="34">
        <f>'5a'!G20/'5a'!$I20*100</f>
        <v>38.594594594594597</v>
      </c>
      <c r="H20" s="34">
        <f>'5a'!H20/'5a'!$I20*100</f>
        <v>27.135135135135137</v>
      </c>
      <c r="I20" s="38">
        <f t="shared" si="1"/>
        <v>100</v>
      </c>
      <c r="J20" s="85">
        <f>'5a'!J20/'5a'!$M20*100</f>
        <v>32.170923379174852</v>
      </c>
      <c r="K20" s="86">
        <f>'5a'!K20/'5a'!$M20*100</f>
        <v>36.640471512770141</v>
      </c>
      <c r="L20" s="86">
        <f>'5a'!L20/'5a'!$M20*100</f>
        <v>31.188605108055011</v>
      </c>
      <c r="M20" s="38">
        <f t="shared" si="2"/>
        <v>100</v>
      </c>
    </row>
    <row r="21" spans="1:13">
      <c r="A21" s="28">
        <v>1996</v>
      </c>
      <c r="B21" s="37">
        <f>'5a'!B21/'5a'!$E21*100</f>
        <v>7.5414476344520827</v>
      </c>
      <c r="C21" s="34">
        <f>'5a'!C21/'5a'!$E21*100</f>
        <v>14.607763849575415</v>
      </c>
      <c r="D21" s="34">
        <f>'5a'!D21/'5a'!$E21*100</f>
        <v>77.850788515972496</v>
      </c>
      <c r="E21" s="38">
        <f t="shared" si="0"/>
        <v>100</v>
      </c>
      <c r="F21" s="37">
        <f>'5a'!F21/'5a'!$I21*100</f>
        <v>33.185840707964601</v>
      </c>
      <c r="G21" s="34">
        <f>'5a'!G21/'5a'!$I21*100</f>
        <v>39.269911504424783</v>
      </c>
      <c r="H21" s="34">
        <f>'5a'!H21/'5a'!$I21*100</f>
        <v>27.544247787610622</v>
      </c>
      <c r="I21" s="38">
        <f t="shared" si="1"/>
        <v>100</v>
      </c>
      <c r="J21" s="85">
        <f>'5a'!J21/'5a'!$M21*100</f>
        <v>31.567425569176883</v>
      </c>
      <c r="K21" s="86">
        <f>'5a'!K21/'5a'!$M21*100</f>
        <v>37.434325744308232</v>
      </c>
      <c r="L21" s="86">
        <f>'5a'!L21/'5a'!$M21*100</f>
        <v>30.998248686514884</v>
      </c>
      <c r="M21" s="38">
        <f t="shared" si="2"/>
        <v>100</v>
      </c>
    </row>
    <row r="22" spans="1:13">
      <c r="A22" s="28">
        <v>1997</v>
      </c>
      <c r="B22" s="37">
        <f>'5a'!B22/'5a'!$E22*100</f>
        <v>8.3605583605583611</v>
      </c>
      <c r="C22" s="34">
        <f>'5a'!C22/'5a'!$E22*100</f>
        <v>16.290466290466291</v>
      </c>
      <c r="D22" s="34">
        <f>'5a'!D22/'5a'!$E22*100</f>
        <v>75.348975348975344</v>
      </c>
      <c r="E22" s="38">
        <f t="shared" si="0"/>
        <v>100</v>
      </c>
      <c r="F22" s="37">
        <f>'5a'!F22/'5a'!$I22*100</f>
        <v>32.435740514075889</v>
      </c>
      <c r="G22" s="34">
        <f>'5a'!G22/'5a'!$I22*100</f>
        <v>42.350061199510399</v>
      </c>
      <c r="H22" s="34">
        <f>'5a'!H22/'5a'!$I22*100</f>
        <v>25.214198286413708</v>
      </c>
      <c r="I22" s="38">
        <f t="shared" si="1"/>
        <v>100</v>
      </c>
      <c r="J22" s="85">
        <f>'5a'!J22/'5a'!$M22*100</f>
        <v>30.16759776536313</v>
      </c>
      <c r="K22" s="86">
        <f>'5a'!K22/'5a'!$M22*100</f>
        <v>40.037243947858478</v>
      </c>
      <c r="L22" s="86">
        <f>'5a'!L22/'5a'!$M22*100</f>
        <v>29.795158286778399</v>
      </c>
      <c r="M22" s="38">
        <f t="shared" si="2"/>
        <v>100.00000000000001</v>
      </c>
    </row>
    <row r="23" spans="1:13">
      <c r="A23" s="28">
        <v>1998</v>
      </c>
      <c r="B23" s="37">
        <f>'5a'!B23/'5a'!$E23*100</f>
        <v>9.0341921892724031</v>
      </c>
      <c r="C23" s="34">
        <f>'5a'!C23/'5a'!$E23*100</f>
        <v>16.739588397342409</v>
      </c>
      <c r="D23" s="34">
        <f>'5a'!D23/'5a'!$E23*100</f>
        <v>74.226219413385181</v>
      </c>
      <c r="E23" s="38">
        <f t="shared" si="0"/>
        <v>100</v>
      </c>
      <c r="F23" s="37">
        <f>'5a'!F23/'5a'!$I23*100</f>
        <v>31.845238095238095</v>
      </c>
      <c r="G23" s="34">
        <f>'5a'!G23/'5a'!$I23*100</f>
        <v>43.055555555555557</v>
      </c>
      <c r="H23" s="34">
        <f>'5a'!H23/'5a'!$I23*100</f>
        <v>25.099206349206348</v>
      </c>
      <c r="I23" s="38">
        <f t="shared" si="1"/>
        <v>100</v>
      </c>
      <c r="J23" s="85">
        <f>'5a'!J23/'5a'!$M23*100</f>
        <v>29.013990672884741</v>
      </c>
      <c r="K23" s="86">
        <f>'5a'!K23/'5a'!$M23*100</f>
        <v>41.972018654230517</v>
      </c>
      <c r="L23" s="86">
        <f>'5a'!L23/'5a'!$M23*100</f>
        <v>29.013990672884741</v>
      </c>
      <c r="M23" s="38">
        <f t="shared" si="2"/>
        <v>100</v>
      </c>
    </row>
    <row r="24" spans="1:13">
      <c r="A24" s="28">
        <v>1999</v>
      </c>
      <c r="B24" s="37">
        <f>'5a'!B24/'5a'!$E24*100</f>
        <v>8.7374036751630104</v>
      </c>
      <c r="C24" s="34">
        <f>'5a'!C24/'5a'!$E24*100</f>
        <v>18.565500889152343</v>
      </c>
      <c r="D24" s="34">
        <f>'5a'!D24/'5a'!$E24*100</f>
        <v>72.697095435684645</v>
      </c>
      <c r="E24" s="38">
        <f t="shared" si="0"/>
        <v>100</v>
      </c>
      <c r="F24" s="37">
        <f>'5a'!F24/'5a'!$I24*100</f>
        <v>27.113702623906704</v>
      </c>
      <c r="G24" s="34">
        <f>'5a'!G24/'5a'!$I24*100</f>
        <v>46.452866861030131</v>
      </c>
      <c r="H24" s="34">
        <f>'5a'!H24/'5a'!$I24*100</f>
        <v>26.433430515063165</v>
      </c>
      <c r="I24" s="38">
        <f t="shared" si="1"/>
        <v>100</v>
      </c>
      <c r="J24" s="85">
        <f>'5a'!J24/'5a'!$M24*100</f>
        <v>27.293382561772223</v>
      </c>
      <c r="K24" s="86">
        <f>'5a'!K24/'5a'!$M24*100</f>
        <v>44.67480829309855</v>
      </c>
      <c r="L24" s="86">
        <f>'5a'!L24/'5a'!$M24*100</f>
        <v>28.031809145129227</v>
      </c>
      <c r="M24" s="38">
        <f t="shared" si="2"/>
        <v>100</v>
      </c>
    </row>
    <row r="25" spans="1:13">
      <c r="A25" s="28">
        <v>2000</v>
      </c>
      <c r="B25" s="37">
        <f>'5a'!B25/'5a'!$E25*100</f>
        <v>7.9952469869292138</v>
      </c>
      <c r="C25" s="34">
        <f>'5a'!C25/'5a'!$E25*100</f>
        <v>19.122390086572739</v>
      </c>
      <c r="D25" s="34">
        <f>'5a'!D25/'5a'!$E25*100</f>
        <v>72.882362926498047</v>
      </c>
      <c r="E25" s="38">
        <f t="shared" si="0"/>
        <v>100</v>
      </c>
      <c r="F25" s="37">
        <f>'5a'!F25/'5a'!$I25*100</f>
        <v>25.891181988742961</v>
      </c>
      <c r="G25" s="34">
        <f>'5a'!G25/'5a'!$I25*100</f>
        <v>44.277673545966231</v>
      </c>
      <c r="H25" s="34">
        <f>'5a'!H25/'5a'!$I25*100</f>
        <v>29.831144465290805</v>
      </c>
      <c r="I25" s="38">
        <f t="shared" si="1"/>
        <v>100</v>
      </c>
      <c r="J25" s="85">
        <f>'5a'!J25/'5a'!$M25*100</f>
        <v>24.835164835164836</v>
      </c>
      <c r="K25" s="86">
        <f>'5a'!K25/'5a'!$M25*100</f>
        <v>45.054945054945058</v>
      </c>
      <c r="L25" s="86">
        <f>'5a'!L25/'5a'!$M25*100</f>
        <v>30.109890109890109</v>
      </c>
      <c r="M25" s="38">
        <f t="shared" si="2"/>
        <v>100</v>
      </c>
    </row>
    <row r="26" spans="1:13">
      <c r="A26" s="28">
        <v>2001</v>
      </c>
      <c r="B26" s="37">
        <f>'5a'!B26/'5a'!$E26*100</f>
        <v>6.998103224518319</v>
      </c>
      <c r="C26" s="34">
        <f>'5a'!C26/'5a'!$E26*100</f>
        <v>19.746431067185785</v>
      </c>
      <c r="D26" s="34">
        <f>'5a'!D26/'5a'!$E26*100</f>
        <v>73.255465708295901</v>
      </c>
      <c r="E26" s="38">
        <f t="shared" si="0"/>
        <v>100</v>
      </c>
      <c r="F26" s="37">
        <f>'5a'!F26/'5a'!$I26*100</f>
        <v>22.600619195046441</v>
      </c>
      <c r="G26" s="34">
        <f>'5a'!G26/'5a'!$I26*100</f>
        <v>41.17647058823529</v>
      </c>
      <c r="H26" s="34">
        <f>'5a'!H26/'5a'!$I26*100</f>
        <v>36.222910216718269</v>
      </c>
      <c r="I26" s="38">
        <f t="shared" si="1"/>
        <v>100</v>
      </c>
      <c r="J26" s="85">
        <f>'5a'!J26/'5a'!$M26*100</f>
        <v>22.469847928683798</v>
      </c>
      <c r="K26" s="86">
        <f>'5a'!K26/'5a'!$M26*100</f>
        <v>48.925013109596229</v>
      </c>
      <c r="L26" s="86">
        <f>'5a'!L26/'5a'!$M26*100</f>
        <v>28.605138961719977</v>
      </c>
      <c r="M26" s="38">
        <f t="shared" si="2"/>
        <v>100</v>
      </c>
    </row>
    <row r="27" spans="1:13">
      <c r="A27" s="28">
        <v>2002</v>
      </c>
      <c r="B27" s="37">
        <f>'5a'!B27/'5a'!$E27*100</f>
        <v>9.6364685516445476</v>
      </c>
      <c r="C27" s="34">
        <f>'5a'!C27/'5a'!$E27*100</f>
        <v>19.907674552798614</v>
      </c>
      <c r="D27" s="34">
        <f>'5a'!D27/'5a'!$E27*100</f>
        <v>70.455856895556835</v>
      </c>
      <c r="E27" s="38">
        <f t="shared" si="0"/>
        <v>100</v>
      </c>
      <c r="F27" s="37">
        <f>'5a'!F27/'5a'!$I27*100</f>
        <v>19.215686274509807</v>
      </c>
      <c r="G27" s="34">
        <f>'5a'!G27/'5a'!$I27*100</f>
        <v>36.86274509803922</v>
      </c>
      <c r="H27" s="34">
        <f>'5a'!H27/'5a'!$I27*100</f>
        <v>43.921568627450981</v>
      </c>
      <c r="I27" s="38">
        <f t="shared" si="1"/>
        <v>100</v>
      </c>
      <c r="J27" s="85">
        <f>'5a'!J27/'5a'!$M27*100</f>
        <v>22.51597908192911</v>
      </c>
      <c r="K27" s="86">
        <f>'5a'!K27/'5a'!$M27*100</f>
        <v>53.166763509587447</v>
      </c>
      <c r="L27" s="86">
        <f>'5a'!L27/'5a'!$M27*100</f>
        <v>24.317257408483439</v>
      </c>
      <c r="M27" s="38">
        <f t="shared" si="2"/>
        <v>100</v>
      </c>
    </row>
    <row r="28" spans="1:13">
      <c r="A28" s="28">
        <v>2003</v>
      </c>
      <c r="B28" s="37">
        <f>'5a'!B28/'5a'!$E28*100</f>
        <v>8.9274245343609504</v>
      </c>
      <c r="C28" s="34">
        <f>'5a'!C28/'5a'!$E28*100</f>
        <v>19.588953114964674</v>
      </c>
      <c r="D28" s="34">
        <f>'5a'!D28/'5a'!$E28*100</f>
        <v>71.483622350674366</v>
      </c>
      <c r="E28" s="38">
        <f t="shared" si="0"/>
        <v>100</v>
      </c>
      <c r="F28" s="37">
        <f>'5a'!F28/'5a'!$I28*100</f>
        <v>18.688524590163937</v>
      </c>
      <c r="G28" s="34">
        <f>'5a'!G28/'5a'!$I28*100</f>
        <v>37.049180327868854</v>
      </c>
      <c r="H28" s="34">
        <f>'5a'!H28/'5a'!$I28*100</f>
        <v>44.26229508196721</v>
      </c>
      <c r="I28" s="38">
        <f t="shared" si="1"/>
        <v>100</v>
      </c>
      <c r="J28" s="85">
        <f>'5a'!J28/'5a'!$M28*100</f>
        <v>21.660442401608734</v>
      </c>
      <c r="K28" s="86">
        <f>'5a'!K28/'5a'!$M28*100</f>
        <v>54.955472565354782</v>
      </c>
      <c r="L28" s="86">
        <f>'5a'!L28/'5a'!$M28*100</f>
        <v>23.384085033036484</v>
      </c>
      <c r="M28" s="38">
        <f t="shared" si="2"/>
        <v>100</v>
      </c>
    </row>
    <row r="29" spans="1:13">
      <c r="A29" s="28">
        <v>2004</v>
      </c>
      <c r="B29" s="37">
        <f>'5a'!B29/'5a'!$E29*100</f>
        <v>8.8634739099356672</v>
      </c>
      <c r="C29" s="34">
        <f>'5a'!C29/'5a'!$E29*100</f>
        <v>21.086490350250177</v>
      </c>
      <c r="D29" s="34">
        <f>'5a'!D29/'5a'!$E29*100</f>
        <v>70.050035739814149</v>
      </c>
      <c r="E29" s="38">
        <f t="shared" si="0"/>
        <v>100</v>
      </c>
      <c r="F29" s="37">
        <f>'5a'!F29/'5a'!$I29*100</f>
        <v>18.305084745762713</v>
      </c>
      <c r="G29" s="34">
        <f>'5a'!G29/'5a'!$I29*100</f>
        <v>38.983050847457626</v>
      </c>
      <c r="H29" s="34">
        <f>'5a'!H29/'5a'!$I29*100</f>
        <v>42.711864406779661</v>
      </c>
      <c r="I29" s="38">
        <f t="shared" si="1"/>
        <v>100</v>
      </c>
      <c r="J29" s="85">
        <f>'5a'!J29/'5a'!$M29*100</f>
        <v>21.22615803814714</v>
      </c>
      <c r="K29" s="86">
        <f>'5a'!K29/'5a'!$M29*100</f>
        <v>56.049046321525886</v>
      </c>
      <c r="L29" s="86">
        <f>'5a'!L29/'5a'!$M29*100</f>
        <v>22.724795640326974</v>
      </c>
      <c r="M29" s="38">
        <f t="shared" si="2"/>
        <v>100</v>
      </c>
    </row>
    <row r="30" spans="1:13">
      <c r="A30" s="28">
        <v>2005</v>
      </c>
      <c r="B30" s="37">
        <f>'5a'!B30/'5a'!$E30*100</f>
        <v>8.5664335664335667</v>
      </c>
      <c r="C30" s="34">
        <f>'5a'!C30/'5a'!$E30*100</f>
        <v>22.465034965034967</v>
      </c>
      <c r="D30" s="34">
        <f>'5a'!D30/'5a'!$E30*100</f>
        <v>68.968531468531467</v>
      </c>
      <c r="E30" s="38">
        <f t="shared" si="0"/>
        <v>100</v>
      </c>
      <c r="F30" s="37">
        <f>'5a'!F30/'5a'!$I30*100</f>
        <v>17.966101694915253</v>
      </c>
      <c r="G30" s="34">
        <f>'5a'!G30/'5a'!$I30*100</f>
        <v>40.677966101694921</v>
      </c>
      <c r="H30" s="34">
        <f>'5a'!H30/'5a'!$I30*100</f>
        <v>41.355932203389827</v>
      </c>
      <c r="I30" s="38">
        <f t="shared" si="1"/>
        <v>100</v>
      </c>
      <c r="J30" s="85">
        <f>'5a'!J30/'5a'!$M30*100</f>
        <v>20.27527792482795</v>
      </c>
      <c r="K30" s="86">
        <f>'5a'!K30/'5a'!$M30*100</f>
        <v>57.702488088935944</v>
      </c>
      <c r="L30" s="86">
        <f>'5a'!L30/'5a'!$M30*100</f>
        <v>22.022233986236103</v>
      </c>
      <c r="M30" s="38">
        <f t="shared" si="2"/>
        <v>100</v>
      </c>
    </row>
    <row r="31" spans="1:13">
      <c r="A31" s="28">
        <v>2006</v>
      </c>
      <c r="B31" s="37">
        <f>'5a'!B31/'5a'!$E31*100</f>
        <v>9.1509433962264151</v>
      </c>
      <c r="C31" s="34">
        <f>'5a'!C31/'5a'!$E31*100</f>
        <v>22.924528301886792</v>
      </c>
      <c r="D31" s="34">
        <f>'5a'!D31/'5a'!$E31*100</f>
        <v>67.924528301886795</v>
      </c>
      <c r="E31" s="38">
        <f t="shared" si="0"/>
        <v>100</v>
      </c>
      <c r="F31" s="37">
        <f>'5a'!F31/'5a'!$I31*100</f>
        <v>19.705882352941178</v>
      </c>
      <c r="G31" s="34">
        <f>'5a'!G31/'5a'!$I31*100</f>
        <v>40</v>
      </c>
      <c r="H31" s="34">
        <f>'5a'!H31/'5a'!$I31*100</f>
        <v>40.294117647058826</v>
      </c>
      <c r="I31" s="38">
        <f t="shared" si="1"/>
        <v>100</v>
      </c>
      <c r="J31" s="85">
        <f>'5a'!J31/'5a'!$M31*100</f>
        <v>20.426375805651958</v>
      </c>
      <c r="K31" s="86">
        <f>'5a'!K31/'5a'!$M31*100</f>
        <v>56.965790778383742</v>
      </c>
      <c r="L31" s="86">
        <f>'5a'!L31/'5a'!$M31*100</f>
        <v>22.607833415964304</v>
      </c>
      <c r="M31" s="38">
        <f t="shared" si="2"/>
        <v>100</v>
      </c>
    </row>
    <row r="32" spans="1:13">
      <c r="A32" s="28">
        <v>2007</v>
      </c>
      <c r="B32" s="37">
        <f>'5a'!B32/'5a'!$E32*100</f>
        <v>8.7841456882699518</v>
      </c>
      <c r="C32" s="34">
        <f>'5a'!C32/'5a'!$E32*100</f>
        <v>22.013926084627744</v>
      </c>
      <c r="D32" s="34">
        <f>'5a'!D32/'5a'!$E32*100</f>
        <v>69.2019282271023</v>
      </c>
      <c r="E32" s="38">
        <f t="shared" si="0"/>
        <v>100</v>
      </c>
      <c r="F32" s="37">
        <f>'5a'!F32/'5a'!$I32*100</f>
        <v>19.03765690376569</v>
      </c>
      <c r="G32" s="34">
        <f>'5a'!G32/'5a'!$I32*100</f>
        <v>39.121338912133893</v>
      </c>
      <c r="H32" s="34">
        <f>'5a'!H32/'5a'!$I32*100</f>
        <v>41.841004184100413</v>
      </c>
      <c r="I32" s="38">
        <f t="shared" si="1"/>
        <v>100</v>
      </c>
      <c r="J32" s="85">
        <f>'5a'!J32/'5a'!$M32*100</f>
        <v>19.701562135695966</v>
      </c>
      <c r="K32" s="86">
        <f>'5a'!K32/'5a'!$M32*100</f>
        <v>57.12287246444393</v>
      </c>
      <c r="L32" s="86">
        <f>'5a'!L32/'5a'!$M32*100</f>
        <v>23.175565399860108</v>
      </c>
      <c r="M32" s="38">
        <f t="shared" si="2"/>
        <v>100</v>
      </c>
    </row>
    <row r="33" spans="1:15">
      <c r="A33" s="28">
        <v>2008</v>
      </c>
      <c r="B33" s="37">
        <f>'5a'!B33/'5a'!$E33*100</f>
        <v>9.4947251526929488</v>
      </c>
      <c r="C33" s="34">
        <f>'5a'!C33/'5a'!$E33*100</f>
        <v>24.264297612437534</v>
      </c>
      <c r="D33" s="34">
        <f>'5a'!D33/'5a'!$E33*100</f>
        <v>66.240977234869518</v>
      </c>
      <c r="E33" s="38">
        <f t="shared" si="0"/>
        <v>100</v>
      </c>
      <c r="F33" s="37">
        <f>'5a'!F33/'5a'!$I33*100</f>
        <v>20.300751879699249</v>
      </c>
      <c r="G33" s="34">
        <f>'5a'!G33/'5a'!$I33*100</f>
        <v>41.165413533834588</v>
      </c>
      <c r="H33" s="34">
        <f>'5a'!H33/'5a'!$I33*100</f>
        <v>38.533834586466163</v>
      </c>
      <c r="I33" s="38">
        <f t="shared" si="1"/>
        <v>100</v>
      </c>
      <c r="J33" s="85">
        <f>'5a'!J33/'5a'!$M33*100</f>
        <v>19.234360410831002</v>
      </c>
      <c r="K33" s="86">
        <f>'5a'!K33/'5a'!$M33*100</f>
        <v>60.03734827264239</v>
      </c>
      <c r="L33" s="86">
        <f>'5a'!L33/'5a'!$M33*100</f>
        <v>20.728291316526612</v>
      </c>
      <c r="M33" s="38">
        <f t="shared" si="2"/>
        <v>100</v>
      </c>
    </row>
    <row r="34" spans="1:15">
      <c r="A34" s="28">
        <v>2009</v>
      </c>
      <c r="B34" s="37">
        <f>'5a'!B34/'5a'!$E34*100</f>
        <v>9.6264367816091951</v>
      </c>
      <c r="C34" s="34">
        <f>'5a'!C34/'5a'!$E34*100</f>
        <v>26.005747126436781</v>
      </c>
      <c r="D34" s="34">
        <f>'5a'!D34/'5a'!$E34*100</f>
        <v>64.367816091954026</v>
      </c>
      <c r="E34" s="38">
        <f t="shared" si="0"/>
        <v>100</v>
      </c>
      <c r="F34" s="37">
        <f>'5a'!F34/'5a'!$I34*100</f>
        <v>20.588235294117645</v>
      </c>
      <c r="G34" s="34">
        <f>'5a'!G34/'5a'!$I34*100</f>
        <v>42.647058823529413</v>
      </c>
      <c r="H34" s="34">
        <f>'5a'!H34/'5a'!$I34*100</f>
        <v>36.764705882352942</v>
      </c>
      <c r="I34" s="38">
        <f t="shared" si="1"/>
        <v>100</v>
      </c>
      <c r="J34" s="85">
        <f>'5a'!J34/'5a'!$M34*100</f>
        <v>18.148056449616242</v>
      </c>
      <c r="K34" s="86">
        <f>'5a'!K34/'5a'!$M34*100</f>
        <v>62.688784352562521</v>
      </c>
      <c r="L34" s="86">
        <f>'5a'!L34/'5a'!$M34*100</f>
        <v>19.163159197821241</v>
      </c>
      <c r="M34" s="38">
        <f t="shared" si="2"/>
        <v>100</v>
      </c>
    </row>
    <row r="35" spans="1:15">
      <c r="A35" s="29">
        <v>2010</v>
      </c>
      <c r="B35" s="39">
        <f>'5a'!B35/'5a'!$E35*100</f>
        <v>10.970744680851062</v>
      </c>
      <c r="C35" s="40">
        <f>'5a'!C35/'5a'!$E35*100</f>
        <v>24.534574468085108</v>
      </c>
      <c r="D35" s="40">
        <f>'5a'!D35/'5a'!$E35*100</f>
        <v>64.494680851063833</v>
      </c>
      <c r="E35" s="41">
        <f t="shared" si="0"/>
        <v>100</v>
      </c>
      <c r="F35" s="39">
        <f>'5a'!F35/'5a'!$I35*100</f>
        <v>23.303167420814479</v>
      </c>
      <c r="G35" s="40">
        <f>'5a'!G35/'5a'!$I35*100</f>
        <v>40.04524886877828</v>
      </c>
      <c r="H35" s="40">
        <f>'5a'!H35/'5a'!$I35*100</f>
        <v>36.651583710407238</v>
      </c>
      <c r="I35" s="41">
        <f t="shared" si="1"/>
        <v>100</v>
      </c>
      <c r="J35" s="88">
        <f>'5a'!J35/'5a'!$M35*100</f>
        <v>21.030737231338108</v>
      </c>
      <c r="K35" s="89">
        <f>'5a'!K35/'5a'!$M35*100</f>
        <v>59.602495955627447</v>
      </c>
      <c r="L35" s="89">
        <f>'5a'!L35/'5a'!$M35*100</f>
        <v>19.366766813034435</v>
      </c>
      <c r="M35" s="41">
        <f t="shared" si="2"/>
        <v>99.999999999999986</v>
      </c>
    </row>
    <row r="37" spans="1:15">
      <c r="A37" s="389" t="s">
        <v>52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  <c r="N37" s="145"/>
      <c r="O37" s="145"/>
    </row>
    <row r="38" spans="1:15">
      <c r="A38" s="16" t="s">
        <v>53</v>
      </c>
      <c r="B38" s="82">
        <f>(POWER(B15/B6,1/($A15-$A6))-1)*100</f>
        <v>-13.850597202036552</v>
      </c>
      <c r="C38" s="83">
        <f t="shared" ref="C38:L38" si="3">(POWER(C15/C6,1/($A15-$A6))-1)*100</f>
        <v>-8.4602579107973863</v>
      </c>
      <c r="D38" s="83">
        <f t="shared" si="3"/>
        <v>15.883843153053</v>
      </c>
      <c r="E38" s="84"/>
      <c r="F38" s="82">
        <f t="shared" si="3"/>
        <v>6.8786511228456471</v>
      </c>
      <c r="G38" s="83">
        <f t="shared" si="3"/>
        <v>30.709691239877081</v>
      </c>
      <c r="H38" s="83">
        <f t="shared" si="3"/>
        <v>-2.8603054243106385</v>
      </c>
      <c r="I38" s="84"/>
      <c r="J38" s="82">
        <f t="shared" si="3"/>
        <v>-0.409564327750922</v>
      </c>
      <c r="K38" s="83">
        <f t="shared" si="3"/>
        <v>6.2264073268542219</v>
      </c>
      <c r="L38" s="83">
        <f t="shared" si="3"/>
        <v>-3.7418640137219294</v>
      </c>
      <c r="M38" s="84"/>
      <c r="N38" s="86"/>
      <c r="O38" s="86"/>
    </row>
    <row r="39" spans="1:15">
      <c r="A39" s="16" t="s">
        <v>71</v>
      </c>
      <c r="B39" s="37">
        <f>(POWER(B$25/B15,1/($A$25-$A$15))-1)*100</f>
        <v>-2.8653540573688074</v>
      </c>
      <c r="C39" s="72">
        <f t="shared" ref="C39:L39" si="4">(POWER(C$25/C15,1/($A$25-$A$15))-1)*100</f>
        <v>0.52459234122987919</v>
      </c>
      <c r="D39" s="72">
        <f t="shared" si="4"/>
        <v>0.23949524411686074</v>
      </c>
      <c r="E39" s="139"/>
      <c r="F39" s="76">
        <f t="shared" si="4"/>
        <v>5.5679275159688624</v>
      </c>
      <c r="G39" s="72">
        <f t="shared" si="4"/>
        <v>11.16684242194097</v>
      </c>
      <c r="H39" s="72">
        <f t="shared" si="4"/>
        <v>-8.1202929302371061</v>
      </c>
      <c r="I39" s="139"/>
      <c r="J39" s="76">
        <f t="shared" si="4"/>
        <v>-1.6651384318262408</v>
      </c>
      <c r="K39" s="72">
        <f t="shared" si="4"/>
        <v>2.2052224224638817</v>
      </c>
      <c r="L39" s="72">
        <f t="shared" si="4"/>
        <v>-1.3228471792917085</v>
      </c>
      <c r="M39" s="139"/>
      <c r="N39" s="72"/>
      <c r="O39" s="72"/>
    </row>
    <row r="40" spans="1:15">
      <c r="A40" s="16" t="s">
        <v>69</v>
      </c>
      <c r="B40" s="37">
        <f>(POWER(B$35/B25,1/($A$35-$A$25))-1)*100</f>
        <v>3.2144309107151603</v>
      </c>
      <c r="C40" s="72">
        <f t="shared" ref="C40:L40" si="5">(POWER(C$35/C25,1/($A$35-$A$25))-1)*100</f>
        <v>2.5235499815427609</v>
      </c>
      <c r="D40" s="72">
        <f t="shared" si="5"/>
        <v>-1.2151953508584556</v>
      </c>
      <c r="E40" s="139"/>
      <c r="F40" s="76">
        <f t="shared" si="5"/>
        <v>-1.047605533849838</v>
      </c>
      <c r="G40" s="72">
        <f t="shared" si="5"/>
        <v>-0.99967500056987735</v>
      </c>
      <c r="H40" s="72">
        <f t="shared" si="5"/>
        <v>2.0803811573911757</v>
      </c>
      <c r="I40" s="139"/>
      <c r="J40" s="76">
        <f t="shared" si="5"/>
        <v>-1.6490079281719527</v>
      </c>
      <c r="K40" s="72">
        <f t="shared" si="5"/>
        <v>2.8376628988366459</v>
      </c>
      <c r="L40" s="72">
        <f t="shared" si="5"/>
        <v>-4.3169974069653616</v>
      </c>
      <c r="M40" s="139"/>
      <c r="N40" s="72"/>
      <c r="O40" s="72"/>
    </row>
    <row r="41" spans="1:15">
      <c r="A41" s="17" t="s">
        <v>70</v>
      </c>
      <c r="B41" s="39">
        <f>(POWER(B35/B6,1/($A$35-$A$6))-1)*100</f>
        <v>-4.4369028574708373</v>
      </c>
      <c r="C41" s="74">
        <f t="shared" ref="C41:L41" si="6">(POWER(C35/C6,1/($A$35-$A$6))-1)*100</f>
        <v>-1.6891137630321351</v>
      </c>
      <c r="D41" s="74">
        <f t="shared" si="6"/>
        <v>4.3269280770899865</v>
      </c>
      <c r="E41" s="137"/>
      <c r="F41" s="77">
        <f t="shared" si="6"/>
        <v>3.6342973741708695</v>
      </c>
      <c r="G41" s="74">
        <f t="shared" si="6"/>
        <v>12.31672935879573</v>
      </c>
      <c r="H41" s="74">
        <f t="shared" si="6"/>
        <v>-3.0630633093197801</v>
      </c>
      <c r="I41" s="137"/>
      <c r="J41" s="77">
        <f t="shared" si="6"/>
        <v>-1.2715970133205023</v>
      </c>
      <c r="K41" s="74">
        <f t="shared" si="6"/>
        <v>3.6568754854878094</v>
      </c>
      <c r="L41" s="74">
        <f t="shared" si="6"/>
        <v>-3.1149129480710358</v>
      </c>
      <c r="M41" s="137"/>
      <c r="N41" s="72"/>
      <c r="O41" s="72"/>
    </row>
    <row r="43" spans="1:15">
      <c r="A43" s="389" t="s">
        <v>77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0"/>
    </row>
    <row r="44" spans="1:15">
      <c r="A44" s="16" t="s">
        <v>53</v>
      </c>
      <c r="B44" s="82">
        <f>B15-B6</f>
        <v>-30.216319824753565</v>
      </c>
      <c r="C44" s="83">
        <f t="shared" ref="C44:L44" si="7">C15-C6</f>
        <v>-22.062199848344424</v>
      </c>
      <c r="D44" s="83">
        <f t="shared" si="7"/>
        <v>52.278519673097989</v>
      </c>
      <c r="E44" s="84"/>
      <c r="F44" s="82">
        <f t="shared" si="7"/>
        <v>6.7843788948899046</v>
      </c>
      <c r="G44" s="83">
        <f t="shared" si="7"/>
        <v>13.982135438304944</v>
      </c>
      <c r="H44" s="83">
        <f t="shared" si="7"/>
        <v>-20.766514333194863</v>
      </c>
      <c r="I44" s="84"/>
      <c r="J44" s="82">
        <f t="shared" si="7"/>
        <v>-1.1053321287003826</v>
      </c>
      <c r="K44" s="83">
        <f t="shared" si="7"/>
        <v>15.191398269561041</v>
      </c>
      <c r="L44" s="83">
        <f t="shared" si="7"/>
        <v>-14.086066140860666</v>
      </c>
      <c r="M44" s="84"/>
    </row>
    <row r="45" spans="1:15">
      <c r="A45" s="16" t="s">
        <v>71</v>
      </c>
      <c r="B45" s="85">
        <f>B25-B15</f>
        <v>-2.6975240974081345</v>
      </c>
      <c r="C45" s="86">
        <f t="shared" ref="C45:L45" si="8">C25-C15</f>
        <v>0.97479972512695667</v>
      </c>
      <c r="D45" s="86">
        <f t="shared" si="8"/>
        <v>1.7227243722811778</v>
      </c>
      <c r="E45" s="87"/>
      <c r="F45" s="85">
        <f t="shared" si="8"/>
        <v>10.830941024887538</v>
      </c>
      <c r="G45" s="86">
        <f t="shared" si="8"/>
        <v>28.916227762833699</v>
      </c>
      <c r="H45" s="86">
        <f t="shared" si="8"/>
        <v>-39.747168787721236</v>
      </c>
      <c r="I45" s="87"/>
      <c r="J45" s="85">
        <f t="shared" si="8"/>
        <v>-4.540786458594674</v>
      </c>
      <c r="K45" s="86">
        <f t="shared" si="8"/>
        <v>8.8296786926923971</v>
      </c>
      <c r="L45" s="86">
        <f t="shared" si="8"/>
        <v>-4.2888922340977089</v>
      </c>
      <c r="M45" s="87"/>
    </row>
    <row r="46" spans="1:15">
      <c r="A46" s="16" t="s">
        <v>69</v>
      </c>
      <c r="B46" s="85">
        <f>B35-B25</f>
        <v>2.9754976939218487</v>
      </c>
      <c r="C46" s="86">
        <f t="shared" ref="C46:L46" si="9">C35-C25</f>
        <v>5.4121843815123682</v>
      </c>
      <c r="D46" s="86">
        <f t="shared" si="9"/>
        <v>-8.3876820754342134</v>
      </c>
      <c r="E46" s="87"/>
      <c r="F46" s="85">
        <f t="shared" si="9"/>
        <v>-2.5880145679284823</v>
      </c>
      <c r="G46" s="86">
        <f t="shared" si="9"/>
        <v>-4.2324246771879501</v>
      </c>
      <c r="H46" s="86">
        <f t="shared" si="9"/>
        <v>6.8204392451164324</v>
      </c>
      <c r="I46" s="87"/>
      <c r="J46" s="85">
        <f t="shared" si="9"/>
        <v>-3.8044276038267277</v>
      </c>
      <c r="K46" s="86">
        <f t="shared" si="9"/>
        <v>14.547550900682388</v>
      </c>
      <c r="L46" s="86">
        <f t="shared" si="9"/>
        <v>-10.743123296855675</v>
      </c>
      <c r="M46" s="87"/>
    </row>
    <row r="47" spans="1:15">
      <c r="A47" s="17" t="s">
        <v>70</v>
      </c>
      <c r="B47" s="88">
        <f>B35-B6</f>
        <v>-29.938346228239851</v>
      </c>
      <c r="C47" s="89">
        <f t="shared" ref="C47:L47" si="10">C35-C6</f>
        <v>-15.675215741705099</v>
      </c>
      <c r="D47" s="89">
        <f t="shared" si="10"/>
        <v>45.613561969944953</v>
      </c>
      <c r="E47" s="90"/>
      <c r="F47" s="88">
        <f t="shared" si="10"/>
        <v>15.027305351848961</v>
      </c>
      <c r="G47" s="89">
        <f>G35-G6</f>
        <v>38.665938523950693</v>
      </c>
      <c r="H47" s="89">
        <f t="shared" si="10"/>
        <v>-53.693243875799666</v>
      </c>
      <c r="I47" s="90"/>
      <c r="J47" s="88">
        <f t="shared" si="10"/>
        <v>-9.4505461911217843</v>
      </c>
      <c r="K47" s="89">
        <f t="shared" si="10"/>
        <v>38.568627862935827</v>
      </c>
      <c r="L47" s="89">
        <f t="shared" si="10"/>
        <v>-29.11808167181405</v>
      </c>
      <c r="M47" s="90"/>
    </row>
    <row r="49" spans="1:1">
      <c r="A49" s="1" t="s">
        <v>85</v>
      </c>
    </row>
  </sheetData>
  <mergeCells count="5">
    <mergeCell ref="A43:M43"/>
    <mergeCell ref="A37:M37"/>
    <mergeCell ref="B4:E4"/>
    <mergeCell ref="F4:I4"/>
    <mergeCell ref="J4:M4"/>
  </mergeCells>
  <pageMargins left="0.7" right="0.7" top="0.75" bottom="0.75" header="0.3" footer="0.3"/>
  <pageSetup scale="67" orientation="landscape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8"/>
  <dimension ref="A1:N44"/>
  <sheetViews>
    <sheetView workbookViewId="0">
      <selection activeCell="A43" sqref="A43:A44"/>
    </sheetView>
  </sheetViews>
  <sheetFormatPr defaultRowHeight="15"/>
  <cols>
    <col min="1" max="1" width="12.42578125" style="1" customWidth="1"/>
    <col min="2" max="2" width="14.42578125" style="1" customWidth="1"/>
    <col min="3" max="3" width="14.7109375" style="1" customWidth="1"/>
    <col min="4" max="4" width="9.140625" style="1"/>
    <col min="5" max="5" width="13.5703125" style="1" customWidth="1"/>
    <col min="6" max="6" width="13.42578125" style="1" customWidth="1"/>
    <col min="7" max="16384" width="9.140625" style="1"/>
  </cols>
  <sheetData>
    <row r="1" spans="1:7">
      <c r="A1" s="392" t="s">
        <v>87</v>
      </c>
      <c r="B1" s="392"/>
      <c r="C1" s="392"/>
      <c r="D1" s="392"/>
      <c r="E1" s="392"/>
      <c r="F1" s="392"/>
      <c r="G1" s="392"/>
    </row>
    <row r="2" spans="1:7">
      <c r="A2" s="392"/>
      <c r="B2" s="392"/>
      <c r="C2" s="392"/>
      <c r="D2" s="392"/>
      <c r="E2" s="392"/>
      <c r="F2" s="392"/>
      <c r="G2" s="392"/>
    </row>
    <row r="4" spans="1:7" ht="45">
      <c r="A4" s="18"/>
      <c r="B4" s="3" t="s">
        <v>54</v>
      </c>
      <c r="C4" s="4" t="s">
        <v>55</v>
      </c>
      <c r="D4" s="5" t="s">
        <v>56</v>
      </c>
      <c r="E4" s="3" t="s">
        <v>54</v>
      </c>
      <c r="F4" s="4" t="s">
        <v>55</v>
      </c>
      <c r="G4" s="5" t="s">
        <v>56</v>
      </c>
    </row>
    <row r="5" spans="1:7">
      <c r="A5" s="64">
        <v>1981</v>
      </c>
      <c r="B5" s="6" t="s">
        <v>37</v>
      </c>
      <c r="C5" s="247">
        <v>482</v>
      </c>
      <c r="D5" s="248">
        <v>75109</v>
      </c>
      <c r="E5" s="236" t="str">
        <f>IFERROR(B5/$D5*100,"na")</f>
        <v>na</v>
      </c>
      <c r="F5" s="214">
        <f t="shared" ref="F5:F35" si="0">IFERROR(C5/$D5*100,"na")</f>
        <v>0.64173401323409984</v>
      </c>
      <c r="G5" s="84">
        <f t="shared" ref="G5:G35" si="1">IFERROR(D5/$D5*100,"na")</f>
        <v>100</v>
      </c>
    </row>
    <row r="6" spans="1:7">
      <c r="A6" s="65">
        <v>1982</v>
      </c>
      <c r="B6" s="9" t="s">
        <v>37</v>
      </c>
      <c r="C6" s="249">
        <v>418.2</v>
      </c>
      <c r="D6" s="250">
        <v>73695</v>
      </c>
      <c r="E6" s="216" t="str">
        <f t="shared" ref="E6:E35" si="2">IFERROR(B6/$D6*100,"na")</f>
        <v>na</v>
      </c>
      <c r="F6" s="143">
        <f t="shared" si="0"/>
        <v>0.56747404844290661</v>
      </c>
      <c r="G6" s="87">
        <f t="shared" si="1"/>
        <v>100</v>
      </c>
    </row>
    <row r="7" spans="1:7">
      <c r="A7" s="65">
        <v>1983</v>
      </c>
      <c r="B7" s="9" t="s">
        <v>37</v>
      </c>
      <c r="C7" s="249">
        <v>366.1</v>
      </c>
      <c r="D7" s="250">
        <v>74269</v>
      </c>
      <c r="E7" s="216" t="str">
        <f t="shared" si="2"/>
        <v>na</v>
      </c>
      <c r="F7" s="143">
        <f t="shared" si="0"/>
        <v>0.4929378340895933</v>
      </c>
      <c r="G7" s="87">
        <f t="shared" si="1"/>
        <v>100</v>
      </c>
    </row>
    <row r="8" spans="1:7">
      <c r="A8" s="65">
        <v>1984</v>
      </c>
      <c r="B8" s="9" t="s">
        <v>37</v>
      </c>
      <c r="C8" s="249">
        <v>365.9</v>
      </c>
      <c r="D8" s="250">
        <v>78371</v>
      </c>
      <c r="E8" s="216" t="str">
        <f t="shared" si="2"/>
        <v>na</v>
      </c>
      <c r="F8" s="143">
        <f t="shared" si="0"/>
        <v>0.46688188232892269</v>
      </c>
      <c r="G8" s="87">
        <f t="shared" si="1"/>
        <v>100</v>
      </c>
    </row>
    <row r="9" spans="1:7">
      <c r="A9" s="65">
        <v>1985</v>
      </c>
      <c r="B9" s="9" t="s">
        <v>37</v>
      </c>
      <c r="C9" s="249">
        <v>349.6</v>
      </c>
      <c r="D9" s="250">
        <v>80978</v>
      </c>
      <c r="E9" s="216" t="str">
        <f t="shared" si="2"/>
        <v>na</v>
      </c>
      <c r="F9" s="143">
        <f t="shared" si="0"/>
        <v>0.43172219615204133</v>
      </c>
      <c r="G9" s="87">
        <f t="shared" si="1"/>
        <v>100</v>
      </c>
    </row>
    <row r="10" spans="1:7">
      <c r="A10" s="65">
        <v>1986</v>
      </c>
      <c r="B10" s="9" t="s">
        <v>37</v>
      </c>
      <c r="C10" s="249">
        <v>322.89999999999998</v>
      </c>
      <c r="D10" s="250">
        <v>82636</v>
      </c>
      <c r="E10" s="216" t="str">
        <f t="shared" si="2"/>
        <v>na</v>
      </c>
      <c r="F10" s="143">
        <f>IFERROR(C10/$D10*100,"na")</f>
        <v>0.39074979427852269</v>
      </c>
      <c r="G10" s="87">
        <f t="shared" si="1"/>
        <v>100</v>
      </c>
    </row>
    <row r="11" spans="1:7">
      <c r="A11" s="65">
        <v>1987</v>
      </c>
      <c r="B11" s="9" t="s">
        <v>37</v>
      </c>
      <c r="C11" s="249">
        <v>300.60000000000002</v>
      </c>
      <c r="D11" s="250">
        <v>84932</v>
      </c>
      <c r="E11" s="216" t="str">
        <f t="shared" si="2"/>
        <v>na</v>
      </c>
      <c r="F11" s="143">
        <f t="shared" si="0"/>
        <v>0.35393020298591815</v>
      </c>
      <c r="G11" s="87">
        <f t="shared" si="1"/>
        <v>100</v>
      </c>
    </row>
    <row r="12" spans="1:7">
      <c r="A12" s="65">
        <v>1988</v>
      </c>
      <c r="B12" s="9" t="s">
        <v>37</v>
      </c>
      <c r="C12" s="249">
        <v>290.3</v>
      </c>
      <c r="D12" s="250">
        <v>87806</v>
      </c>
      <c r="E12" s="216" t="str">
        <f t="shared" si="2"/>
        <v>na</v>
      </c>
      <c r="F12" s="143">
        <f t="shared" si="0"/>
        <v>0.3306152199166344</v>
      </c>
      <c r="G12" s="87">
        <f t="shared" si="1"/>
        <v>100</v>
      </c>
    </row>
    <row r="13" spans="1:7">
      <c r="A13" s="65">
        <v>1989</v>
      </c>
      <c r="B13" s="9" t="s">
        <v>37</v>
      </c>
      <c r="C13" s="249">
        <v>284.8</v>
      </c>
      <c r="D13" s="250">
        <v>90087</v>
      </c>
      <c r="E13" s="216" t="str">
        <f t="shared" si="2"/>
        <v>na</v>
      </c>
      <c r="F13" s="143">
        <f t="shared" si="0"/>
        <v>0.31613884356233418</v>
      </c>
      <c r="G13" s="87">
        <f t="shared" si="1"/>
        <v>100</v>
      </c>
    </row>
    <row r="14" spans="1:7">
      <c r="A14" s="65">
        <v>1990</v>
      </c>
      <c r="B14" s="251">
        <v>529.20000000000005</v>
      </c>
      <c r="C14" s="249">
        <v>271.8</v>
      </c>
      <c r="D14" s="250">
        <v>91072</v>
      </c>
      <c r="E14" s="216">
        <f t="shared" si="2"/>
        <v>0.58107870695713282</v>
      </c>
      <c r="F14" s="143">
        <f t="shared" si="0"/>
        <v>0.29844518622628252</v>
      </c>
      <c r="G14" s="87">
        <f t="shared" si="1"/>
        <v>100</v>
      </c>
    </row>
    <row r="15" spans="1:7">
      <c r="A15" s="65">
        <v>1991</v>
      </c>
      <c r="B15" s="251">
        <v>525.4</v>
      </c>
      <c r="C15" s="249">
        <v>255.6</v>
      </c>
      <c r="D15" s="250">
        <v>89829</v>
      </c>
      <c r="E15" s="216">
        <f t="shared" si="2"/>
        <v>0.58488906700508736</v>
      </c>
      <c r="F15" s="143">
        <f t="shared" si="0"/>
        <v>0.28454062719166417</v>
      </c>
      <c r="G15" s="87">
        <f t="shared" si="1"/>
        <v>100</v>
      </c>
    </row>
    <row r="16" spans="1:7">
      <c r="A16" s="65">
        <v>1992</v>
      </c>
      <c r="B16" s="251">
        <v>519.6</v>
      </c>
      <c r="C16" s="249">
        <v>248.1</v>
      </c>
      <c r="D16" s="250">
        <v>89940</v>
      </c>
      <c r="E16" s="216">
        <f t="shared" si="2"/>
        <v>0.57771847898599071</v>
      </c>
      <c r="F16" s="143">
        <f t="shared" si="0"/>
        <v>0.27585056704469646</v>
      </c>
      <c r="G16" s="87">
        <f t="shared" si="1"/>
        <v>100</v>
      </c>
    </row>
    <row r="17" spans="1:7">
      <c r="A17" s="65">
        <v>1993</v>
      </c>
      <c r="B17" s="251">
        <v>516.6</v>
      </c>
      <c r="C17" s="249">
        <v>242.2</v>
      </c>
      <c r="D17" s="250">
        <v>91855</v>
      </c>
      <c r="E17" s="216">
        <f t="shared" si="2"/>
        <v>0.56240814326928312</v>
      </c>
      <c r="F17" s="143">
        <f t="shared" si="0"/>
        <v>0.26367644657340372</v>
      </c>
      <c r="G17" s="87">
        <f t="shared" si="1"/>
        <v>100</v>
      </c>
    </row>
    <row r="18" spans="1:7">
      <c r="A18" s="65">
        <v>1994</v>
      </c>
      <c r="B18" s="251">
        <v>511.2</v>
      </c>
      <c r="C18" s="249">
        <v>234.6</v>
      </c>
      <c r="D18" s="250">
        <v>95016</v>
      </c>
      <c r="E18" s="216">
        <f t="shared" si="2"/>
        <v>0.53801465016418282</v>
      </c>
      <c r="F18" s="143">
        <f t="shared" si="0"/>
        <v>0.24690578428896184</v>
      </c>
      <c r="G18" s="87">
        <f t="shared" si="1"/>
        <v>100</v>
      </c>
    </row>
    <row r="19" spans="1:7">
      <c r="A19" s="65">
        <v>1995</v>
      </c>
      <c r="B19" s="251">
        <v>510.9</v>
      </c>
      <c r="C19" s="249">
        <v>232.5</v>
      </c>
      <c r="D19" s="250">
        <v>97865</v>
      </c>
      <c r="E19" s="216">
        <f t="shared" si="2"/>
        <v>0.52204567516476774</v>
      </c>
      <c r="F19" s="143">
        <f t="shared" si="0"/>
        <v>0.23757216573851736</v>
      </c>
      <c r="G19" s="87">
        <f t="shared" si="1"/>
        <v>100</v>
      </c>
    </row>
    <row r="20" spans="1:7">
      <c r="A20" s="65">
        <v>1996</v>
      </c>
      <c r="B20" s="251">
        <v>525.70000000000005</v>
      </c>
      <c r="C20" s="249">
        <v>225.2</v>
      </c>
      <c r="D20" s="250">
        <v>100169</v>
      </c>
      <c r="E20" s="216">
        <f t="shared" si="2"/>
        <v>0.52481306591859755</v>
      </c>
      <c r="F20" s="143">
        <f t="shared" si="0"/>
        <v>0.22482005410855654</v>
      </c>
      <c r="G20" s="87">
        <f t="shared" si="1"/>
        <v>100</v>
      </c>
    </row>
    <row r="21" spans="1:7">
      <c r="A21" s="65">
        <v>1997</v>
      </c>
      <c r="B21" s="251">
        <v>542</v>
      </c>
      <c r="C21" s="249">
        <v>221</v>
      </c>
      <c r="D21" s="250">
        <v>103113</v>
      </c>
      <c r="E21" s="216">
        <f t="shared" si="2"/>
        <v>0.52563692259947825</v>
      </c>
      <c r="F21" s="143">
        <f t="shared" si="0"/>
        <v>0.21432797028502712</v>
      </c>
      <c r="G21" s="87">
        <f t="shared" si="1"/>
        <v>100</v>
      </c>
    </row>
    <row r="22" spans="1:7">
      <c r="A22" s="65">
        <v>1998</v>
      </c>
      <c r="B22" s="251">
        <v>562.70000000000005</v>
      </c>
      <c r="C22" s="249">
        <v>225</v>
      </c>
      <c r="D22" s="250">
        <v>106021</v>
      </c>
      <c r="E22" s="216">
        <f t="shared" si="2"/>
        <v>0.53074390922553083</v>
      </c>
      <c r="F22" s="143">
        <f t="shared" si="0"/>
        <v>0.21222210694107771</v>
      </c>
      <c r="G22" s="87">
        <f t="shared" si="1"/>
        <v>100</v>
      </c>
    </row>
    <row r="23" spans="1:7">
      <c r="A23" s="65">
        <v>1999</v>
      </c>
      <c r="B23" s="251">
        <v>586.29999999999995</v>
      </c>
      <c r="C23" s="249">
        <v>228.8</v>
      </c>
      <c r="D23" s="250">
        <v>108686</v>
      </c>
      <c r="E23" s="216">
        <f t="shared" si="2"/>
        <v>0.53944390261855246</v>
      </c>
      <c r="F23" s="143">
        <f t="shared" si="0"/>
        <v>0.210514693704801</v>
      </c>
      <c r="G23" s="87">
        <f t="shared" si="1"/>
        <v>100</v>
      </c>
    </row>
    <row r="24" spans="1:7">
      <c r="A24" s="65">
        <v>2000</v>
      </c>
      <c r="B24" s="251">
        <v>614.4</v>
      </c>
      <c r="C24" s="249">
        <v>231.7</v>
      </c>
      <c r="D24" s="250">
        <v>110995</v>
      </c>
      <c r="E24" s="216">
        <f t="shared" si="2"/>
        <v>0.55353844767782334</v>
      </c>
      <c r="F24" s="143">
        <f t="shared" si="0"/>
        <v>0.20874814180818954</v>
      </c>
      <c r="G24" s="87">
        <f t="shared" si="1"/>
        <v>100</v>
      </c>
    </row>
    <row r="25" spans="1:7">
      <c r="A25" s="65">
        <v>2001</v>
      </c>
      <c r="B25" s="251">
        <v>615.29999999999995</v>
      </c>
      <c r="C25" s="249">
        <v>226.7</v>
      </c>
      <c r="D25" s="250">
        <v>110708</v>
      </c>
      <c r="E25" s="216">
        <f t="shared" si="2"/>
        <v>0.55578639303392707</v>
      </c>
      <c r="F25" s="143">
        <f t="shared" si="0"/>
        <v>0.20477291613975501</v>
      </c>
      <c r="G25" s="87">
        <f t="shared" si="1"/>
        <v>100</v>
      </c>
    </row>
    <row r="26" spans="1:7">
      <c r="A26" s="65">
        <v>2002</v>
      </c>
      <c r="B26" s="251">
        <v>563.5</v>
      </c>
      <c r="C26" s="249">
        <v>217.8</v>
      </c>
      <c r="D26" s="250">
        <v>108828</v>
      </c>
      <c r="E26" s="216">
        <f t="shared" si="2"/>
        <v>0.51778953945675754</v>
      </c>
      <c r="F26" s="143">
        <f t="shared" si="0"/>
        <v>0.20013231888852137</v>
      </c>
      <c r="G26" s="87">
        <f t="shared" si="1"/>
        <v>100</v>
      </c>
    </row>
    <row r="27" spans="1:7">
      <c r="A27" s="65">
        <v>2003</v>
      </c>
      <c r="B27" s="251">
        <v>528.29999999999995</v>
      </c>
      <c r="C27" s="249">
        <v>217.7</v>
      </c>
      <c r="D27" s="250">
        <v>108416</v>
      </c>
      <c r="E27" s="216">
        <f t="shared" si="2"/>
        <v>0.48728969893742619</v>
      </c>
      <c r="F27" s="143">
        <f t="shared" si="0"/>
        <v>0.20080061983471076</v>
      </c>
      <c r="G27" s="87">
        <f t="shared" si="1"/>
        <v>100</v>
      </c>
    </row>
    <row r="28" spans="1:7">
      <c r="A28" s="65">
        <v>2004</v>
      </c>
      <c r="B28" s="251">
        <v>514.5</v>
      </c>
      <c r="C28" s="249">
        <v>225.7</v>
      </c>
      <c r="D28" s="250">
        <v>109814</v>
      </c>
      <c r="E28" s="216">
        <f t="shared" si="2"/>
        <v>0.46851949660334746</v>
      </c>
      <c r="F28" s="143">
        <f t="shared" si="0"/>
        <v>0.20552934962755204</v>
      </c>
      <c r="G28" s="87">
        <f t="shared" si="1"/>
        <v>100</v>
      </c>
    </row>
    <row r="29" spans="1:7">
      <c r="A29" s="65">
        <v>2005</v>
      </c>
      <c r="B29" s="251">
        <v>500.8</v>
      </c>
      <c r="C29" s="249">
        <v>227.8</v>
      </c>
      <c r="D29" s="250">
        <v>111899</v>
      </c>
      <c r="E29" s="216">
        <f t="shared" si="2"/>
        <v>0.44754644813626576</v>
      </c>
      <c r="F29" s="143">
        <f t="shared" si="0"/>
        <v>0.20357643946773432</v>
      </c>
      <c r="G29" s="87">
        <f t="shared" si="1"/>
        <v>100</v>
      </c>
    </row>
    <row r="30" spans="1:7">
      <c r="A30" s="65">
        <v>2006</v>
      </c>
      <c r="B30" s="251">
        <v>487</v>
      </c>
      <c r="C30" s="249">
        <v>227.5</v>
      </c>
      <c r="D30" s="250">
        <v>114113</v>
      </c>
      <c r="E30" s="216">
        <f t="shared" si="2"/>
        <v>0.42676995609615026</v>
      </c>
      <c r="F30" s="143">
        <f t="shared" si="0"/>
        <v>0.19936378852540904</v>
      </c>
      <c r="G30" s="87">
        <f t="shared" si="1"/>
        <v>100</v>
      </c>
    </row>
    <row r="31" spans="1:7">
      <c r="A31" s="65">
        <v>2007</v>
      </c>
      <c r="B31" s="251">
        <v>491.8</v>
      </c>
      <c r="C31" s="249">
        <v>233.7</v>
      </c>
      <c r="D31" s="250">
        <v>115380</v>
      </c>
      <c r="E31" s="216">
        <f t="shared" si="2"/>
        <v>0.42624371641532327</v>
      </c>
      <c r="F31" s="143">
        <f t="shared" si="0"/>
        <v>0.20254810192407696</v>
      </c>
      <c r="G31" s="87">
        <f t="shared" si="1"/>
        <v>100</v>
      </c>
    </row>
    <row r="32" spans="1:7">
      <c r="A32" s="65">
        <v>2008</v>
      </c>
      <c r="B32" s="251">
        <v>490.7</v>
      </c>
      <c r="C32" s="249">
        <v>231</v>
      </c>
      <c r="D32" s="250">
        <v>114281</v>
      </c>
      <c r="E32" s="216">
        <f t="shared" si="2"/>
        <v>0.42938021193374232</v>
      </c>
      <c r="F32" s="143">
        <f t="shared" si="0"/>
        <v>0.20213333800019251</v>
      </c>
      <c r="G32" s="87">
        <f t="shared" si="1"/>
        <v>100</v>
      </c>
    </row>
    <row r="33" spans="1:14">
      <c r="A33" s="20">
        <f>A32+1</f>
        <v>2009</v>
      </c>
      <c r="B33" s="251">
        <v>462.8</v>
      </c>
      <c r="C33" s="249">
        <v>218.2</v>
      </c>
      <c r="D33" s="250">
        <v>108252</v>
      </c>
      <c r="E33" s="216">
        <f t="shared" si="2"/>
        <v>0.42752096958947639</v>
      </c>
      <c r="F33" s="143">
        <f t="shared" si="0"/>
        <v>0.20156671470273066</v>
      </c>
      <c r="G33" s="87">
        <f t="shared" si="1"/>
        <v>100</v>
      </c>
    </row>
    <row r="34" spans="1:14">
      <c r="A34" s="20">
        <f t="shared" ref="A34" si="3">A33+1</f>
        <v>2010</v>
      </c>
      <c r="B34" s="251">
        <v>464.2</v>
      </c>
      <c r="C34" s="249">
        <v>214.9</v>
      </c>
      <c r="D34" s="250">
        <v>107337</v>
      </c>
      <c r="E34" s="216">
        <f t="shared" si="2"/>
        <v>0.43246969824012221</v>
      </c>
      <c r="F34" s="143">
        <f t="shared" si="0"/>
        <v>0.20021055181344738</v>
      </c>
      <c r="G34" s="87">
        <f t="shared" si="1"/>
        <v>100</v>
      </c>
    </row>
    <row r="35" spans="1:14">
      <c r="A35" s="221">
        <v>2011</v>
      </c>
      <c r="B35" s="252">
        <v>474.1</v>
      </c>
      <c r="C35" s="253">
        <v>224.1</v>
      </c>
      <c r="D35" s="254">
        <v>109080</v>
      </c>
      <c r="E35" s="234">
        <f t="shared" si="2"/>
        <v>0.43463513017968464</v>
      </c>
      <c r="F35" s="215">
        <f t="shared" si="0"/>
        <v>0.20544554455445546</v>
      </c>
      <c r="G35" s="90">
        <f t="shared" si="1"/>
        <v>100</v>
      </c>
    </row>
    <row r="36" spans="1:14">
      <c r="A36" s="239"/>
      <c r="B36" s="249"/>
      <c r="C36" s="249"/>
      <c r="D36" s="255"/>
    </row>
    <row r="37" spans="1:14">
      <c r="A37" s="384" t="s">
        <v>52</v>
      </c>
      <c r="B37" s="385"/>
      <c r="C37" s="385"/>
      <c r="D37" s="386"/>
      <c r="E37" s="144"/>
      <c r="F37" s="144"/>
      <c r="G37" s="144"/>
      <c r="H37" s="144"/>
      <c r="I37" s="144"/>
      <c r="J37" s="144"/>
      <c r="K37" s="144"/>
      <c r="L37" s="144"/>
      <c r="M37" s="144"/>
      <c r="N37" s="18"/>
    </row>
    <row r="38" spans="1:14">
      <c r="A38" s="16" t="s">
        <v>53</v>
      </c>
      <c r="B38" s="46" t="s">
        <v>37</v>
      </c>
      <c r="C38" s="43">
        <f>(POWER(C$24/C14,1/($A$24-$A$14))-1)*100</f>
        <v>-1.5835584561955773</v>
      </c>
      <c r="D38" s="47">
        <f t="shared" ref="D38" si="4">(POWER(D$24/D14,1/($A$24-$A$14))-1)*100</f>
        <v>1.9980465129068481</v>
      </c>
    </row>
    <row r="39" spans="1:14">
      <c r="A39" s="16" t="s">
        <v>71</v>
      </c>
      <c r="B39" s="46">
        <f>(POWER(B$24/B14,1/($A$24-$A$14))-1)*100</f>
        <v>1.5039953688831043</v>
      </c>
      <c r="C39" s="43">
        <f>(POWER(C$24/C14,1/($A$24-$A$14))-1)*100</f>
        <v>-1.5835584561955773</v>
      </c>
      <c r="D39" s="47">
        <f t="shared" ref="D39" si="5">(POWER(D$24/D14,1/($A$24-$A$14))-1)*100</f>
        <v>1.9980465129068481</v>
      </c>
    </row>
    <row r="40" spans="1:14">
      <c r="A40" s="16" t="s">
        <v>69</v>
      </c>
      <c r="B40" s="46">
        <f>(POWER(B$34/B24,1/($A$34-$A$24))-1)*100</f>
        <v>-2.7643788382839096</v>
      </c>
      <c r="C40" s="43">
        <f>(POWER(C$34/C24,1/($A$34-$A$24))-1)*100</f>
        <v>-0.74988053847896419</v>
      </c>
      <c r="D40" s="47">
        <f t="shared" ref="D40" si="6">(POWER(D$34/D24,1/($A$34-$A$24))-1)*100</f>
        <v>-0.33455648314156816</v>
      </c>
    </row>
    <row r="41" spans="1:14">
      <c r="A41" s="17" t="s">
        <v>70</v>
      </c>
      <c r="B41" s="48" t="s">
        <v>37</v>
      </c>
      <c r="C41" s="49">
        <f>(POWER(C$34/C5,1/($A$4-$A$5))-1)*100</f>
        <v>4.0784251436076779E-2</v>
      </c>
      <c r="D41" s="50">
        <f t="shared" ref="D41" si="7">(POWER(D$34/D5,1/($A$4-$A$5))-1)*100</f>
        <v>-1.8021244528865221E-2</v>
      </c>
    </row>
    <row r="43" spans="1:14">
      <c r="A43" s="1" t="s">
        <v>259</v>
      </c>
    </row>
    <row r="44" spans="1:14">
      <c r="A44" s="211" t="s">
        <v>90</v>
      </c>
    </row>
  </sheetData>
  <mergeCells count="2">
    <mergeCell ref="A1:G2"/>
    <mergeCell ref="A37:D37"/>
  </mergeCells>
  <hyperlinks>
    <hyperlink ref="A44" r:id="rId1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52"/>
  <sheetViews>
    <sheetView zoomScaleNormal="100" workbookViewId="0">
      <selection sqref="A1:M48"/>
    </sheetView>
  </sheetViews>
  <sheetFormatPr defaultRowHeight="15"/>
  <cols>
    <col min="1" max="1" width="9.85546875" style="1" customWidth="1"/>
    <col min="2" max="2" width="12" style="1" customWidth="1"/>
    <col min="3" max="3" width="9.140625" style="1"/>
    <col min="4" max="4" width="19.7109375" style="1" customWidth="1"/>
    <col min="5" max="5" width="10.140625" style="1" bestFit="1" customWidth="1"/>
    <col min="6" max="6" width="11.7109375" style="1" customWidth="1"/>
    <col min="7" max="7" width="9.140625" style="1"/>
    <col min="8" max="8" width="18.140625" style="1" customWidth="1"/>
    <col min="9" max="9" width="10.140625" style="1" bestFit="1" customWidth="1"/>
    <col min="10" max="10" width="13.140625" style="1" customWidth="1"/>
    <col min="11" max="11" width="10.85546875" style="1" bestFit="1" customWidth="1"/>
    <col min="12" max="12" width="19.85546875" style="1" customWidth="1"/>
    <col min="13" max="13" width="10.85546875" style="1" customWidth="1"/>
    <col min="14" max="16384" width="9.140625" style="1"/>
  </cols>
  <sheetData>
    <row r="1" spans="1:13">
      <c r="A1" s="2" t="s">
        <v>93</v>
      </c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  <c r="J5" s="3" t="s">
        <v>39</v>
      </c>
      <c r="K5" s="4" t="s">
        <v>41</v>
      </c>
      <c r="L5" s="4" t="s">
        <v>40</v>
      </c>
      <c r="M5" s="5" t="s">
        <v>72</v>
      </c>
    </row>
    <row r="6" spans="1:13">
      <c r="A6" s="27">
        <v>1981</v>
      </c>
      <c r="B6" s="35">
        <f>'1a'!B6/'1c'!$B5*100</f>
        <v>2.3637563451776651</v>
      </c>
      <c r="C6" s="30">
        <f>'1a'!C6/'1c'!$B5*100</f>
        <v>1.6029441624365481</v>
      </c>
      <c r="D6" s="30">
        <f>'1a'!D6/'1c'!$B5*100</f>
        <v>0.34294416243654824</v>
      </c>
      <c r="E6" s="36">
        <f>'1a'!E6/'1c'!$B5*100</f>
        <v>4.3096446700507611</v>
      </c>
      <c r="F6" s="44">
        <f>'1a'!F6/'1c'!$C5*100</f>
        <v>3.6838041602325364</v>
      </c>
      <c r="G6" s="31">
        <f>'1a'!G6/'1c'!$C5*100</f>
        <v>0.76564628939958213</v>
      </c>
      <c r="H6" s="31">
        <f>'1a'!H6/'1c'!$C5*100</f>
        <v>0.36751748569352349</v>
      </c>
      <c r="I6" s="31">
        <f>'1a'!I6/'1c'!$C5*100</f>
        <v>4.8169679353256427</v>
      </c>
      <c r="J6" s="146">
        <f>'1a'!J6/'1c'!$D5*100</f>
        <v>3.7685626708869053</v>
      </c>
      <c r="K6" s="99">
        <f>'1a'!K6/'1c'!$D5*100</f>
        <v>1.3736462653992159</v>
      </c>
      <c r="L6" s="99">
        <f>'1a'!L6/'1c'!$D5*100</f>
        <v>3.3655023083739328</v>
      </c>
      <c r="M6" s="311">
        <f>'1a'!M6/'1c'!$D5*100</f>
        <v>8.5077112446600545</v>
      </c>
    </row>
    <row r="7" spans="1:13">
      <c r="A7" s="28">
        <v>1982</v>
      </c>
      <c r="B7" s="37">
        <f>'1a'!B7/'1c'!$B6*100</f>
        <v>2.1802996806681403</v>
      </c>
      <c r="C7" s="34">
        <f>'1a'!C7/'1c'!$B6*100</f>
        <v>2.5413903217882581</v>
      </c>
      <c r="D7" s="34">
        <f>'1a'!D7/'1c'!$B6*100</f>
        <v>0.32326209776467696</v>
      </c>
      <c r="E7" s="38">
        <f>'1a'!E7/'1c'!$B6*100</f>
        <v>5.0449521002210753</v>
      </c>
      <c r="F7" s="46">
        <f>'1a'!F7/'1c'!$C6*100</f>
        <v>2.4975445851641251</v>
      </c>
      <c r="G7" s="43">
        <f>'1a'!G7/'1c'!$C6*100</f>
        <v>1.0121478418195915</v>
      </c>
      <c r="H7" s="43">
        <f>'1a'!H7/'1c'!$C6*100</f>
        <v>0.25398466442663908</v>
      </c>
      <c r="I7" s="43">
        <f>'1a'!I7/'1c'!$C6*100</f>
        <v>3.7636770914103557</v>
      </c>
      <c r="J7" s="147">
        <f>'1a'!J7/'1c'!$D6*100</f>
        <v>3.5783231709538068</v>
      </c>
      <c r="K7" s="100">
        <f>'1a'!K7/'1c'!$D6*100</f>
        <v>1.8230361838990028</v>
      </c>
      <c r="L7" s="100">
        <f>'1a'!L7/'1c'!$D6*100</f>
        <v>3.6120156478790126</v>
      </c>
      <c r="M7" s="101">
        <f>'1a'!M7/'1c'!$D6*100</f>
        <v>9.0133750027318236</v>
      </c>
    </row>
    <row r="8" spans="1:13">
      <c r="A8" s="28">
        <v>1983</v>
      </c>
      <c r="B8" s="37">
        <f>'1a'!B8/'1c'!$B7*100</f>
        <v>2.2906509893891598</v>
      </c>
      <c r="C8" s="34">
        <f>'1a'!C8/'1c'!$B7*100</f>
        <v>2.5985087467737311</v>
      </c>
      <c r="D8" s="34">
        <f>'1a'!D8/'1c'!$B7*100</f>
        <v>0.34012044737596786</v>
      </c>
      <c r="E8" s="38">
        <f>'1a'!E8/'1c'!$B7*100</f>
        <v>5.2292801835388589</v>
      </c>
      <c r="F8" s="46">
        <f>'1a'!F8/'1c'!$C7*100</f>
        <v>2.2458184700753074</v>
      </c>
      <c r="G8" s="43">
        <f>'1a'!G8/'1c'!$C7*100</f>
        <v>0.99032897344431237</v>
      </c>
      <c r="H8" s="43">
        <f>'1a'!H8/'1c'!$C7*100</f>
        <v>0.22917162108600872</v>
      </c>
      <c r="I8" s="43">
        <f>'1a'!I8/'1c'!$C7*100</f>
        <v>3.465319064605628</v>
      </c>
      <c r="J8" s="147">
        <f>'1a'!J8/'1c'!$D7*100</f>
        <v>4.4721845318860236</v>
      </c>
      <c r="K8" s="100">
        <f>'1a'!K8/'1c'!$D7*100</f>
        <v>2.298119790657104</v>
      </c>
      <c r="L8" s="100">
        <f>'1a'!L8/'1c'!$D7*100</f>
        <v>3.3361116495444856</v>
      </c>
      <c r="M8" s="101">
        <f>'1a'!M8/'1c'!$D7*100</f>
        <v>10.106415972087614</v>
      </c>
    </row>
    <row r="9" spans="1:13">
      <c r="A9" s="28">
        <v>1984</v>
      </c>
      <c r="B9" s="37">
        <f>'1a'!B9/'1c'!$B8*100</f>
        <v>2.210538426138978</v>
      </c>
      <c r="C9" s="34">
        <f>'1a'!C9/'1c'!$B8*100</f>
        <v>3.5350897376898298</v>
      </c>
      <c r="D9" s="34">
        <f>'1a'!D9/'1c'!$B8*100</f>
        <v>0.33985273815002298</v>
      </c>
      <c r="E9" s="38">
        <f>'1a'!E9/'1c'!$B8*100</f>
        <v>6.0854809019788316</v>
      </c>
      <c r="F9" s="46">
        <f>'1a'!F9/'1c'!$C8*100</f>
        <v>2.1382311431707697</v>
      </c>
      <c r="G9" s="43">
        <f>'1a'!G9/'1c'!$C8*100</f>
        <v>1.0727614865924415</v>
      </c>
      <c r="H9" s="43">
        <f>'1a'!H9/'1c'!$C8*100</f>
        <v>0.22581151011447387</v>
      </c>
      <c r="I9" s="43">
        <f>'1a'!I9/'1c'!$C8*100</f>
        <v>3.4368041398776854</v>
      </c>
      <c r="J9" s="147">
        <f>'1a'!J9/'1c'!$D8*100</f>
        <v>4.6306108019129661</v>
      </c>
      <c r="K9" s="100">
        <f>'1a'!K9/'1c'!$D8*100</f>
        <v>2.7326765012090584</v>
      </c>
      <c r="L9" s="100">
        <f>'1a'!L9/'1c'!$D8*100</f>
        <v>3.4955989525822631</v>
      </c>
      <c r="M9" s="101">
        <f>'1a'!M9/'1c'!$D8*100</f>
        <v>10.858886255704286</v>
      </c>
    </row>
    <row r="10" spans="1:13">
      <c r="A10" s="28">
        <v>1985</v>
      </c>
      <c r="B10" s="37">
        <f>'1a'!B10/'1c'!$B9*100</f>
        <v>9.2989553656220334</v>
      </c>
      <c r="C10" s="34">
        <f>'1a'!C10/'1c'!$B9*100</f>
        <v>4.7113010446343777</v>
      </c>
      <c r="D10" s="34">
        <f>'1a'!D10/'1c'!$B9*100</f>
        <v>3.7906932573599237</v>
      </c>
      <c r="E10" s="38">
        <f>'1a'!E10/'1c'!$B9*100</f>
        <v>17.800949667616337</v>
      </c>
      <c r="F10" s="46">
        <f>'1a'!F10/'1c'!$C9*100</f>
        <v>1.8512629912588614</v>
      </c>
      <c r="G10" s="43">
        <f>'1a'!G10/'1c'!$C9*100</f>
        <v>1.5932961662881135</v>
      </c>
      <c r="H10" s="43">
        <f>'1a'!H10/'1c'!$C9*100</f>
        <v>0.66666666666666663</v>
      </c>
      <c r="I10" s="43">
        <f>'1a'!I10/'1c'!$C9*100</f>
        <v>4.1112258242136415</v>
      </c>
      <c r="J10" s="147">
        <f>'1a'!J10/'1c'!$D9*100</f>
        <v>4.354248486421759</v>
      </c>
      <c r="K10" s="100">
        <f>'1a'!K10/'1c'!$D9*100</f>
        <v>2.9067401334795968</v>
      </c>
      <c r="L10" s="100">
        <f>'1a'!L10/'1c'!$D9*100</f>
        <v>3.2403553873336737</v>
      </c>
      <c r="M10" s="101">
        <f>'1a'!M10/'1c'!$D9*100</f>
        <v>10.50134400723503</v>
      </c>
    </row>
    <row r="11" spans="1:13">
      <c r="A11" s="28">
        <v>1986</v>
      </c>
      <c r="B11" s="37">
        <f>'1a'!B11/'1c'!$B10*100</f>
        <v>3.7602411120679053</v>
      </c>
      <c r="C11" s="34">
        <f>'1a'!C11/'1c'!$B10*100</f>
        <v>4.6741296592446799</v>
      </c>
      <c r="D11" s="34">
        <f>'1a'!D11/'1c'!$B10*100</f>
        <v>0.73736006888916228</v>
      </c>
      <c r="E11" s="38">
        <f>'1a'!E11/'1c'!$B10*100</f>
        <v>9.1717308402017466</v>
      </c>
      <c r="F11" s="46">
        <f>'1a'!F11/'1c'!$C10*100</f>
        <v>1.6933656957928804</v>
      </c>
      <c r="G11" s="43">
        <f>'1a'!G11/'1c'!$C10*100</f>
        <v>1.3574029126213594</v>
      </c>
      <c r="H11" s="43">
        <f>'1a'!H11/'1c'!$C10*100</f>
        <v>0.49504449838187703</v>
      </c>
      <c r="I11" s="43">
        <f>'1a'!I11/'1c'!$C10*100</f>
        <v>3.5458131067961167</v>
      </c>
      <c r="J11" s="147">
        <f>'1a'!J11/'1c'!$D10*100</f>
        <v>4.3847324101977732</v>
      </c>
      <c r="K11" s="100">
        <f>'1a'!K11/'1c'!$D10*100</f>
        <v>3.4368873083395508</v>
      </c>
      <c r="L11" s="100">
        <f>'1a'!L11/'1c'!$D10*100</f>
        <v>3.4706408653830625</v>
      </c>
      <c r="M11" s="101">
        <f>'1a'!M11/'1c'!$D10*100</f>
        <v>11.292260583920386</v>
      </c>
    </row>
    <row r="12" spans="1:13">
      <c r="A12" s="28">
        <v>1987</v>
      </c>
      <c r="B12" s="37">
        <f>'1a'!B12/'1c'!$B11*100</f>
        <v>3.7964323189926548</v>
      </c>
      <c r="C12" s="34">
        <f>'1a'!C12/'1c'!$B11*100</f>
        <v>6.0752885624344177</v>
      </c>
      <c r="D12" s="34">
        <f>'1a'!D12/'1c'!$B11*100</f>
        <v>0.52387198321091288</v>
      </c>
      <c r="E12" s="38">
        <f>'1a'!E12/'1c'!$B11*100</f>
        <v>10.395592864637985</v>
      </c>
      <c r="F12" s="46">
        <f>'1a'!F12/'1c'!$C11*100</f>
        <v>2.9205087440381554</v>
      </c>
      <c r="G12" s="43">
        <f>'1a'!G12/'1c'!$C11*100</f>
        <v>1.9817781582487461</v>
      </c>
      <c r="H12" s="43">
        <f>'1a'!H12/'1c'!$C11*100</f>
        <v>0.358199828788064</v>
      </c>
      <c r="I12" s="43">
        <f>'1a'!I12/'1c'!$C11*100</f>
        <v>5.2604867310749661</v>
      </c>
      <c r="J12" s="147">
        <f>'1a'!J12/'1c'!$D11*100</f>
        <v>5.5538088129855785</v>
      </c>
      <c r="K12" s="100">
        <f>'1a'!K12/'1c'!$D11*100</f>
        <v>3.6530753770025508</v>
      </c>
      <c r="L12" s="100">
        <f>'1a'!L12/'1c'!$D11*100</f>
        <v>3.9780674431998495</v>
      </c>
      <c r="M12" s="101">
        <f>'1a'!M12/'1c'!$D11*100</f>
        <v>13.18495163318798</v>
      </c>
    </row>
    <row r="13" spans="1:13">
      <c r="A13" s="28">
        <v>1988</v>
      </c>
      <c r="B13" s="37">
        <f>'1a'!B13/'1c'!$B12*100</f>
        <v>0.97050326896761452</v>
      </c>
      <c r="C13" s="34">
        <f>'1a'!C13/'1c'!$B12*100</f>
        <v>2.9957934215194366</v>
      </c>
      <c r="D13" s="34">
        <f>'1a'!D13/'1c'!$B12*100</f>
        <v>5.0630986772084538E-2</v>
      </c>
      <c r="E13" s="38">
        <f>'1a'!E13/'1c'!$B12*100</f>
        <v>4.0169276772591358</v>
      </c>
      <c r="F13" s="46">
        <f>'1a'!F13/'1c'!$C12*100</f>
        <v>2.296116504854369</v>
      </c>
      <c r="G13" s="43">
        <f>'1a'!G13/'1c'!$C12*100</f>
        <v>1.5428605256926358</v>
      </c>
      <c r="H13" s="43">
        <f>'1a'!H13/'1c'!$C12*100</f>
        <v>0.11437366800852475</v>
      </c>
      <c r="I13" s="43">
        <f>'1a'!I13/'1c'!$C12*100</f>
        <v>3.9533506985555293</v>
      </c>
      <c r="J13" s="147">
        <f>'1a'!J13/'1c'!$D12*100</f>
        <v>4.0009788944799682</v>
      </c>
      <c r="K13" s="100">
        <f>'1a'!K13/'1c'!$D12*100</f>
        <v>3.9124242649776528</v>
      </c>
      <c r="L13" s="100">
        <f>'1a'!L13/'1c'!$D12*100</f>
        <v>4.0248205254998224</v>
      </c>
      <c r="M13" s="101">
        <f>'1a'!M13/'1c'!$D12*100</f>
        <v>11.938223684957443</v>
      </c>
    </row>
    <row r="14" spans="1:13">
      <c r="A14" s="28">
        <v>1989</v>
      </c>
      <c r="B14" s="37">
        <f>'1a'!B14/'1c'!$B13*100</f>
        <v>1.706346680246992</v>
      </c>
      <c r="C14" s="34">
        <f>'1a'!C14/'1c'!$B13*100</f>
        <v>3.3340760073843021</v>
      </c>
      <c r="D14" s="34">
        <f>'1a'!D14/'1c'!$B13*100</f>
        <v>0.25456744541345722</v>
      </c>
      <c r="E14" s="38">
        <f>'1a'!E14/'1c'!$B13*100</f>
        <v>5.2949901330447506</v>
      </c>
      <c r="F14" s="46">
        <f>'1a'!F14/'1c'!$C13*100</f>
        <v>2.2213774597495526</v>
      </c>
      <c r="G14" s="43">
        <f>'1a'!G14/'1c'!$C13*100</f>
        <v>2.1683064997018486</v>
      </c>
      <c r="H14" s="43">
        <f>'1a'!H14/'1c'!$C13*100</f>
        <v>1.1413237924865833</v>
      </c>
      <c r="I14" s="43">
        <f>'1a'!I14/'1c'!$C13*100</f>
        <v>5.5310077519379846</v>
      </c>
      <c r="J14" s="147">
        <f>'1a'!J14/'1c'!$D13*100</f>
        <v>4.0836418143595088</v>
      </c>
      <c r="K14" s="100">
        <f>'1a'!K14/'1c'!$D13*100</f>
        <v>4.086447958880628</v>
      </c>
      <c r="L14" s="100">
        <f>'1a'!L14/'1c'!$D13*100</f>
        <v>4.1210570746411053</v>
      </c>
      <c r="M14" s="101">
        <f>'1a'!M14/'1c'!$D13*100</f>
        <v>12.291146847881244</v>
      </c>
    </row>
    <row r="15" spans="1:13">
      <c r="A15" s="28">
        <v>1990</v>
      </c>
      <c r="B15" s="37">
        <f>'1a'!B15/'1c'!$B14*100</f>
        <v>5.1568601050222158E-2</v>
      </c>
      <c r="C15" s="34">
        <f>'1a'!C15/'1c'!$B14*100</f>
        <v>4.0294870068668365</v>
      </c>
      <c r="D15" s="34">
        <f>'1a'!D15/'1c'!$B14*100</f>
        <v>0.13437457923791571</v>
      </c>
      <c r="E15" s="38">
        <f>'1a'!E15/'1c'!$B14*100</f>
        <v>4.2154301871549746</v>
      </c>
      <c r="F15" s="46">
        <f>'1a'!F15/'1c'!$C14*100</f>
        <v>2.0204924543288323</v>
      </c>
      <c r="G15" s="43">
        <f>'1a'!G15/'1c'!$C14*100</f>
        <v>2.2481334392374897</v>
      </c>
      <c r="H15" s="43">
        <f>'1a'!H15/'1c'!$C14*100</f>
        <v>0.15520254169976169</v>
      </c>
      <c r="I15" s="43">
        <f>'1a'!I15/'1c'!$C14*100</f>
        <v>4.4238284352660839</v>
      </c>
      <c r="J15" s="147">
        <f>'1a'!J15/'1c'!$D14*100</f>
        <v>3.6986877899335311</v>
      </c>
      <c r="K15" s="100">
        <f>'1a'!K15/'1c'!$D14*100</f>
        <v>4.6602149475797816</v>
      </c>
      <c r="L15" s="100">
        <f>'1a'!L15/'1c'!$D14*100</f>
        <v>4.4745869512570735</v>
      </c>
      <c r="M15" s="101">
        <f>'1a'!M15/'1c'!$D14*100</f>
        <v>12.833489688770387</v>
      </c>
    </row>
    <row r="16" spans="1:13">
      <c r="A16" s="28">
        <v>1991</v>
      </c>
      <c r="B16" s="37">
        <f>'1a'!B16/'1c'!$B15*100</f>
        <v>0.71328607363366114</v>
      </c>
      <c r="C16" s="34">
        <f>'1a'!C16/'1c'!$B15*100</f>
        <v>3.5109078435856396</v>
      </c>
      <c r="D16" s="34">
        <f>'1a'!D16/'1c'!$B15*100</f>
        <v>0.45694031557283327</v>
      </c>
      <c r="E16" s="38">
        <f>'1a'!E16/'1c'!$B15*100</f>
        <v>4.6811342327921341</v>
      </c>
      <c r="F16" s="46">
        <f>'1a'!F16/'1c'!$C15*100</f>
        <v>3.1535547136171163</v>
      </c>
      <c r="G16" s="43">
        <f>'1a'!G16/'1c'!$C15*100</f>
        <v>2.4468464452863827</v>
      </c>
      <c r="H16" s="43">
        <f>'1a'!H16/'1c'!$C15*100</f>
        <v>0.21305995096946737</v>
      </c>
      <c r="I16" s="43">
        <f>'1a'!I16/'1c'!$C15*100</f>
        <v>5.813461109872966</v>
      </c>
      <c r="J16" s="147">
        <f>'1a'!J16/'1c'!$D15*100</f>
        <v>3.6942611352508794</v>
      </c>
      <c r="K16" s="100">
        <f>'1a'!K16/'1c'!$D15*100</f>
        <v>5.1649782742082921</v>
      </c>
      <c r="L16" s="100">
        <f>'1a'!L16/'1c'!$D15*100</f>
        <v>4.5139558471806565</v>
      </c>
      <c r="M16" s="101">
        <f>'1a'!M16/'1c'!$D15*100</f>
        <v>13.373195256639828</v>
      </c>
    </row>
    <row r="17" spans="1:13">
      <c r="A17" s="28">
        <v>1992</v>
      </c>
      <c r="B17" s="37">
        <f>'1a'!B17/'1c'!$B16*100</f>
        <v>1.594640010340816</v>
      </c>
      <c r="C17" s="34">
        <f>'1a'!C17/'1c'!$B16*100</f>
        <v>3.4501271058641043</v>
      </c>
      <c r="D17" s="34" t="s">
        <v>37</v>
      </c>
      <c r="E17" s="34" t="s">
        <v>37</v>
      </c>
      <c r="F17" s="46">
        <f>'1a'!F17/'1c'!$C16*100</f>
        <v>2.5294346978557507</v>
      </c>
      <c r="G17" s="43">
        <f>'1a'!G17/'1c'!$C16*100</f>
        <v>1.7148148148148148</v>
      </c>
      <c r="H17" s="34" t="s">
        <v>37</v>
      </c>
      <c r="I17" s="34" t="s">
        <v>37</v>
      </c>
      <c r="J17" s="147">
        <f>'1a'!J17/'1c'!$D16*100</f>
        <v>4.9844718372484369</v>
      </c>
      <c r="K17" s="100">
        <f>'1a'!K17/'1c'!$D16*100</f>
        <v>5.7734666794357876</v>
      </c>
      <c r="L17" s="100">
        <f>'1a'!L17/'1c'!$D16*100</f>
        <v>5.469607212728989</v>
      </c>
      <c r="M17" s="38">
        <f>'1a'!M17/'1c'!$D16*100</f>
        <v>16.227545729413215</v>
      </c>
    </row>
    <row r="18" spans="1:13">
      <c r="A18" s="28">
        <v>1993</v>
      </c>
      <c r="B18" s="37">
        <f>'1a'!B18/'1c'!$B17*100</f>
        <v>11.449530160654744</v>
      </c>
      <c r="C18" s="34">
        <f>'1a'!C18/'1c'!$B17*100</f>
        <v>8.4120945741133681</v>
      </c>
      <c r="D18" s="34" t="s">
        <v>37</v>
      </c>
      <c r="E18" s="34" t="s">
        <v>37</v>
      </c>
      <c r="F18" s="46">
        <f>'1a'!F18/'1c'!$C17*100</f>
        <v>0.83825396825396825</v>
      </c>
      <c r="G18" s="43">
        <f>'1a'!G18/'1c'!$C17*100</f>
        <v>2.4152380952380952</v>
      </c>
      <c r="H18" s="34" t="s">
        <v>37</v>
      </c>
      <c r="I18" s="34" t="s">
        <v>37</v>
      </c>
      <c r="J18" s="147">
        <f>'1a'!J18/'1c'!$D17*100</f>
        <v>4.7288696017205796</v>
      </c>
      <c r="K18" s="100">
        <f>'1a'!K18/'1c'!$D17*100</f>
        <v>7.0736780127189913</v>
      </c>
      <c r="L18" s="100">
        <f>'1a'!L18/'1c'!$D17*100</f>
        <v>5.0492976750905676</v>
      </c>
      <c r="M18" s="38">
        <f>'1a'!M18/'1c'!$D17*100</f>
        <v>16.851845289530136</v>
      </c>
    </row>
    <row r="19" spans="1:13">
      <c r="A19" s="28">
        <v>1994</v>
      </c>
      <c r="B19" s="37">
        <f>'1a'!B19/'1c'!$B18*100</f>
        <v>0.15101231475683574</v>
      </c>
      <c r="C19" s="34">
        <f>'1a'!C19/'1c'!$B18*100</f>
        <v>4.1120851596743897</v>
      </c>
      <c r="D19" s="34">
        <f>'1a'!D19/'1c'!$B18*100</f>
        <v>0.20862032978501358</v>
      </c>
      <c r="E19" s="38">
        <f>'1a'!E19/'1c'!$B18*100</f>
        <v>4.4717178042162393</v>
      </c>
      <c r="F19" s="46">
        <f>'1a'!F19/'1c'!$C18*100</f>
        <v>1.8412917049280688</v>
      </c>
      <c r="G19" s="43">
        <f>'1a'!G19/'1c'!$C18*100</f>
        <v>2.516375880012244</v>
      </c>
      <c r="H19" s="34" t="s">
        <v>37</v>
      </c>
      <c r="I19" s="34" t="s">
        <v>37</v>
      </c>
      <c r="J19" s="147">
        <f>'1a'!J19/'1c'!$D18*100</f>
        <v>5.2224424987797748</v>
      </c>
      <c r="K19" s="100">
        <f>'1a'!K19/'1c'!$D18*100</f>
        <v>7.2898953318108139</v>
      </c>
      <c r="L19" s="100">
        <f>'1a'!L19/'1c'!$D18*100</f>
        <v>4.1951636909245389</v>
      </c>
      <c r="M19" s="38">
        <f>'1a'!M19/'1c'!$D18*100</f>
        <v>16.707501521515127</v>
      </c>
    </row>
    <row r="20" spans="1:13">
      <c r="A20" s="28">
        <v>1995</v>
      </c>
      <c r="B20" s="37">
        <f>'1a'!B20/'1c'!$B19*100</f>
        <v>1.1331378299120236</v>
      </c>
      <c r="C20" s="34">
        <f>'1a'!C20/'1c'!$B19*100</f>
        <v>4.8459824046920819</v>
      </c>
      <c r="D20" s="34" t="s">
        <v>37</v>
      </c>
      <c r="E20" s="34" t="s">
        <v>37</v>
      </c>
      <c r="F20" s="46">
        <f>'1a'!F20/'1c'!$C19*100</f>
        <v>4.352106430155211</v>
      </c>
      <c r="G20" s="43">
        <f>'1a'!G20/'1c'!$C19*100</f>
        <v>3.312342941611234</v>
      </c>
      <c r="H20" s="34" t="s">
        <v>37</v>
      </c>
      <c r="I20" s="34" t="s">
        <v>37</v>
      </c>
      <c r="J20" s="147">
        <f>'1a'!J20/'1c'!$D19*100</f>
        <v>5.6756983551682483</v>
      </c>
      <c r="K20" s="100">
        <f>'1a'!K20/'1c'!$D19*100</f>
        <v>6.9451006222289671</v>
      </c>
      <c r="L20" s="100">
        <f>'1a'!L20/'1c'!$D19*100</f>
        <v>3.9832769499400533</v>
      </c>
      <c r="M20" s="38">
        <f>'1a'!M20/'1c'!$D19*100</f>
        <v>16.604075927337266</v>
      </c>
    </row>
    <row r="21" spans="1:13">
      <c r="A21" s="28">
        <v>1996</v>
      </c>
      <c r="B21" s="37">
        <f>'1a'!B21/'1c'!$B20*100</f>
        <v>1.7141691152464902</v>
      </c>
      <c r="C21" s="34">
        <f>'1a'!C21/'1c'!$B20*100</f>
        <v>4.1936826640548475</v>
      </c>
      <c r="D21" s="34">
        <f>'1a'!D21/'1c'!$B20*100</f>
        <v>0.32615083251714005</v>
      </c>
      <c r="E21" s="38">
        <f>'1a'!E21/'1c'!$B20*100</f>
        <v>6.234002611818477</v>
      </c>
      <c r="F21" s="46">
        <f>'1a'!F21/'1c'!$C20*100</f>
        <v>5.6352386564525636</v>
      </c>
      <c r="G21" s="43">
        <f>'1a'!G21/'1c'!$C20*100</f>
        <v>3.9806717737183273</v>
      </c>
      <c r="H21" s="34" t="s">
        <v>37</v>
      </c>
      <c r="I21" s="34" t="s">
        <v>37</v>
      </c>
      <c r="J21" s="147">
        <f>'1a'!J21/'1c'!$D20*100</f>
        <v>5.5675200177471842</v>
      </c>
      <c r="K21" s="100">
        <f>'1a'!K21/'1c'!$D20*100</f>
        <v>7.5250915089169714</v>
      </c>
      <c r="L21" s="100">
        <f>'1a'!L21/'1c'!$D20*100</f>
        <v>4.1160068396943883</v>
      </c>
      <c r="M21" s="38">
        <f>'1a'!M21/'1c'!$D20*100</f>
        <v>17.208618366358543</v>
      </c>
    </row>
    <row r="22" spans="1:13">
      <c r="A22" s="28">
        <v>1997</v>
      </c>
      <c r="B22" s="37">
        <f>'1a'!B22/'1c'!$B21*100</f>
        <v>4.1762931822335956</v>
      </c>
      <c r="C22" s="34">
        <f>'1a'!C22/'1c'!$B21*100</f>
        <v>5.0964631694388594</v>
      </c>
      <c r="D22" s="34">
        <f>'1a'!D22/'1c'!$B21*100</f>
        <v>1.1311460427709743</v>
      </c>
      <c r="E22" s="38">
        <f>'1a'!E22/'1c'!$B21*100</f>
        <v>10.403902394443429</v>
      </c>
      <c r="F22" s="46">
        <f>'1a'!F22/'1c'!$C21*100</f>
        <v>5.8558040636320685</v>
      </c>
      <c r="G22" s="43">
        <f>'1a'!G22/'1c'!$C21*100</f>
        <v>6.0782800441014331</v>
      </c>
      <c r="H22" s="43">
        <f>'1a'!H22/'1c'!$C21*100</f>
        <v>9.3873050874153402E-2</v>
      </c>
      <c r="I22" s="43">
        <f>'1a'!I22/'1c'!$C21*100</f>
        <v>12.027957158607656</v>
      </c>
      <c r="J22" s="147">
        <f>'1a'!J22/'1c'!$D21*100</f>
        <v>5.2988988599835132</v>
      </c>
      <c r="K22" s="100">
        <f>'1a'!K22/'1c'!$D21*100</f>
        <v>7.0534695449653171</v>
      </c>
      <c r="L22" s="100">
        <f>'1a'!L22/'1c'!$D21*100</f>
        <v>4.5872434782921712</v>
      </c>
      <c r="M22" s="101">
        <f>'1a'!M22/'1c'!$D21*100</f>
        <v>16.939611883241</v>
      </c>
    </row>
    <row r="23" spans="1:13">
      <c r="A23" s="28">
        <v>1998</v>
      </c>
      <c r="B23" s="37">
        <f>'1a'!B23/'1c'!$B22*100</f>
        <v>5.5427816018598719</v>
      </c>
      <c r="C23" s="34">
        <f>'1a'!C23/'1c'!$B22*100</f>
        <v>6.0370150886629901</v>
      </c>
      <c r="D23" s="34">
        <f>'1a'!D23/'1c'!$B22*100</f>
        <v>0.29384145507589915</v>
      </c>
      <c r="E23" s="38">
        <f>'1a'!E23/'1c'!$B22*100</f>
        <v>11.873638145598763</v>
      </c>
      <c r="F23" s="46">
        <f>'1a'!F23/'1c'!$C22*100</f>
        <v>11.862109788771885</v>
      </c>
      <c r="G23" s="43">
        <f>'1a'!G23/'1c'!$C22*100</f>
        <v>6.9085301264876318</v>
      </c>
      <c r="H23" s="43">
        <f>'1a'!H23/'1c'!$C22*100</f>
        <v>0.47654059442955943</v>
      </c>
      <c r="I23" s="43">
        <f>'1a'!I23/'1c'!$C22*100</f>
        <v>19.247180509689077</v>
      </c>
      <c r="J23" s="147">
        <f>'1a'!J23/'1c'!$D22*100</f>
        <v>6.6918044550554461</v>
      </c>
      <c r="K23" s="100">
        <f>'1a'!K23/'1c'!$D22*100</f>
        <v>7.5117445669851097</v>
      </c>
      <c r="L23" s="100">
        <f>'1a'!L23/'1c'!$D22*100</f>
        <v>4.2023921696180375</v>
      </c>
      <c r="M23" s="101">
        <f>'1a'!M23/'1c'!$D22*100</f>
        <v>18.405941191658595</v>
      </c>
    </row>
    <row r="24" spans="1:13">
      <c r="A24" s="28">
        <v>1999</v>
      </c>
      <c r="B24" s="37">
        <f>'1a'!B24/'1c'!$B23*100</f>
        <v>2.8211832679892699</v>
      </c>
      <c r="C24" s="34">
        <f>'1a'!C24/'1c'!$B23*100</f>
        <v>5.9216166023052201</v>
      </c>
      <c r="D24" s="34">
        <f>'1a'!D24/'1c'!$B23*100</f>
        <v>0.24095746248857705</v>
      </c>
      <c r="E24" s="38">
        <f>'1a'!E24/'1c'!$B23*100</f>
        <v>8.9837573327830658</v>
      </c>
      <c r="F24" s="46">
        <f>'1a'!F24/'1c'!$C23*100</f>
        <v>1.6923860082903062</v>
      </c>
      <c r="G24" s="43">
        <f>'1a'!G24/'1c'!$C23*100</f>
        <v>3.7066395171260274</v>
      </c>
      <c r="H24" s="43">
        <f>'1a'!H24/'1c'!$C23*100</f>
        <v>5.1196276634426587E-2</v>
      </c>
      <c r="I24" s="43">
        <f>'1a'!I24/'1c'!$C23*100</f>
        <v>5.4502218020507591</v>
      </c>
      <c r="J24" s="147">
        <f>'1a'!J24/'1c'!$D23*100</f>
        <v>6.7458171633084252</v>
      </c>
      <c r="K24" s="100">
        <f>'1a'!K24/'1c'!$D23*100</f>
        <v>7.4797697160154737</v>
      </c>
      <c r="L24" s="100">
        <f>'1a'!L24/'1c'!$D23*100</f>
        <v>4.8041399511176124</v>
      </c>
      <c r="M24" s="101">
        <f>'1a'!M24/'1c'!$D23*100</f>
        <v>19.029726830441511</v>
      </c>
    </row>
    <row r="25" spans="1:13">
      <c r="A25" s="28">
        <v>2000</v>
      </c>
      <c r="B25" s="37">
        <f>'1a'!B25/'1c'!$B24*100</f>
        <v>0.76871657754010692</v>
      </c>
      <c r="C25" s="34">
        <f>'1a'!C25/'1c'!$B24*100</f>
        <v>8.6808897801544855</v>
      </c>
      <c r="D25" s="34">
        <f>'1a'!D25/'1c'!$B24*100</f>
        <v>0.10981134878193702</v>
      </c>
      <c r="E25" s="38">
        <f>'1a'!E25/'1c'!$B24*100</f>
        <v>9.5594177064765287</v>
      </c>
      <c r="F25" s="46">
        <f>'1a'!F25/'1c'!$C24*100</f>
        <v>3.3237880813339902</v>
      </c>
      <c r="G25" s="43">
        <f>'1a'!G25/'1c'!$C24*100</f>
        <v>7.218602687680292</v>
      </c>
      <c r="H25" s="43">
        <f>'1a'!H25/'1c'!$C24*100</f>
        <v>0.94948286779708702</v>
      </c>
      <c r="I25" s="43">
        <f>'1a'!I25/'1c'!$C24*100</f>
        <v>11.49187363681137</v>
      </c>
      <c r="J25" s="147">
        <f>'1a'!J25/'1c'!$D24*100</f>
        <v>6.8532960897217876</v>
      </c>
      <c r="K25" s="100">
        <f>'1a'!K25/'1c'!$D24*100</f>
        <v>7.5130106824550698</v>
      </c>
      <c r="L25" s="100">
        <f>'1a'!L25/'1c'!$D24*100</f>
        <v>5.7125850698468223</v>
      </c>
      <c r="M25" s="101">
        <f>'1a'!M25/'1c'!$D24*100</f>
        <v>20.078891842023676</v>
      </c>
    </row>
    <row r="26" spans="1:13">
      <c r="A26" s="28">
        <v>2001</v>
      </c>
      <c r="B26" s="37">
        <f>'1a'!B26/'1c'!$B25*100</f>
        <v>9.0695022803886569E-2</v>
      </c>
      <c r="C26" s="34">
        <f>'1a'!C26/'1c'!$B25*100</f>
        <v>4.25366845131866</v>
      </c>
      <c r="D26" s="34">
        <f>'1a'!D26/'1c'!$B25*100</f>
        <v>2.9744199881023202E-4</v>
      </c>
      <c r="E26" s="38">
        <f>'1a'!E26/'1c'!$B25*100</f>
        <v>4.3446609161213559</v>
      </c>
      <c r="F26" s="46">
        <f>'1a'!F26/'1c'!$C25*100</f>
        <v>1.2406607718143807E-2</v>
      </c>
      <c r="G26" s="43">
        <f>'1a'!G26/'1c'!$C25*100</f>
        <v>5.0586057988895741</v>
      </c>
      <c r="H26" s="43">
        <f>'1a'!H26/'1c'!$C25*100</f>
        <v>4.9626430872575227E-2</v>
      </c>
      <c r="I26" s="43">
        <f>'1a'!I26/'1c'!$C25*100</f>
        <v>5.1206388374802927</v>
      </c>
      <c r="J26" s="147">
        <f>'1a'!J26/'1c'!$D25*100</f>
        <v>5.7721940671414647</v>
      </c>
      <c r="K26" s="100">
        <f>'1a'!K26/'1c'!$D25*100</f>
        <v>8.180144381411921</v>
      </c>
      <c r="L26" s="100">
        <f>'1a'!L26/'1c'!$D25*100</f>
        <v>5.9313646769717998</v>
      </c>
      <c r="M26" s="101">
        <f>'1a'!M26/'1c'!$D25*100</f>
        <v>19.883703125525184</v>
      </c>
    </row>
    <row r="27" spans="1:13">
      <c r="A27" s="28">
        <v>2002</v>
      </c>
      <c r="B27" s="37">
        <f>'1a'!B27/'1c'!$B26*100</f>
        <v>1.1227219090074734</v>
      </c>
      <c r="C27" s="34">
        <f>'1a'!C27/'1c'!$B26*100</f>
        <v>3.829880687032909</v>
      </c>
      <c r="D27" s="34">
        <f>'1a'!D27/'1c'!$B26*100</f>
        <v>0.1202635374328045</v>
      </c>
      <c r="E27" s="38">
        <f>'1a'!E27/'1c'!$B26*100</f>
        <v>5.0728661334731875</v>
      </c>
      <c r="F27" s="46">
        <f>'1a'!F27/'1c'!$C26*100</f>
        <v>0.22931862657890054</v>
      </c>
      <c r="G27" s="43">
        <f>'1a'!G27/'1c'!$C26*100</f>
        <v>5.2827788649706457</v>
      </c>
      <c r="H27" s="43">
        <f>'1a'!H27/'1c'!$C26*100</f>
        <v>0.24746486390322006</v>
      </c>
      <c r="I27" s="43">
        <f>'1a'!I27/'1c'!$C26*100</f>
        <v>5.7595623554527675</v>
      </c>
      <c r="J27" s="147">
        <f>'1a'!J27/'1c'!$D26*100</f>
        <v>6.0724636124718661</v>
      </c>
      <c r="K27" s="100">
        <f>'1a'!K27/'1c'!$D26*100</f>
        <v>8.0940867102483409</v>
      </c>
      <c r="L27" s="100">
        <f>'1a'!L27/'1c'!$D26*100</f>
        <v>5.5232179047963879</v>
      </c>
      <c r="M27" s="101">
        <f>'1a'!M27/'1c'!$D26*100</f>
        <v>19.689768227516595</v>
      </c>
    </row>
    <row r="28" spans="1:13">
      <c r="A28" s="28">
        <v>2003</v>
      </c>
      <c r="B28" s="37">
        <f>'1a'!B28/'1c'!$B27*100</f>
        <v>3.5420847839442966</v>
      </c>
      <c r="C28" s="34">
        <f>'1a'!C28/'1c'!$B27*100</f>
        <v>5.5112635674790083</v>
      </c>
      <c r="D28" s="34">
        <f>'1a'!D28/'1c'!$B27*100</f>
        <v>0.64345689125537575</v>
      </c>
      <c r="E28" s="38">
        <f>'1a'!E28/'1c'!$B27*100</f>
        <v>9.6968052426786819</v>
      </c>
      <c r="F28" s="46">
        <f>'1a'!F28/'1c'!$C27*100</f>
        <v>1.2929123021637738</v>
      </c>
      <c r="G28" s="43">
        <f>'1a'!G28/'1c'!$C27*100</f>
        <v>5.0257664959094726</v>
      </c>
      <c r="H28" s="43">
        <f>'1a'!H28/'1c'!$C27*100</f>
        <v>0.2711216453857328</v>
      </c>
      <c r="I28" s="43">
        <f>'1a'!I28/'1c'!$C27*100</f>
        <v>6.5898004434589792</v>
      </c>
      <c r="J28" s="147">
        <f>'1a'!J28/'1c'!$D27*100</f>
        <v>6.1266045081860661</v>
      </c>
      <c r="K28" s="100">
        <f>'1a'!K28/'1c'!$D27*100</f>
        <v>7.857047875797937</v>
      </c>
      <c r="L28" s="100">
        <f>'1a'!L28/'1c'!$D27*100</f>
        <v>4.7287444219684742</v>
      </c>
      <c r="M28" s="101">
        <f>'1a'!M28/'1c'!$D27*100</f>
        <v>18.712396805952476</v>
      </c>
    </row>
    <row r="29" spans="1:13">
      <c r="A29" s="28">
        <v>2004</v>
      </c>
      <c r="B29" s="37">
        <f>'1a'!B29/'1c'!$B28*100</f>
        <v>3.9342735937413922</v>
      </c>
      <c r="C29" s="34">
        <f>'1a'!C29/'1c'!$B28*100</f>
        <v>7.3838906947275644</v>
      </c>
      <c r="D29" s="34">
        <f>'1a'!D29/'1c'!$B28*100</f>
        <v>0.69461737645308808</v>
      </c>
      <c r="E29" s="38">
        <f>'1a'!E29/'1c'!$B28*100</f>
        <v>12.012781664922043</v>
      </c>
      <c r="F29" s="46">
        <f>'1a'!F29/'1c'!$C28*100</f>
        <v>1.360492052080837</v>
      </c>
      <c r="G29" s="43">
        <f>'1a'!G29/'1c'!$C28*100</f>
        <v>9.435178528636472</v>
      </c>
      <c r="H29" s="43">
        <f>'1a'!H29/'1c'!$C28*100</f>
        <v>0.33668823388449554</v>
      </c>
      <c r="I29" s="43">
        <f>'1a'!I29/'1c'!$C28*100</f>
        <v>11.132358814601806</v>
      </c>
      <c r="J29" s="147">
        <f>'1a'!J29/'1c'!$D28*100</f>
        <v>6.3305524405218137</v>
      </c>
      <c r="K29" s="100">
        <f>'1a'!K29/'1c'!$D28*100</f>
        <v>7.9123373764689102</v>
      </c>
      <c r="L29" s="100">
        <f>'1a'!L29/'1c'!$D28*100</f>
        <v>4.1806217523924705</v>
      </c>
      <c r="M29" s="101">
        <f>'1a'!M29/'1c'!$D28*100</f>
        <v>18.423511569383194</v>
      </c>
    </row>
    <row r="30" spans="1:13">
      <c r="A30" s="28">
        <v>2005</v>
      </c>
      <c r="B30" s="37">
        <f>'1a'!B30/'1c'!$B29*100</f>
        <v>2.5223161102645797</v>
      </c>
      <c r="C30" s="34">
        <f>'1a'!C30/'1c'!$B29*100</f>
        <v>5.5104308075910788</v>
      </c>
      <c r="D30" s="34">
        <f>'1a'!D30/'1c'!$B29*100</f>
        <v>0.34281756475966202</v>
      </c>
      <c r="E30" s="38">
        <f>'1a'!E30/'1c'!$B29*100</f>
        <v>8.3755644826153226</v>
      </c>
      <c r="F30" s="46">
        <f>'1a'!F30/'1c'!$C29*100</f>
        <v>1.7783783783783782</v>
      </c>
      <c r="G30" s="43">
        <f>'1a'!G30/'1c'!$C29*100</f>
        <v>10.491683991683992</v>
      </c>
      <c r="H30" s="43">
        <f>'1a'!H30/'1c'!$C29*100</f>
        <v>0.58045738045738038</v>
      </c>
      <c r="I30" s="43">
        <f>'1a'!I30/'1c'!$C29*100</f>
        <v>12.850519750519751</v>
      </c>
      <c r="J30" s="147">
        <f>'1a'!J30/'1c'!$D29*100</f>
        <v>5.9343163635750447</v>
      </c>
      <c r="K30" s="100">
        <f>'1a'!K30/'1c'!$D29*100</f>
        <v>7.8506110413841119</v>
      </c>
      <c r="L30" s="100">
        <f>'1a'!L30/'1c'!$D29*100</f>
        <v>3.5576628901667267</v>
      </c>
      <c r="M30" s="101">
        <f>'1a'!M30/'1c'!$D29*100</f>
        <v>17.342590295125881</v>
      </c>
    </row>
    <row r="31" spans="1:13">
      <c r="A31" s="28">
        <v>2006</v>
      </c>
      <c r="B31" s="37">
        <f>'1a'!B31/'1c'!$B30*100</f>
        <v>2.7530643107290671</v>
      </c>
      <c r="C31" s="34">
        <f>'1a'!C31/'1c'!$B30*100</f>
        <v>6.3637376631645965</v>
      </c>
      <c r="D31" s="34">
        <f>'1a'!D31/'1c'!$B30*100</f>
        <v>0.6210601719197707</v>
      </c>
      <c r="E31" s="38">
        <f>'1a'!E31/'1c'!$B30*100</f>
        <v>9.737862145813434</v>
      </c>
      <c r="F31" s="46">
        <f>'1a'!F31/'1c'!$C30*100</f>
        <v>1.6326557814061979</v>
      </c>
      <c r="G31" s="43">
        <f>'1a'!G31/'1c'!$C30*100</f>
        <v>8.4853715428190597</v>
      </c>
      <c r="H31" s="43">
        <f>'1a'!H31/'1c'!$C30*100</f>
        <v>0.48330556481172943</v>
      </c>
      <c r="I31" s="43">
        <f>'1a'!I31/'1c'!$C30*100</f>
        <v>10.601332889036987</v>
      </c>
      <c r="J31" s="147">
        <f>'1a'!J31/'1c'!$D30*100</f>
        <v>5.9782819468683339</v>
      </c>
      <c r="K31" s="100">
        <f>'1a'!K31/'1c'!$D30*100</f>
        <v>7.1439036476849154</v>
      </c>
      <c r="L31" s="100">
        <f>'1a'!L31/'1c'!$D30*100</f>
        <v>3.2397711847973625</v>
      </c>
      <c r="M31" s="101">
        <f>'1a'!M31/'1c'!$D30*100</f>
        <v>16.36195677935061</v>
      </c>
    </row>
    <row r="32" spans="1:13">
      <c r="A32" s="28">
        <v>2007</v>
      </c>
      <c r="B32" s="37">
        <f>'1a'!B32/'1c'!$B31*100</f>
        <v>3.2863784076548117</v>
      </c>
      <c r="C32" s="34">
        <f>'1a'!C32/'1c'!$B31*100</f>
        <v>3.8797616898357106</v>
      </c>
      <c r="D32" s="34">
        <f>'1a'!D32/'1c'!$B31*100</f>
        <v>0.93798519588373352</v>
      </c>
      <c r="E32" s="38">
        <f>'1a'!E32/'1c'!$B31*100</f>
        <v>8.1041252933742562</v>
      </c>
      <c r="F32" s="46">
        <f>'1a'!F32/'1c'!$C31*100</f>
        <v>0.72238868371542064</v>
      </c>
      <c r="G32" s="43">
        <f>'1a'!G32/'1c'!$C31*100</f>
        <v>10.926973730053655</v>
      </c>
      <c r="H32" s="43">
        <f>'1a'!H32/'1c'!$C31*100</f>
        <v>0.26513831788725528</v>
      </c>
      <c r="I32" s="43">
        <f>'1a'!I32/'1c'!$C31*100</f>
        <v>11.914500731656331</v>
      </c>
      <c r="J32" s="147">
        <f>'1a'!J32/'1c'!$D31*100</f>
        <v>5.5733759576923978</v>
      </c>
      <c r="K32" s="100">
        <f>'1a'!K32/'1c'!$D31*100</f>
        <v>7.9775550729615059</v>
      </c>
      <c r="L32" s="100">
        <f>'1a'!L32/'1c'!$D31*100</f>
        <v>2.7848545805262113</v>
      </c>
      <c r="M32" s="101">
        <f>'1a'!M32/'1c'!$D31*100</f>
        <v>16.335785611180114</v>
      </c>
    </row>
    <row r="33" spans="1:13">
      <c r="A33" s="28">
        <v>2008</v>
      </c>
      <c r="B33" s="37">
        <f>'1a'!B33/'1c'!$B32*100</f>
        <v>1.2985217940619078</v>
      </c>
      <c r="C33" s="34">
        <f>'1a'!C33/'1c'!$B32*100</f>
        <v>4.3685154769425143</v>
      </c>
      <c r="D33" s="34">
        <f>'1a'!D33/'1c'!$B32*100</f>
        <v>0.28469993682880607</v>
      </c>
      <c r="E33" s="38">
        <f>'1a'!E33/'1c'!$B32*100</f>
        <v>5.9517372078332276</v>
      </c>
      <c r="F33" s="46">
        <f>'1a'!F33/'1c'!$C32*100</f>
        <v>0.78856611333714943</v>
      </c>
      <c r="G33" s="43">
        <f>'1a'!G33/'1c'!$C32*100</f>
        <v>10.950486548368634</v>
      </c>
      <c r="H33" s="43">
        <f>'1a'!H33/'1c'!$C32*100</f>
        <v>0.39167143674871213</v>
      </c>
      <c r="I33" s="43">
        <f>'1a'!I33/'1c'!$C32*100</f>
        <v>12.130724098454493</v>
      </c>
      <c r="J33" s="147">
        <f>'1a'!J33/'1c'!$D32*100</f>
        <v>5.3276270467939311</v>
      </c>
      <c r="K33" s="100">
        <f>'1a'!K33/'1c'!$D32*100</f>
        <v>7.6502800837788962</v>
      </c>
      <c r="L33" s="100">
        <f>'1a'!L33/'1c'!$D32*100</f>
        <v>2.9374275166741826</v>
      </c>
      <c r="M33" s="101">
        <f>'1a'!M33/'1c'!$D32*100</f>
        <v>15.915334647247011</v>
      </c>
    </row>
    <row r="34" spans="1:13">
      <c r="A34" s="28">
        <v>2009</v>
      </c>
      <c r="B34" s="37">
        <f>'1a'!B34/'1c'!$B33*100</f>
        <v>3.2470572256428825</v>
      </c>
      <c r="C34" s="34">
        <f>'1a'!C34/'1c'!$B33*100</f>
        <v>8.0136725823976818</v>
      </c>
      <c r="D34" s="34">
        <f>'1a'!D34/'1c'!$B33*100</f>
        <v>0.84172401303875388</v>
      </c>
      <c r="E34" s="38">
        <f>'1a'!E34/'1c'!$B33*100</f>
        <v>12.102453821079319</v>
      </c>
      <c r="F34" s="46">
        <f>'1a'!F34/'1c'!$C33*100</f>
        <v>1.1362644853442401</v>
      </c>
      <c r="G34" s="43">
        <f>'1a'!G34/'1c'!$C33*100</f>
        <v>10.275664621676892</v>
      </c>
      <c r="H34" s="43">
        <f>'1a'!H34/'1c'!$C33*100</f>
        <v>0.19209270620313565</v>
      </c>
      <c r="I34" s="43">
        <f>'1a'!I34/'1c'!$C33*100</f>
        <v>11.60402181322427</v>
      </c>
      <c r="J34" s="147">
        <f>'1a'!J34/'1c'!$D33*100</f>
        <v>5.5818486827924243</v>
      </c>
      <c r="K34" s="100">
        <f>'1a'!K34/'1c'!$D33*100</f>
        <v>9.133178073718641</v>
      </c>
      <c r="L34" s="100">
        <f>'1a'!L34/'1c'!$D33*100</f>
        <v>3.4462479967760986</v>
      </c>
      <c r="M34" s="101">
        <f>'1a'!M34/'1c'!$D33*100</f>
        <v>18.161274753287167</v>
      </c>
    </row>
    <row r="35" spans="1:13">
      <c r="A35" s="28">
        <v>2010</v>
      </c>
      <c r="B35" s="37">
        <f>'1a'!B35/'1c'!$B34*100</f>
        <v>3.9354513662497781</v>
      </c>
      <c r="C35" s="34">
        <f>'1a'!C35/'1c'!$B34*100</f>
        <v>8.2125540868946718</v>
      </c>
      <c r="D35" s="34">
        <f>'1a'!D35/'1c'!$B34*100</f>
        <v>1.2642404125422324</v>
      </c>
      <c r="E35" s="38">
        <f>'1a'!E35/'1c'!$B34*100</f>
        <v>13.412245865686684</v>
      </c>
      <c r="F35" s="46">
        <f>'1a'!F35/'1c'!$C34*100</f>
        <v>1.2351188998659586</v>
      </c>
      <c r="G35" s="43">
        <f>'1a'!G35/'1c'!$C34*100</f>
        <v>7.8181502258849234</v>
      </c>
      <c r="H35" s="43">
        <f>'1a'!H35/'1c'!$C34*100</f>
        <v>0.25974283870327164</v>
      </c>
      <c r="I35" s="43">
        <f>'1a'!I35/'1c'!$C34*100</f>
        <v>9.3130119644541534</v>
      </c>
      <c r="J35" s="147">
        <f>'1a'!J35/'1c'!$D34*100</f>
        <v>5.6757759917374457</v>
      </c>
      <c r="K35" s="100">
        <f>'1a'!K35/'1c'!$D34*100</f>
        <v>8.9031692972210159</v>
      </c>
      <c r="L35" s="100">
        <f>'1a'!L35/'1c'!$D34*100</f>
        <v>3.546532236927407</v>
      </c>
      <c r="M35" s="101">
        <f>'1a'!M35/'1c'!$D34*100</f>
        <v>18.12547752588587</v>
      </c>
    </row>
    <row r="36" spans="1:13">
      <c r="A36" s="29">
        <v>2011</v>
      </c>
      <c r="B36" s="39">
        <f>'1a'!B36/'1c'!$B35*100</f>
        <v>3.9262672811059907</v>
      </c>
      <c r="C36" s="40">
        <f>'1a'!C36/'1c'!$B35*100</f>
        <v>8.1789746543778801</v>
      </c>
      <c r="D36" s="40">
        <f>'1a'!D36/'1c'!$B35*100</f>
        <v>1.3105990783410137</v>
      </c>
      <c r="E36" s="41">
        <f>'1a'!E36/'1c'!$B35*100</f>
        <v>13.415841013824883</v>
      </c>
      <c r="F36" s="48">
        <f>'1a'!F36/'1c'!$C35*100</f>
        <v>1.3708571965073704</v>
      </c>
      <c r="G36" s="49">
        <f>'1a'!G36/'1c'!$C35*100</f>
        <v>7.5920101398929685</v>
      </c>
      <c r="H36" s="49">
        <f>'1a'!H36/'1c'!$C35*100</f>
        <v>0.28415172284292556</v>
      </c>
      <c r="I36" s="49">
        <f>'1a'!I36/'1c'!$C35*100</f>
        <v>9.2470190592432644</v>
      </c>
      <c r="J36" s="148">
        <f>'1a'!J36/'1c'!$D35*100</f>
        <v>5.6330863973851759</v>
      </c>
      <c r="K36" s="102">
        <f>'1a'!K36/'1c'!$D35*100</f>
        <v>8.6270350869794505</v>
      </c>
      <c r="L36" s="102">
        <f>'1a'!L36/'1c'!$D35*100</f>
        <v>3.5323346562602658</v>
      </c>
      <c r="M36" s="103">
        <f>'1a'!M36/'1c'!$D35*100</f>
        <v>17.792456140624893</v>
      </c>
    </row>
    <row r="37" spans="1:13">
      <c r="A37" s="26"/>
      <c r="B37" s="10"/>
      <c r="C37" s="10"/>
      <c r="D37" s="10"/>
      <c r="E37" s="10"/>
      <c r="F37" s="10"/>
      <c r="G37" s="10"/>
      <c r="H37" s="10"/>
      <c r="I37" s="10"/>
    </row>
    <row r="38" spans="1:13">
      <c r="A38" s="389" t="s">
        <v>52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0"/>
    </row>
    <row r="39" spans="1:13">
      <c r="A39" s="15" t="s">
        <v>53</v>
      </c>
      <c r="B39" s="82">
        <f>(POWER(B15/B6,1/($A15-$A6))-1)*100</f>
        <v>-34.623706662088402</v>
      </c>
      <c r="C39" s="83">
        <f t="shared" ref="C39:M39" si="0">(POWER(C15/C6,1/($A15-$A6))-1)*100</f>
        <v>10.785076731275467</v>
      </c>
      <c r="D39" s="83">
        <f t="shared" si="0"/>
        <v>-9.8868462639106642</v>
      </c>
      <c r="E39" s="84">
        <f t="shared" si="0"/>
        <v>-0.24529654754696928</v>
      </c>
      <c r="F39" s="83">
        <f t="shared" si="0"/>
        <v>-6.4555867124480804</v>
      </c>
      <c r="G39" s="83">
        <f t="shared" si="0"/>
        <v>12.713802248833117</v>
      </c>
      <c r="H39" s="83">
        <f t="shared" si="0"/>
        <v>-9.1338110337838234</v>
      </c>
      <c r="I39" s="83">
        <f t="shared" si="0"/>
        <v>-0.94153055978839495</v>
      </c>
      <c r="J39" s="82">
        <f t="shared" si="0"/>
        <v>-0.20773469863707428</v>
      </c>
      <c r="K39" s="83">
        <f t="shared" si="0"/>
        <v>14.537551065200027</v>
      </c>
      <c r="L39" s="83">
        <f t="shared" si="0"/>
        <v>3.2154675845036396</v>
      </c>
      <c r="M39" s="84">
        <f t="shared" si="0"/>
        <v>4.6735350876905501</v>
      </c>
    </row>
    <row r="40" spans="1:13">
      <c r="A40" s="16" t="s">
        <v>71</v>
      </c>
      <c r="B40" s="37">
        <f>(POWER(B$25/B15,1/($A$25-$A$15))-1)*100</f>
        <v>31.020149207693535</v>
      </c>
      <c r="C40" s="34">
        <f t="shared" ref="C40:M40" si="1">(POWER(C$25/C15,1/($A$25-$A$15))-1)*100</f>
        <v>7.9770475470880342</v>
      </c>
      <c r="D40" s="34">
        <f>(POWER(D$25/D15,1/($A$25-$A$15))-1)*100</f>
        <v>-1.9984350455466315</v>
      </c>
      <c r="E40" s="38">
        <f t="shared" si="1"/>
        <v>8.5322867934112487</v>
      </c>
      <c r="F40" s="34">
        <f t="shared" si="1"/>
        <v>5.1036042658570979</v>
      </c>
      <c r="G40" s="34">
        <f t="shared" si="1"/>
        <v>12.373292398594904</v>
      </c>
      <c r="H40" s="34">
        <f t="shared" si="1"/>
        <v>19.855737994763544</v>
      </c>
      <c r="I40" s="34">
        <f t="shared" si="1"/>
        <v>10.016862799113358</v>
      </c>
      <c r="J40" s="37">
        <f t="shared" si="1"/>
        <v>6.3616784621151501</v>
      </c>
      <c r="K40" s="34">
        <f t="shared" si="1"/>
        <v>4.8916231038161229</v>
      </c>
      <c r="L40" s="34">
        <f t="shared" si="1"/>
        <v>2.4726512783101784</v>
      </c>
      <c r="M40" s="38">
        <f t="shared" si="1"/>
        <v>4.5777990569474181</v>
      </c>
    </row>
    <row r="41" spans="1:13">
      <c r="A41" s="16" t="s">
        <v>69</v>
      </c>
      <c r="B41" s="37">
        <f t="shared" ref="B41:M41" si="2">(POWER(B$35/B25,1/($A$35-$A$25))-1)*100</f>
        <v>17.739674353690592</v>
      </c>
      <c r="C41" s="34">
        <f t="shared" si="2"/>
        <v>-0.55306555926305512</v>
      </c>
      <c r="D41" s="34">
        <f t="shared" si="2"/>
        <v>27.678638898607044</v>
      </c>
      <c r="E41" s="38">
        <f t="shared" si="2"/>
        <v>3.4444051855636815</v>
      </c>
      <c r="F41" s="34">
        <f t="shared" si="2"/>
        <v>-9.4251665504168969</v>
      </c>
      <c r="G41" s="34">
        <f t="shared" si="2"/>
        <v>0.80105725105799053</v>
      </c>
      <c r="H41" s="34">
        <f t="shared" si="2"/>
        <v>-12.157306299296577</v>
      </c>
      <c r="I41" s="34">
        <f t="shared" si="2"/>
        <v>-2.0803320933536873</v>
      </c>
      <c r="J41" s="37">
        <f t="shared" si="2"/>
        <v>-1.8675650423919055</v>
      </c>
      <c r="K41" s="34">
        <f t="shared" si="2"/>
        <v>1.71220339218634</v>
      </c>
      <c r="L41" s="34">
        <f t="shared" si="2"/>
        <v>-4.6551756211927415</v>
      </c>
      <c r="M41" s="38">
        <f t="shared" si="2"/>
        <v>-1.0182856006522245</v>
      </c>
    </row>
    <row r="42" spans="1:13">
      <c r="A42" s="17" t="s">
        <v>70</v>
      </c>
      <c r="B42" s="39">
        <f t="shared" ref="B42:M42" si="3">(POWER(B35/B6,1/($A$35-$A$6))-1)*100</f>
        <v>1.7733807790699219</v>
      </c>
      <c r="C42" s="40">
        <f t="shared" si="3"/>
        <v>5.7955939238231391</v>
      </c>
      <c r="D42" s="40">
        <f t="shared" si="3"/>
        <v>4.6015564256538966</v>
      </c>
      <c r="E42" s="41">
        <f t="shared" si="3"/>
        <v>3.9925123455352596</v>
      </c>
      <c r="F42" s="40">
        <f t="shared" si="3"/>
        <v>-3.6980891514693859</v>
      </c>
      <c r="G42" s="40">
        <f t="shared" si="3"/>
        <v>8.341718056776859</v>
      </c>
      <c r="H42" s="40">
        <f t="shared" si="3"/>
        <v>-1.1896901325238352</v>
      </c>
      <c r="I42" s="40">
        <f t="shared" si="3"/>
        <v>2.2993747904067163</v>
      </c>
      <c r="J42" s="39">
        <f t="shared" si="3"/>
        <v>1.4221333792318935</v>
      </c>
      <c r="K42" s="40">
        <f t="shared" si="3"/>
        <v>6.6568151281761523</v>
      </c>
      <c r="L42" s="40">
        <f t="shared" si="3"/>
        <v>0.18082904040657155</v>
      </c>
      <c r="M42" s="41">
        <f t="shared" si="3"/>
        <v>2.6423964734268779</v>
      </c>
    </row>
    <row r="43" spans="1:13">
      <c r="A43" s="2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>
      <c r="A44" s="389" t="s">
        <v>77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0"/>
    </row>
    <row r="45" spans="1:13">
      <c r="A45" s="15" t="s">
        <v>53</v>
      </c>
      <c r="B45" s="82">
        <f>B15-B6</f>
        <v>-2.312187744127443</v>
      </c>
      <c r="C45" s="83">
        <f t="shared" ref="C45:M45" si="4">C15-C6</f>
        <v>2.4265428444302883</v>
      </c>
      <c r="D45" s="83">
        <f t="shared" si="4"/>
        <v>-0.20856958319863253</v>
      </c>
      <c r="E45" s="84">
        <f t="shared" si="4"/>
        <v>-9.4214482895786489E-2</v>
      </c>
      <c r="F45" s="82">
        <f t="shared" si="4"/>
        <v>-1.6633117059037041</v>
      </c>
      <c r="G45" s="83">
        <f t="shared" si="4"/>
        <v>1.4824871498379075</v>
      </c>
      <c r="H45" s="83">
        <f t="shared" si="4"/>
        <v>-0.2123149439937618</v>
      </c>
      <c r="I45" s="84">
        <f t="shared" si="4"/>
        <v>-0.39313950005955878</v>
      </c>
      <c r="J45" s="83">
        <f t="shared" si="4"/>
        <v>-6.9874880953374241E-2</v>
      </c>
      <c r="K45" s="83">
        <f t="shared" si="4"/>
        <v>3.2865686821805657</v>
      </c>
      <c r="L45" s="83">
        <f t="shared" si="4"/>
        <v>1.1090846428831407</v>
      </c>
      <c r="M45" s="84">
        <f t="shared" si="4"/>
        <v>4.3257784441103322</v>
      </c>
    </row>
    <row r="46" spans="1:13">
      <c r="A46" s="16" t="s">
        <v>71</v>
      </c>
      <c r="B46" s="85">
        <f>B25-B15</f>
        <v>0.71714797648988471</v>
      </c>
      <c r="C46" s="86">
        <f t="shared" ref="C46:M46" si="5">C25-C15</f>
        <v>4.6514027732876491</v>
      </c>
      <c r="D46" s="86">
        <f t="shared" si="5"/>
        <v>-2.4563230455978691E-2</v>
      </c>
      <c r="E46" s="87">
        <f t="shared" si="5"/>
        <v>5.343987519321554</v>
      </c>
      <c r="F46" s="85">
        <f t="shared" si="5"/>
        <v>1.3032956270051579</v>
      </c>
      <c r="G46" s="86">
        <f t="shared" si="5"/>
        <v>4.9704692484428019</v>
      </c>
      <c r="H46" s="86">
        <f t="shared" si="5"/>
        <v>0.79428032609732535</v>
      </c>
      <c r="I46" s="87">
        <f t="shared" si="5"/>
        <v>7.0680452015452859</v>
      </c>
      <c r="J46" s="86">
        <f t="shared" si="5"/>
        <v>3.1546082997882565</v>
      </c>
      <c r="K46" s="86">
        <f t="shared" si="5"/>
        <v>2.8527957348752881</v>
      </c>
      <c r="L46" s="86">
        <f t="shared" si="5"/>
        <v>1.2379981185897488</v>
      </c>
      <c r="M46" s="87">
        <f t="shared" si="5"/>
        <v>7.2454021532532895</v>
      </c>
    </row>
    <row r="47" spans="1:13">
      <c r="A47" s="16" t="s">
        <v>69</v>
      </c>
      <c r="B47" s="85">
        <f>B35-B25</f>
        <v>3.1667347887096713</v>
      </c>
      <c r="C47" s="86">
        <f t="shared" ref="C47:M47" si="6">C35-C25</f>
        <v>-0.46833569325981372</v>
      </c>
      <c r="D47" s="86">
        <f t="shared" si="6"/>
        <v>1.1544290637602954</v>
      </c>
      <c r="E47" s="87">
        <f t="shared" si="6"/>
        <v>3.852828159210155</v>
      </c>
      <c r="F47" s="85">
        <f t="shared" si="6"/>
        <v>-2.0886691814680316</v>
      </c>
      <c r="G47" s="86">
        <f>G35-G25</f>
        <v>0.59954753820463136</v>
      </c>
      <c r="H47" s="86">
        <f t="shared" si="6"/>
        <v>-0.68974002909381538</v>
      </c>
      <c r="I47" s="87">
        <f t="shared" si="6"/>
        <v>-2.1788616723572165</v>
      </c>
      <c r="J47" s="86">
        <f t="shared" si="6"/>
        <v>-1.1775200979843419</v>
      </c>
      <c r="K47" s="86">
        <f t="shared" si="6"/>
        <v>1.3901586147659462</v>
      </c>
      <c r="L47" s="86">
        <f t="shared" si="6"/>
        <v>-2.1660528329194153</v>
      </c>
      <c r="M47" s="87">
        <f t="shared" si="6"/>
        <v>-1.9534143161378061</v>
      </c>
    </row>
    <row r="48" spans="1:13">
      <c r="A48" s="17" t="s">
        <v>70</v>
      </c>
      <c r="B48" s="88">
        <f>B35-B6</f>
        <v>1.571695021072113</v>
      </c>
      <c r="C48" s="89">
        <f t="shared" ref="C48:M48" si="7">C35-C6</f>
        <v>6.6096099244581232</v>
      </c>
      <c r="D48" s="89">
        <f t="shared" si="7"/>
        <v>0.92129625010568417</v>
      </c>
      <c r="E48" s="90">
        <f t="shared" si="7"/>
        <v>9.1026011956359234</v>
      </c>
      <c r="F48" s="88">
        <f t="shared" si="7"/>
        <v>-2.4486852603665779</v>
      </c>
      <c r="G48" s="89">
        <f t="shared" si="7"/>
        <v>7.0525039364853415</v>
      </c>
      <c r="H48" s="89">
        <f t="shared" si="7"/>
        <v>-0.10777464699025185</v>
      </c>
      <c r="I48" s="90">
        <f t="shared" si="7"/>
        <v>4.4960440291285106</v>
      </c>
      <c r="J48" s="89">
        <f t="shared" si="7"/>
        <v>1.9072133208505404</v>
      </c>
      <c r="K48" s="89">
        <f t="shared" si="7"/>
        <v>7.5295230318217996</v>
      </c>
      <c r="L48" s="89">
        <f t="shared" si="7"/>
        <v>0.18102992855347422</v>
      </c>
      <c r="M48" s="90">
        <f t="shared" si="7"/>
        <v>9.6177662812258156</v>
      </c>
    </row>
    <row r="50" spans="1:1">
      <c r="A50" s="1" t="s">
        <v>61</v>
      </c>
    </row>
    <row r="52" spans="1:1">
      <c r="A52" s="1" t="s">
        <v>98</v>
      </c>
    </row>
  </sheetData>
  <mergeCells count="5">
    <mergeCell ref="B4:E4"/>
    <mergeCell ref="F4:I4"/>
    <mergeCell ref="J4:M4"/>
    <mergeCell ref="A38:M38"/>
    <mergeCell ref="A44:M44"/>
  </mergeCells>
  <pageMargins left="0.7" right="0.7" top="0.75" bottom="0.75" header="0.3" footer="0.3"/>
  <pageSetup scale="64"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9"/>
  <dimension ref="A1:M43"/>
  <sheetViews>
    <sheetView zoomScaleNormal="100" workbookViewId="0">
      <selection sqref="A1:G2"/>
    </sheetView>
  </sheetViews>
  <sheetFormatPr defaultRowHeight="15"/>
  <cols>
    <col min="1" max="1" width="10" customWidth="1"/>
    <col min="2" max="2" width="14.140625" customWidth="1"/>
    <col min="3" max="3" width="14.7109375" customWidth="1"/>
    <col min="4" max="4" width="17" customWidth="1"/>
    <col min="6" max="6" width="10.85546875" customWidth="1"/>
    <col min="8" max="8" width="18.140625" customWidth="1"/>
    <col min="10" max="10" width="12.140625" customWidth="1"/>
    <col min="12" max="12" width="18" customWidth="1"/>
  </cols>
  <sheetData>
    <row r="1" spans="1:13">
      <c r="A1" s="387" t="s">
        <v>167</v>
      </c>
      <c r="B1" s="387"/>
      <c r="C1" s="387"/>
      <c r="D1" s="387"/>
      <c r="E1" s="387"/>
      <c r="F1" s="387"/>
      <c r="G1" s="387"/>
    </row>
    <row r="2" spans="1:13">
      <c r="A2" s="387"/>
      <c r="B2" s="387"/>
      <c r="C2" s="387"/>
      <c r="D2" s="387"/>
      <c r="E2" s="387"/>
      <c r="F2" s="387"/>
      <c r="G2" s="387"/>
    </row>
    <row r="4" spans="1:13" s="238" customFormat="1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s="238" customFormat="1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 s="238" customFormat="1">
      <c r="A6" s="184">
        <v>1981</v>
      </c>
      <c r="B6" s="190" t="str">
        <f>IFERROR('5a'!B6/'5h'!$B5*1000, "na")</f>
        <v>na</v>
      </c>
      <c r="C6" s="191" t="str">
        <f>IFERROR('5a'!C6/'5h'!$B5*1000, "na")</f>
        <v>na</v>
      </c>
      <c r="D6" s="191" t="str">
        <f>IFERROR('5a'!D6/'5h'!$B5*1000, "na")</f>
        <v>na</v>
      </c>
      <c r="E6" s="153" t="str">
        <f>IFERROR('5a'!E6/'5h'!$B5*1000, "na")</f>
        <v>na</v>
      </c>
      <c r="F6" s="190">
        <f>IFERROR('5a'!F6/'5h'!$C5*1000, "na")</f>
        <v>49.792531120331944</v>
      </c>
      <c r="G6" s="191">
        <f>IFERROR('5a'!G6/'5h'!$C5*1000, "na")</f>
        <v>8.2987551867219924</v>
      </c>
      <c r="H6" s="191">
        <f>IFERROR('5a'!H6/'5h'!$C5*1000, "na")</f>
        <v>543.56846473029043</v>
      </c>
      <c r="I6" s="153">
        <f>IFERROR('5a'!I6/'5h'!$C5*1000, "na")</f>
        <v>601.65975103734434</v>
      </c>
      <c r="J6" s="190">
        <f>IFERROR('5a'!J6/'5h'!$D5*1000, "na")</f>
        <v>227.6691208776578</v>
      </c>
      <c r="K6" s="191">
        <f>IFERROR('5a'!K6/'5h'!$D5*1000, "na")</f>
        <v>157.10500738926095</v>
      </c>
      <c r="L6" s="191">
        <f>IFERROR('5a'!L6/'5h'!$D5*1000, "na")</f>
        <v>362.14035601592354</v>
      </c>
      <c r="M6" s="153">
        <f>IFERROR('5a'!M6/'5h'!$D5*1000, "na")</f>
        <v>746.9144842828423</v>
      </c>
    </row>
    <row r="7" spans="1:13" s="238" customFormat="1">
      <c r="A7" s="185">
        <v>1982</v>
      </c>
      <c r="B7" s="112" t="str">
        <f>IFERROR('5a'!B7/'5h'!$B6*1000, "na")</f>
        <v>na</v>
      </c>
      <c r="C7" s="113" t="str">
        <f>IFERROR('5a'!C7/'5h'!$B6*1000, "na")</f>
        <v>na</v>
      </c>
      <c r="D7" s="113" t="str">
        <f>IFERROR('5a'!D7/'5h'!$B6*1000, "na")</f>
        <v>na</v>
      </c>
      <c r="E7" s="97" t="str">
        <f>IFERROR('5a'!E7/'5h'!$B6*1000, "na")</f>
        <v>na</v>
      </c>
      <c r="F7" s="112">
        <f>IFERROR('5a'!F7/'5h'!$C6*1000, "na")</f>
        <v>14.347202295552368</v>
      </c>
      <c r="G7" s="113">
        <f>IFERROR('5a'!G7/'5h'!$C6*1000, "na")</f>
        <v>7.1736011477761839</v>
      </c>
      <c r="H7" s="113">
        <f>IFERROR('5a'!H7/'5h'!$C6*1000, "na")</f>
        <v>557.14968914395024</v>
      </c>
      <c r="I7" s="97">
        <f>IFERROR('5a'!I7/'5h'!$C6*1000, "na")</f>
        <v>578.67049258727889</v>
      </c>
      <c r="J7" s="112">
        <f>IFERROR('5a'!J7/'5h'!$D6*1000, "na")</f>
        <v>256.46244657032361</v>
      </c>
      <c r="K7" s="113">
        <f>IFERROR('5a'!K7/'5h'!$D6*1000, "na")</f>
        <v>189.97218264468418</v>
      </c>
      <c r="L7" s="113">
        <f>IFERROR('5a'!L7/'5h'!$D6*1000, "na")</f>
        <v>392.15686274509801</v>
      </c>
      <c r="M7" s="97">
        <f>IFERROR('5a'!M7/'5h'!$D6*1000, "na")</f>
        <v>838.59149196010583</v>
      </c>
    </row>
    <row r="8" spans="1:13" s="238" customFormat="1">
      <c r="A8" s="185">
        <v>1983</v>
      </c>
      <c r="B8" s="112" t="str">
        <f>IFERROR('5a'!B8/'5h'!$B7*1000, "na")</f>
        <v>na</v>
      </c>
      <c r="C8" s="113" t="str">
        <f>IFERROR('5a'!C8/'5h'!$B7*1000, "na")</f>
        <v>na</v>
      </c>
      <c r="D8" s="113" t="str">
        <f>IFERROR('5a'!D8/'5h'!$B7*1000, "na")</f>
        <v>na</v>
      </c>
      <c r="E8" s="97" t="str">
        <f>IFERROR('5a'!E8/'5h'!$B7*1000, "na")</f>
        <v>na</v>
      </c>
      <c r="F8" s="112">
        <f>IFERROR('5a'!F8/'5h'!$C7*1000, "na")</f>
        <v>10.925976509150505</v>
      </c>
      <c r="G8" s="113">
        <f>IFERROR('5a'!G8/'5h'!$C7*1000, "na")</f>
        <v>2.7314941272876263</v>
      </c>
      <c r="H8" s="113">
        <f>IFERROR('5a'!H8/'5h'!$C7*1000, "na")</f>
        <v>543.56733133023761</v>
      </c>
      <c r="I8" s="97">
        <f>IFERROR('5a'!I8/'5h'!$C7*1000, "na")</f>
        <v>557.22480196667584</v>
      </c>
      <c r="J8" s="112">
        <f>IFERROR('5a'!J8/'5h'!$D7*1000, "na")</f>
        <v>321.8031749451319</v>
      </c>
      <c r="K8" s="113">
        <f>IFERROR('5a'!K8/'5h'!$D7*1000, "na")</f>
        <v>220.81891502511135</v>
      </c>
      <c r="L8" s="113">
        <f>IFERROR('5a'!L8/'5h'!$D7*1000, "na")</f>
        <v>397.20475568541383</v>
      </c>
      <c r="M8" s="97">
        <f>IFERROR('5a'!M8/'5h'!$D7*1000, "na")</f>
        <v>939.82684565565705</v>
      </c>
    </row>
    <row r="9" spans="1:13" s="238" customFormat="1">
      <c r="A9" s="185">
        <v>1984</v>
      </c>
      <c r="B9" s="112" t="str">
        <f>IFERROR('5a'!B9/'5h'!$B8*1000, "na")</f>
        <v>na</v>
      </c>
      <c r="C9" s="113" t="str">
        <f>IFERROR('5a'!C9/'5h'!$B8*1000, "na")</f>
        <v>na</v>
      </c>
      <c r="D9" s="113" t="str">
        <f>IFERROR('5a'!D9/'5h'!$B8*1000, "na")</f>
        <v>na</v>
      </c>
      <c r="E9" s="97" t="str">
        <f>IFERROR('5a'!E9/'5h'!$B8*1000, "na")</f>
        <v>na</v>
      </c>
      <c r="F9" s="112">
        <f>IFERROR('5a'!F9/'5h'!$C8*1000, "na")</f>
        <v>10.931948619841487</v>
      </c>
      <c r="G9" s="113">
        <f>IFERROR('5a'!G9/'5h'!$C8*1000, "na")</f>
        <v>2.7329871549603717</v>
      </c>
      <c r="H9" s="113">
        <f>IFERROR('5a'!H9/'5h'!$C8*1000, "na")</f>
        <v>863.62394096747755</v>
      </c>
      <c r="I9" s="97">
        <f>IFERROR('5a'!I9/'5h'!$C8*1000, "na")</f>
        <v>877.2888767422794</v>
      </c>
      <c r="J9" s="112">
        <f>IFERROR('5a'!J9/'5h'!$D8*1000, "na")</f>
        <v>403.21037118321829</v>
      </c>
      <c r="K9" s="113">
        <f>IFERROR('5a'!K9/'5h'!$D8*1000, "na")</f>
        <v>260.30036620688776</v>
      </c>
      <c r="L9" s="113">
        <f>IFERROR('5a'!L9/'5h'!$D8*1000, "na")</f>
        <v>433.83394367814628</v>
      </c>
      <c r="M9" s="97">
        <f>IFERROR('5a'!M9/'5h'!$D8*1000, "na")</f>
        <v>1097.3446810682524</v>
      </c>
    </row>
    <row r="10" spans="1:13" s="238" customFormat="1">
      <c r="A10" s="185">
        <v>1985</v>
      </c>
      <c r="B10" s="112" t="str">
        <f>IFERROR('5a'!B10/'5h'!$B9*1000, "na")</f>
        <v>na</v>
      </c>
      <c r="C10" s="113" t="str">
        <f>IFERROR('5a'!C10/'5h'!$B9*1000, "na")</f>
        <v>na</v>
      </c>
      <c r="D10" s="113" t="str">
        <f>IFERROR('5a'!D10/'5h'!$B9*1000, "na")</f>
        <v>na</v>
      </c>
      <c r="E10" s="97" t="str">
        <f>IFERROR('5a'!E10/'5h'!$B9*1000, "na")</f>
        <v>na</v>
      </c>
      <c r="F10" s="112">
        <f>IFERROR('5a'!F10/'5h'!$C9*1000, "na")</f>
        <v>17.162471395881006</v>
      </c>
      <c r="G10" s="113">
        <f>IFERROR('5a'!G10/'5h'!$C9*1000, "na")</f>
        <v>5.7208237986270021</v>
      </c>
      <c r="H10" s="113">
        <f>IFERROR('5a'!H10/'5h'!$C9*1000, "na")</f>
        <v>941.07551487414173</v>
      </c>
      <c r="I10" s="97">
        <f>IFERROR('5a'!I10/'5h'!$C9*1000, "na")</f>
        <v>963.95881006864977</v>
      </c>
      <c r="J10" s="112">
        <f>IFERROR('5a'!J10/'5h'!$D9*1000, "na")</f>
        <v>416.16241448294602</v>
      </c>
      <c r="K10" s="113">
        <f>IFERROR('5a'!K10/'5h'!$D9*1000, "na")</f>
        <v>293.90698708291143</v>
      </c>
      <c r="L10" s="113">
        <f>IFERROR('5a'!L10/'5h'!$D9*1000, "na")</f>
        <v>456.91422361629088</v>
      </c>
      <c r="M10" s="97">
        <f>IFERROR('5a'!M10/'5h'!$D9*1000, "na")</f>
        <v>1166.9836251821482</v>
      </c>
    </row>
    <row r="11" spans="1:13" s="238" customFormat="1">
      <c r="A11" s="185">
        <v>1986</v>
      </c>
      <c r="B11" s="112" t="str">
        <f>IFERROR('5a'!B11/'5h'!$B10*1000, "na")</f>
        <v>na</v>
      </c>
      <c r="C11" s="113" t="str">
        <f>IFERROR('5a'!C11/'5h'!$B10*1000, "na")</f>
        <v>na</v>
      </c>
      <c r="D11" s="113" t="str">
        <f>IFERROR('5a'!D11/'5h'!$B10*1000, "na")</f>
        <v>na</v>
      </c>
      <c r="E11" s="97" t="str">
        <f>IFERROR('5a'!E11/'5h'!$B10*1000, "na")</f>
        <v>na</v>
      </c>
      <c r="F11" s="112">
        <f>IFERROR('5a'!F11/'5h'!$C10*1000, "na")</f>
        <v>15.484670176525242</v>
      </c>
      <c r="G11" s="113">
        <f>IFERROR('5a'!G11/'5h'!$C10*1000, "na")</f>
        <v>6.1938680706100966</v>
      </c>
      <c r="H11" s="113">
        <f>IFERROR('5a'!H11/'5h'!$C10*1000, "na")</f>
        <v>712.29482812016113</v>
      </c>
      <c r="I11" s="97">
        <f>IFERROR('5a'!I11/'5h'!$C10*1000, "na")</f>
        <v>733.97336636729642</v>
      </c>
      <c r="J11" s="112">
        <f>IFERROR('5a'!J11/'5h'!$D10*1000, "na")</f>
        <v>404.18219662132725</v>
      </c>
      <c r="K11" s="113">
        <f>IFERROR('5a'!K11/'5h'!$D10*1000, "na")</f>
        <v>309.79234232053824</v>
      </c>
      <c r="L11" s="113">
        <f>IFERROR('5a'!L11/'5h'!$D10*1000, "na")</f>
        <v>473.15939784113459</v>
      </c>
      <c r="M11" s="97">
        <f>IFERROR('5a'!M11/'5h'!$D10*1000, "na")</f>
        <v>1187.1339367830001</v>
      </c>
    </row>
    <row r="12" spans="1:13" s="238" customFormat="1">
      <c r="A12" s="185">
        <v>1987</v>
      </c>
      <c r="B12" s="112" t="str">
        <f>IFERROR('5a'!B12/'5h'!$B11*1000, "na")</f>
        <v>na</v>
      </c>
      <c r="C12" s="113" t="str">
        <f>IFERROR('5a'!C12/'5h'!$B11*1000, "na")</f>
        <v>na</v>
      </c>
      <c r="D12" s="113" t="str">
        <f>IFERROR('5a'!D12/'5h'!$B11*1000, "na")</f>
        <v>na</v>
      </c>
      <c r="E12" s="97" t="str">
        <f>IFERROR('5a'!E12/'5h'!$B11*1000, "na")</f>
        <v>na</v>
      </c>
      <c r="F12" s="112">
        <f>IFERROR('5a'!F12/'5h'!$C11*1000, "na")</f>
        <v>16.633399866932798</v>
      </c>
      <c r="G12" s="113">
        <f>IFERROR('5a'!G12/'5h'!$C11*1000, "na")</f>
        <v>9.9800399201596814</v>
      </c>
      <c r="H12" s="113">
        <f>IFERROR('5a'!H12/'5h'!$C11*1000, "na")</f>
        <v>675.31603459747168</v>
      </c>
      <c r="I12" s="97">
        <f>IFERROR('5a'!I12/'5h'!$C11*1000, "na")</f>
        <v>701.92947438456406</v>
      </c>
      <c r="J12" s="112">
        <f>IFERROR('5a'!J12/'5h'!$D11*1000, "na")</f>
        <v>421.51368153346209</v>
      </c>
      <c r="K12" s="113">
        <f>IFERROR('5a'!K12/'5h'!$D11*1000, "na")</f>
        <v>341.44963029246929</v>
      </c>
      <c r="L12" s="113">
        <f>IFERROR('5a'!L12/'5h'!$D11*1000, "na")</f>
        <v>461.54570715395846</v>
      </c>
      <c r="M12" s="97">
        <f>IFERROR('5a'!M12/'5h'!$D11*1000, "na")</f>
        <v>1224.5090189798898</v>
      </c>
    </row>
    <row r="13" spans="1:13" s="238" customFormat="1">
      <c r="A13" s="185">
        <v>1988</v>
      </c>
      <c r="B13" s="112" t="str">
        <f>IFERROR('5a'!B13/'5h'!$B12*1000, "na")</f>
        <v>na</v>
      </c>
      <c r="C13" s="113" t="str">
        <f>IFERROR('5a'!C13/'5h'!$B12*1000, "na")</f>
        <v>na</v>
      </c>
      <c r="D13" s="113" t="str">
        <f>IFERROR('5a'!D13/'5h'!$B12*1000, "na")</f>
        <v>na</v>
      </c>
      <c r="E13" s="97" t="str">
        <f>IFERROR('5a'!E13/'5h'!$B12*1000, "na")</f>
        <v>na</v>
      </c>
      <c r="F13" s="112">
        <f>IFERROR('5a'!F13/'5h'!$C12*1000, "na")</f>
        <v>62.004822597313122</v>
      </c>
      <c r="G13" s="113">
        <f>IFERROR('5a'!G13/'5h'!$C12*1000, "na")</f>
        <v>31.002411298656561</v>
      </c>
      <c r="H13" s="113">
        <f>IFERROR('5a'!H13/'5h'!$C12*1000, "na")</f>
        <v>1198.7599035480537</v>
      </c>
      <c r="I13" s="97">
        <f>IFERROR('5a'!I13/'5h'!$C12*1000, "na")</f>
        <v>1291.7671374440233</v>
      </c>
      <c r="J13" s="112">
        <f>IFERROR('5a'!J13/'5h'!$D12*1000, "na")</f>
        <v>432.77224791016562</v>
      </c>
      <c r="K13" s="113">
        <f>IFERROR('5a'!K13/'5h'!$D12*1000, "na")</f>
        <v>389.49502311914904</v>
      </c>
      <c r="L13" s="113">
        <f>IFERROR('5a'!L13/'5h'!$D12*1000, "na")</f>
        <v>497.68808509669043</v>
      </c>
      <c r="M13" s="97">
        <f>IFERROR('5a'!M13/'5h'!$D12*1000, "na")</f>
        <v>1319.9553561260052</v>
      </c>
    </row>
    <row r="14" spans="1:13" s="238" customFormat="1">
      <c r="A14" s="185">
        <v>1989</v>
      </c>
      <c r="B14" s="112" t="str">
        <f>IFERROR('5a'!B14/'5h'!$B13*1000, "na")</f>
        <v>na</v>
      </c>
      <c r="C14" s="113" t="str">
        <f>IFERROR('5a'!C14/'5h'!$B13*1000, "na")</f>
        <v>na</v>
      </c>
      <c r="D14" s="113" t="str">
        <f>IFERROR('5a'!D14/'5h'!$B13*1000, "na")</f>
        <v>na</v>
      </c>
      <c r="E14" s="97" t="str">
        <f>IFERROR('5a'!E14/'5h'!$B13*1000, "na")</f>
        <v>na</v>
      </c>
      <c r="F14" s="112">
        <f>IFERROR('5a'!F14/'5h'!$C13*1000, "na")</f>
        <v>129.91573033707866</v>
      </c>
      <c r="G14" s="113">
        <f>IFERROR('5a'!G14/'5h'!$C13*1000, "na")</f>
        <v>101.82584269662921</v>
      </c>
      <c r="H14" s="113">
        <f>IFERROR('5a'!H14/'5h'!$C13*1000, "na")</f>
        <v>1292.1348314606741</v>
      </c>
      <c r="I14" s="97">
        <f>IFERROR('5a'!I14/'5h'!$C13*1000, "na")</f>
        <v>1523.8764044943821</v>
      </c>
      <c r="J14" s="112">
        <f>IFERROR('5a'!J14/'5h'!$D13*1000, "na")</f>
        <v>478.4264100258639</v>
      </c>
      <c r="K14" s="113">
        <f>IFERROR('5a'!K14/'5h'!$D13*1000, "na")</f>
        <v>465.10595313419253</v>
      </c>
      <c r="L14" s="113">
        <f>IFERROR('5a'!L14/'5h'!$D13*1000, "na")</f>
        <v>483.97660039739367</v>
      </c>
      <c r="M14" s="97">
        <f>IFERROR('5a'!M14/'5h'!$D13*1000, "na")</f>
        <v>1427.50896355745</v>
      </c>
    </row>
    <row r="15" spans="1:13" s="238" customFormat="1">
      <c r="A15" s="185">
        <v>1990</v>
      </c>
      <c r="B15" s="112">
        <f>IFERROR('5a'!B15/'5h'!$B14*1000, "na")</f>
        <v>268.32955404383972</v>
      </c>
      <c r="C15" s="113">
        <f>IFERROR('5a'!C15/'5h'!$B14*1000, "na")</f>
        <v>455.40438397581249</v>
      </c>
      <c r="D15" s="113">
        <f>IFERROR('5a'!D15/'5h'!$B14*1000, "na")</f>
        <v>1785.7142857142856</v>
      </c>
      <c r="E15" s="97">
        <f>IFERROR('5a'!E15/'5h'!$B14*1000, "na")</f>
        <v>2509.448223733938</v>
      </c>
      <c r="F15" s="112">
        <f>IFERROR('5a'!F15/'5h'!$C14*1000, "na")</f>
        <v>183.95879323031642</v>
      </c>
      <c r="G15" s="113">
        <f>IFERROR('5a'!G15/'5h'!$C14*1000, "na")</f>
        <v>187.63796909492274</v>
      </c>
      <c r="H15" s="113">
        <f>IFERROR('5a'!H15/'5h'!$C14*1000, "na")</f>
        <v>849.88962472406183</v>
      </c>
      <c r="I15" s="97">
        <f>IFERROR('5a'!I15/'5h'!$C14*1000, "na")</f>
        <v>1221.4863870493009</v>
      </c>
      <c r="J15" s="112">
        <f>IFERROR('5a'!J15/'5h'!$D14*1000, "na")</f>
        <v>423.8404778636683</v>
      </c>
      <c r="K15" s="113">
        <f>IFERROR('5a'!K15/'5h'!$D14*1000, "na")</f>
        <v>522.66338721011948</v>
      </c>
      <c r="L15" s="113">
        <f>IFERROR('5a'!L15/'5h'!$D14*1000, "na")</f>
        <v>496.31061138439912</v>
      </c>
      <c r="M15" s="97">
        <f>IFERROR('5a'!M15/'5h'!$D14*1000, "na")</f>
        <v>1442.8144764581868</v>
      </c>
    </row>
    <row r="16" spans="1:13" s="238" customFormat="1">
      <c r="A16" s="185">
        <v>1991</v>
      </c>
      <c r="B16" s="112">
        <f>IFERROR('5a'!B16/'5h'!$B15*1000, "na")</f>
        <v>266.46364674533692</v>
      </c>
      <c r="C16" s="113">
        <f>IFERROR('5a'!C16/'5h'!$B15*1000, "na")</f>
        <v>569.09021697754088</v>
      </c>
      <c r="D16" s="113">
        <f>IFERROR('5a'!D16/'5h'!$B15*1000, "na")</f>
        <v>1690.1408450704225</v>
      </c>
      <c r="E16" s="97">
        <f>IFERROR('5a'!E16/'5h'!$B15*1000, "na")</f>
        <v>2525.6947087933004</v>
      </c>
      <c r="F16" s="112">
        <f>IFERROR('5a'!F16/'5h'!$C15*1000, "na")</f>
        <v>226.9170579029734</v>
      </c>
      <c r="G16" s="113">
        <f>IFERROR('5a'!G16/'5h'!$C15*1000, "na")</f>
        <v>293.42723004694835</v>
      </c>
      <c r="H16" s="113">
        <f>IFERROR('5a'!H16/'5h'!$C15*1000, "na")</f>
        <v>649.45226917057903</v>
      </c>
      <c r="I16" s="97">
        <f>IFERROR('5a'!I16/'5h'!$C15*1000, "na")</f>
        <v>1169.7965571205009</v>
      </c>
      <c r="J16" s="112">
        <f>IFERROR('5a'!J16/'5h'!$D15*1000, "na")</f>
        <v>419.68629284529499</v>
      </c>
      <c r="K16" s="113">
        <f>IFERROR('5a'!K16/'5h'!$D15*1000, "na")</f>
        <v>597.80249140032731</v>
      </c>
      <c r="L16" s="113">
        <f>IFERROR('5a'!L16/'5h'!$D15*1000, "na")</f>
        <v>486.47986730343206</v>
      </c>
      <c r="M16" s="97">
        <f>IFERROR('5a'!M16/'5h'!$D15*1000, "na")</f>
        <v>1503.9686515490541</v>
      </c>
    </row>
    <row r="17" spans="1:13" s="238" customFormat="1">
      <c r="A17" s="185">
        <v>1992</v>
      </c>
      <c r="B17" s="112">
        <f>IFERROR('5a'!B17/'5h'!$B16*1000, "na")</f>
        <v>336.79753656658966</v>
      </c>
      <c r="C17" s="113">
        <f>IFERROR('5a'!C17/'5h'!$B16*1000, "na")</f>
        <v>656.27405696689755</v>
      </c>
      <c r="D17" s="113">
        <f>IFERROR('5a'!D17/'5h'!$B16*1000, "na")</f>
        <v>4622.7867590454189</v>
      </c>
      <c r="E17" s="97">
        <f>IFERROR('5a'!E17/'5h'!$B16*1000, "na")</f>
        <v>5615.8583525789063</v>
      </c>
      <c r="F17" s="112">
        <f>IFERROR('5a'!F17/'5h'!$C16*1000, "na")</f>
        <v>374.84885126964934</v>
      </c>
      <c r="G17" s="113">
        <f>IFERROR('5a'!G17/'5h'!$C16*1000, "na")</f>
        <v>415.15517936316002</v>
      </c>
      <c r="H17" s="113">
        <f>IFERROR('5a'!H17/'5h'!$C16*1000, "na")</f>
        <v>431.27771060056432</v>
      </c>
      <c r="I17" s="97">
        <f>IFERROR('5a'!I17/'5h'!$C16*1000, "na")</f>
        <v>1221.2817412333736</v>
      </c>
      <c r="J17" s="112">
        <f>IFERROR('5a'!J17/'5h'!$D16*1000, "na")</f>
        <v>484.7676228596842</v>
      </c>
      <c r="K17" s="113">
        <f>IFERROR('5a'!K17/'5h'!$D16*1000, "na")</f>
        <v>643.76250833889264</v>
      </c>
      <c r="L17" s="113">
        <f>IFERROR('5a'!L17/'5h'!$D16*1000, "na")</f>
        <v>513.675783855904</v>
      </c>
      <c r="M17" s="97">
        <f>IFERROR('5a'!M17/'5h'!$D16*1000, "na")</f>
        <v>1642.2059150544808</v>
      </c>
    </row>
    <row r="18" spans="1:13" s="238" customFormat="1">
      <c r="A18" s="185">
        <v>1993</v>
      </c>
      <c r="B18" s="112">
        <f>IFERROR('5a'!B18/'5h'!$B17*1000, "na")</f>
        <v>423.92566782810684</v>
      </c>
      <c r="C18" s="113">
        <f>IFERROR('5a'!C18/'5h'!$B17*1000, "na")</f>
        <v>871.08013937282226</v>
      </c>
      <c r="D18" s="113">
        <f>IFERROR('5a'!D18/'5h'!$B17*1000, "na")</f>
        <v>4274.0998838559808</v>
      </c>
      <c r="E18" s="97">
        <f>IFERROR('5a'!E18/'5h'!$B17*1000, "na")</f>
        <v>5569.1056910569096</v>
      </c>
      <c r="F18" s="112">
        <f>IFERROR('5a'!F18/'5h'!$C17*1000, "na")</f>
        <v>912.4690338563172</v>
      </c>
      <c r="G18" s="113">
        <f>IFERROR('5a'!G18/'5h'!$C17*1000, "na")</f>
        <v>1358.3815028901736</v>
      </c>
      <c r="H18" s="113">
        <f>IFERROR('5a'!H18/'5h'!$C17*1000, "na")</f>
        <v>912.4690338563172</v>
      </c>
      <c r="I18" s="97">
        <f>IFERROR('5a'!I18/'5h'!$C17*1000, "na")</f>
        <v>3183.3195706028077</v>
      </c>
      <c r="J18" s="112">
        <f>IFERROR('5a'!J18/'5h'!$D17*1000, "na")</f>
        <v>517.11937292471828</v>
      </c>
      <c r="K18" s="113">
        <f>IFERROR('5a'!K18/'5h'!$D17*1000, "na")</f>
        <v>700.01633008546082</v>
      </c>
      <c r="L18" s="113">
        <f>IFERROR('5a'!L18/'5h'!$D17*1000, "na")</f>
        <v>530.18344129334275</v>
      </c>
      <c r="M18" s="97">
        <f>IFERROR('5a'!M18/'5h'!$D17*1000, "na")</f>
        <v>1747.3191443035219</v>
      </c>
    </row>
    <row r="19" spans="1:13" s="238" customFormat="1">
      <c r="A19" s="185">
        <v>1994</v>
      </c>
      <c r="B19" s="112">
        <f>IFERROR('5a'!B19/'5h'!$B18*1000, "na")</f>
        <v>557.51173708920192</v>
      </c>
      <c r="C19" s="113">
        <f>IFERROR('5a'!C19/'5h'!$B18*1000, "na")</f>
        <v>1238.262910798122</v>
      </c>
      <c r="D19" s="113">
        <f>IFERROR('5a'!D19/'5h'!$B18*1000, "na")</f>
        <v>6021.1267605633802</v>
      </c>
      <c r="E19" s="97">
        <f>IFERROR('5a'!E19/'5h'!$B18*1000, "na")</f>
        <v>7816.9014084507044</v>
      </c>
      <c r="F19" s="112">
        <f>IFERROR('5a'!F19/'5h'!$C18*1000, "na")</f>
        <v>1180.7331628303496</v>
      </c>
      <c r="G19" s="113">
        <f>IFERROR('5a'!G19/'5h'!$C18*1000, "na")</f>
        <v>1734.8678601875533</v>
      </c>
      <c r="H19" s="113">
        <f>IFERROR('5a'!H19/'5h'!$C18*1000, "na")</f>
        <v>1150.8951406649617</v>
      </c>
      <c r="I19" s="97">
        <f>IFERROR('5a'!I19/'5h'!$C18*1000, "na")</f>
        <v>4066.4961636828643</v>
      </c>
      <c r="J19" s="112">
        <f>IFERROR('5a'!J19/'5h'!$D18*1000, "na")</f>
        <v>546.22379388734532</v>
      </c>
      <c r="K19" s="113">
        <f>IFERROR('5a'!K19/'5h'!$D18*1000, "na")</f>
        <v>718.8263029384525</v>
      </c>
      <c r="L19" s="113">
        <f>IFERROR('5a'!L19/'5h'!$D18*1000, "na")</f>
        <v>597.7940557379809</v>
      </c>
      <c r="M19" s="97">
        <f>IFERROR('5a'!M19/'5h'!$D18*1000, "na")</f>
        <v>1862.8441525637786</v>
      </c>
    </row>
    <row r="20" spans="1:13" s="238" customFormat="1">
      <c r="A20" s="185">
        <v>1995</v>
      </c>
      <c r="B20" s="112">
        <f>IFERROR('5a'!B20/'5h'!$B19*1000, "na")</f>
        <v>1127.4221961244864</v>
      </c>
      <c r="C20" s="113">
        <f>IFERROR('5a'!C20/'5h'!$B19*1000, "na")</f>
        <v>2117.8312781366217</v>
      </c>
      <c r="D20" s="113">
        <f>IFERROR('5a'!D20/'5h'!$B19*1000, "na")</f>
        <v>11906.439616363281</v>
      </c>
      <c r="E20" s="97">
        <f>IFERROR('5a'!E20/'5h'!$B19*1000, "na")</f>
        <v>15151.693090624389</v>
      </c>
      <c r="F20" s="112">
        <f>IFERROR('5a'!F20/'5h'!$C19*1000, "na")</f>
        <v>1363.4408602150538</v>
      </c>
      <c r="G20" s="113">
        <f>IFERROR('5a'!G20/'5h'!$C19*1000, "na")</f>
        <v>1535.483870967742</v>
      </c>
      <c r="H20" s="113">
        <f>IFERROR('5a'!H20/'5h'!$C19*1000, "na")</f>
        <v>1079.5698924731182</v>
      </c>
      <c r="I20" s="97">
        <f>IFERROR('5a'!I20/'5h'!$C19*1000, "na")</f>
        <v>3978.494623655914</v>
      </c>
      <c r="J20" s="112">
        <f>IFERROR('5a'!J20/'5h'!$D19*1000, "na")</f>
        <v>669.28932713431766</v>
      </c>
      <c r="K20" s="113">
        <f>IFERROR('5a'!K20/'5h'!$D19*1000, "na")</f>
        <v>762.27456189649001</v>
      </c>
      <c r="L20" s="113">
        <f>IFERROR('5a'!L20/'5h'!$D19*1000, "na")</f>
        <v>648.85301180197212</v>
      </c>
      <c r="M20" s="97">
        <f>IFERROR('5a'!M20/'5h'!$D19*1000, "na")</f>
        <v>2080.4169008327799</v>
      </c>
    </row>
    <row r="21" spans="1:13" s="238" customFormat="1">
      <c r="A21" s="185">
        <v>1996</v>
      </c>
      <c r="B21" s="112">
        <f>IFERROR('5a'!B21/'5h'!$B20*1000, "na")</f>
        <v>1419.0603005516452</v>
      </c>
      <c r="C21" s="113">
        <f>IFERROR('5a'!C21/'5h'!$B20*1000, "na")</f>
        <v>2748.7159977173292</v>
      </c>
      <c r="D21" s="113">
        <f>IFERROR('5a'!D21/'5h'!$B20*1000, "na")</f>
        <v>14649.039376070001</v>
      </c>
      <c r="E21" s="97">
        <f>IFERROR('5a'!E21/'5h'!$B20*1000, "na")</f>
        <v>18816.815674338977</v>
      </c>
      <c r="F21" s="112">
        <f>IFERROR('5a'!F21/'5h'!$C20*1000, "na")</f>
        <v>1332.1492007104796</v>
      </c>
      <c r="G21" s="113">
        <f>IFERROR('5a'!G21/'5h'!$C20*1000, "na")</f>
        <v>1576.3765541740675</v>
      </c>
      <c r="H21" s="113">
        <f>IFERROR('5a'!H21/'5h'!$C20*1000, "na")</f>
        <v>1105.6838365896981</v>
      </c>
      <c r="I21" s="97">
        <f>IFERROR('5a'!I21/'5h'!$C20*1000, "na")</f>
        <v>4014.2095914742458</v>
      </c>
      <c r="J21" s="112">
        <f>IFERROR('5a'!J21/'5h'!$D20*1000, "na")</f>
        <v>719.78356577384216</v>
      </c>
      <c r="K21" s="113">
        <f>IFERROR('5a'!K21/'5h'!$D20*1000, "na")</f>
        <v>853.55748784554112</v>
      </c>
      <c r="L21" s="113">
        <f>IFERROR('5a'!L21/'5h'!$D20*1000, "na")</f>
        <v>706.80549870718494</v>
      </c>
      <c r="M21" s="97">
        <f>IFERROR('5a'!M21/'5h'!$D20*1000, "na")</f>
        <v>2280.1465523265683</v>
      </c>
    </row>
    <row r="22" spans="1:13" s="238" customFormat="1">
      <c r="A22" s="185">
        <v>1997</v>
      </c>
      <c r="B22" s="112">
        <f>IFERROR('5a'!B22/'5h'!$B21*1000, "na")</f>
        <v>2077.4907749077493</v>
      </c>
      <c r="C22" s="113">
        <f>IFERROR('5a'!C22/'5h'!$B21*1000, "na")</f>
        <v>4047.9704797047971</v>
      </c>
      <c r="D22" s="113">
        <f>IFERROR('5a'!D22/'5h'!$B21*1000, "na")</f>
        <v>18723.247232472324</v>
      </c>
      <c r="E22" s="97">
        <f>IFERROR('5a'!E22/'5h'!$B21*1000, "na")</f>
        <v>24848.70848708487</v>
      </c>
      <c r="F22" s="112">
        <f>IFERROR('5a'!F22/'5h'!$C21*1000, "na")</f>
        <v>1199.0950226244343</v>
      </c>
      <c r="G22" s="113">
        <f>IFERROR('5a'!G22/'5h'!$C21*1000, "na")</f>
        <v>1565.6108597285067</v>
      </c>
      <c r="H22" s="113">
        <f>IFERROR('5a'!H22/'5h'!$C21*1000, "na")</f>
        <v>932.12669683257923</v>
      </c>
      <c r="I22" s="97">
        <f>IFERROR('5a'!I22/'5h'!$C21*1000, "na")</f>
        <v>3696.8325791855204</v>
      </c>
      <c r="J22" s="112">
        <f>IFERROR('5a'!J22/'5h'!$D21*1000, "na")</f>
        <v>785.54595443833466</v>
      </c>
      <c r="K22" s="113">
        <f>IFERROR('5a'!K22/'5h'!$D21*1000, "na")</f>
        <v>1042.5455568163081</v>
      </c>
      <c r="L22" s="113">
        <f>IFERROR('5a'!L22/'5h'!$D21*1000, "na")</f>
        <v>775.84785623539221</v>
      </c>
      <c r="M22" s="97">
        <f>IFERROR('5a'!M22/'5h'!$D21*1000, "na")</f>
        <v>2603.9393674900352</v>
      </c>
    </row>
    <row r="23" spans="1:13" s="238" customFormat="1">
      <c r="A23" s="185">
        <v>1998</v>
      </c>
      <c r="B23" s="112">
        <f>IFERROR('5a'!B23/'5h'!$B22*1000, "na")</f>
        <v>1981.5176826017416</v>
      </c>
      <c r="C23" s="113">
        <f>IFERROR('5a'!C23/'5h'!$B22*1000, "na")</f>
        <v>3671.5834370001776</v>
      </c>
      <c r="D23" s="113">
        <f>IFERROR('5a'!D23/'5h'!$B22*1000, "na")</f>
        <v>16280.433623600498</v>
      </c>
      <c r="E23" s="97">
        <f>IFERROR('5a'!E23/'5h'!$B22*1000, "na")</f>
        <v>21933.534743202414</v>
      </c>
      <c r="F23" s="112">
        <f>IFERROR('5a'!F23/'5h'!$C22*1000, "na")</f>
        <v>1426.6666666666667</v>
      </c>
      <c r="G23" s="113">
        <f>IFERROR('5a'!G23/'5h'!$C22*1000, "na")</f>
        <v>1928.8888888888889</v>
      </c>
      <c r="H23" s="113">
        <f>IFERROR('5a'!H23/'5h'!$C22*1000, "na")</f>
        <v>1124.4444444444443</v>
      </c>
      <c r="I23" s="97">
        <f>IFERROR('5a'!I23/'5h'!$C22*1000, "na")</f>
        <v>4480</v>
      </c>
      <c r="J23" s="112">
        <f>IFERROR('5a'!J23/'5h'!$D22*1000, "na")</f>
        <v>821.53535620301648</v>
      </c>
      <c r="K23" s="113">
        <f>IFERROR('5a'!K23/'5h'!$D22*1000, "na")</f>
        <v>1188.4437988700352</v>
      </c>
      <c r="L23" s="113">
        <f>IFERROR('5a'!L23/'5h'!$D22*1000, "na")</f>
        <v>821.53535620301648</v>
      </c>
      <c r="M23" s="97">
        <f>IFERROR('5a'!M23/'5h'!$D22*1000, "na")</f>
        <v>2831.5145112760679</v>
      </c>
    </row>
    <row r="24" spans="1:13" s="238" customFormat="1">
      <c r="A24" s="185">
        <v>1999</v>
      </c>
      <c r="B24" s="112">
        <f>IFERROR('5a'!B24/'5h'!$B23*1000, "na")</f>
        <v>1257.0356472795499</v>
      </c>
      <c r="C24" s="113">
        <f>IFERROR('5a'!C24/'5h'!$B23*1000, "na")</f>
        <v>2670.9875490363297</v>
      </c>
      <c r="D24" s="113">
        <f>IFERROR('5a'!D24/'5h'!$B23*1000, "na")</f>
        <v>10458.809483199728</v>
      </c>
      <c r="E24" s="97">
        <f>IFERROR('5a'!E24/'5h'!$B23*1000, "na")</f>
        <v>14386.832679515608</v>
      </c>
      <c r="F24" s="112">
        <f>IFERROR('5a'!F24/'5h'!$C23*1000, "na")</f>
        <v>1219.4055944055945</v>
      </c>
      <c r="G24" s="113">
        <f>IFERROR('5a'!G24/'5h'!$C23*1000, "na")</f>
        <v>2089.1608391608393</v>
      </c>
      <c r="H24" s="113">
        <f>IFERROR('5a'!H24/'5h'!$C23*1000, "na")</f>
        <v>1188.8111888111887</v>
      </c>
      <c r="I24" s="97">
        <f>IFERROR('5a'!I24/'5h'!$C23*1000, "na")</f>
        <v>4497.3776223776222</v>
      </c>
      <c r="J24" s="112">
        <f>IFERROR('5a'!J24/'5h'!$D23*1000, "na")</f>
        <v>884.19851682829426</v>
      </c>
      <c r="K24" s="113">
        <f>IFERROR('5a'!K24/'5h'!$D23*1000, "na")</f>
        <v>1447.2885192205067</v>
      </c>
      <c r="L24" s="113">
        <f>IFERROR('5a'!L24/'5h'!$D23*1000, "na")</f>
        <v>908.1206411129308</v>
      </c>
      <c r="M24" s="97">
        <f>IFERROR('5a'!M24/'5h'!$D23*1000, "na")</f>
        <v>3239.6076771617318</v>
      </c>
    </row>
    <row r="25" spans="1:13" s="238" customFormat="1">
      <c r="A25" s="185">
        <v>2000</v>
      </c>
      <c r="B25" s="112">
        <f>IFERROR('5a'!B25/'5h'!$B24*1000, "na")</f>
        <v>1533.203125</v>
      </c>
      <c r="C25" s="113">
        <f>IFERROR('5a'!C25/'5h'!$B24*1000, "na")</f>
        <v>3666.9921875</v>
      </c>
      <c r="D25" s="113">
        <f>IFERROR('5a'!D25/'5h'!$B24*1000, "na")</f>
        <v>13976.236979166668</v>
      </c>
      <c r="E25" s="97">
        <f>IFERROR('5a'!E25/'5h'!$B24*1000, "na")</f>
        <v>19176.432291666668</v>
      </c>
      <c r="F25" s="112">
        <f>IFERROR('5a'!F25/'5h'!$C24*1000, "na")</f>
        <v>595.59775571860166</v>
      </c>
      <c r="G25" s="113">
        <f>IFERROR('5a'!G25/'5h'!$C24*1000, "na")</f>
        <v>1018.5584807941303</v>
      </c>
      <c r="H25" s="113">
        <f>IFERROR('5a'!H25/'5h'!$C24*1000, "na")</f>
        <v>686.23219680621492</v>
      </c>
      <c r="I25" s="97">
        <f>IFERROR('5a'!I25/'5h'!$C24*1000, "na")</f>
        <v>2300.3884333189467</v>
      </c>
      <c r="J25" s="112">
        <f>IFERROR('5a'!J25/'5h'!$D24*1000, "na")</f>
        <v>916.25748907608454</v>
      </c>
      <c r="K25" s="113">
        <f>IFERROR('5a'!K25/'5h'!$D24*1000, "na")</f>
        <v>1662.237037704401</v>
      </c>
      <c r="L25" s="113">
        <f>IFERROR('5a'!L25/'5h'!$D24*1000, "na")</f>
        <v>1110.8608495878191</v>
      </c>
      <c r="M25" s="97">
        <f>IFERROR('5a'!M25/'5h'!$D24*1000, "na")</f>
        <v>3689.3553763683049</v>
      </c>
    </row>
    <row r="26" spans="1:13" s="238" customFormat="1">
      <c r="A26" s="185">
        <v>2001</v>
      </c>
      <c r="B26" s="112">
        <f>IFERROR('5a'!B26/'5h'!$B25*1000, "na")</f>
        <v>1139.2816512270438</v>
      </c>
      <c r="C26" s="113">
        <f>IFERROR('5a'!C26/'5h'!$B25*1000, "na")</f>
        <v>3214.6920201527714</v>
      </c>
      <c r="D26" s="113">
        <f>IFERROR('5a'!D26/'5h'!$B25*1000, "na")</f>
        <v>11925.889809848853</v>
      </c>
      <c r="E26" s="97">
        <f>IFERROR('5a'!E26/'5h'!$B25*1000, "na")</f>
        <v>16279.863481228669</v>
      </c>
      <c r="F26" s="112">
        <f>IFERROR('5a'!F26/'5h'!$C25*1000, "na")</f>
        <v>322.0114689016321</v>
      </c>
      <c r="G26" s="113">
        <f>IFERROR('5a'!G26/'5h'!$C25*1000, "na")</f>
        <v>586.67842964269971</v>
      </c>
      <c r="H26" s="113">
        <f>IFERROR('5a'!H26/'5h'!$C25*1000, "na")</f>
        <v>516.10057344508164</v>
      </c>
      <c r="I26" s="97">
        <f>IFERROR('5a'!I26/'5h'!$C25*1000, "na")</f>
        <v>1424.7904719894134</v>
      </c>
      <c r="J26" s="112">
        <f>IFERROR('5a'!J26/'5h'!$D25*1000, "na")</f>
        <v>774.10846551288068</v>
      </c>
      <c r="K26" s="113">
        <f>IFERROR('5a'!K26/'5h'!$D25*1000, "na")</f>
        <v>1685.5150485963072</v>
      </c>
      <c r="L26" s="113">
        <f>IFERROR('5a'!L26/'5h'!$D25*1000, "na")</f>
        <v>985.47530440437913</v>
      </c>
      <c r="M26" s="97">
        <f>IFERROR('5a'!M26/'5h'!$D25*1000, "na")</f>
        <v>3445.0988185135675</v>
      </c>
    </row>
    <row r="27" spans="1:13" s="238" customFormat="1">
      <c r="A27" s="185">
        <v>2002</v>
      </c>
      <c r="B27" s="112">
        <f>IFERROR('5a'!B27/'5h'!$B26*1000, "na")</f>
        <v>296.36202307009762</v>
      </c>
      <c r="C27" s="113">
        <f>IFERROR('5a'!C27/'5h'!$B26*1000, "na")</f>
        <v>612.24489795918373</v>
      </c>
      <c r="D27" s="113">
        <f>IFERROR('5a'!D27/'5h'!$B26*1000, "na")</f>
        <v>2166.8145519077198</v>
      </c>
      <c r="E27" s="97">
        <f>IFERROR('5a'!E27/'5h'!$B26*1000, "na")</f>
        <v>3075.421472937001</v>
      </c>
      <c r="F27" s="112">
        <f>IFERROR('5a'!F27/'5h'!$C26*1000, "na")</f>
        <v>224.97704315886133</v>
      </c>
      <c r="G27" s="113">
        <f>IFERROR('5a'!G27/'5h'!$C26*1000, "na")</f>
        <v>431.58861340679522</v>
      </c>
      <c r="H27" s="113">
        <f>IFERROR('5a'!H27/'5h'!$C26*1000, "na")</f>
        <v>514.23324150596875</v>
      </c>
      <c r="I27" s="97">
        <f>IFERROR('5a'!I27/'5h'!$C26*1000, "na")</f>
        <v>1170.7988980716252</v>
      </c>
      <c r="J27" s="112">
        <f>IFERROR('5a'!J27/'5h'!$D26*1000, "na")</f>
        <v>712.13290697247032</v>
      </c>
      <c r="K27" s="113">
        <f>IFERROR('5a'!K27/'5h'!$D26*1000, "na")</f>
        <v>1681.552541625317</v>
      </c>
      <c r="L27" s="113">
        <f>IFERROR('5a'!L27/'5h'!$D26*1000, "na")</f>
        <v>769.10353953026799</v>
      </c>
      <c r="M27" s="97">
        <f>IFERROR('5a'!M27/'5h'!$D26*1000, "na")</f>
        <v>3162.7889881280553</v>
      </c>
    </row>
    <row r="28" spans="1:13" s="238" customFormat="1">
      <c r="A28" s="185">
        <v>2003</v>
      </c>
      <c r="B28" s="112">
        <f>IFERROR('5a'!B28/'5h'!$B27*1000, "na")</f>
        <v>263.10808252886619</v>
      </c>
      <c r="C28" s="113">
        <f>IFERROR('5a'!C28/'5h'!$B27*1000, "na")</f>
        <v>577.32349044103739</v>
      </c>
      <c r="D28" s="113">
        <f>IFERROR('5a'!D28/'5h'!$B27*1000, "na")</f>
        <v>2106.7575241340151</v>
      </c>
      <c r="E28" s="97">
        <f>IFERROR('5a'!E28/'5h'!$B27*1000, "na")</f>
        <v>2947.1890971039184</v>
      </c>
      <c r="F28" s="112">
        <f>IFERROR('5a'!F28/'5h'!$C27*1000, "na")</f>
        <v>261.82820395039045</v>
      </c>
      <c r="G28" s="113">
        <f>IFERROR('5a'!G28/'5h'!$C27*1000, "na")</f>
        <v>519.06293063849341</v>
      </c>
      <c r="H28" s="113">
        <f>IFERROR('5a'!H28/'5h'!$C27*1000, "na")</f>
        <v>620.11943040881954</v>
      </c>
      <c r="I28" s="97">
        <f>IFERROR('5a'!I28/'5h'!$C27*1000, "na")</f>
        <v>1401.0105649977033</v>
      </c>
      <c r="J28" s="112">
        <f>IFERROR('5a'!J28/'5h'!$D27*1000, "na")</f>
        <v>695.46930342384883</v>
      </c>
      <c r="K28" s="113">
        <f>IFERROR('5a'!K28/'5h'!$D27*1000, "na")</f>
        <v>1764.499704840614</v>
      </c>
      <c r="L28" s="113">
        <f>IFERROR('5a'!L28/'5h'!$D27*1000, "na")</f>
        <v>750.81168831168827</v>
      </c>
      <c r="M28" s="97">
        <f>IFERROR('5a'!M28/'5h'!$D27*1000, "na")</f>
        <v>3210.7806965761511</v>
      </c>
    </row>
    <row r="29" spans="1:13" s="238" customFormat="1">
      <c r="A29" s="185">
        <v>2004</v>
      </c>
      <c r="B29" s="112">
        <f>IFERROR('5a'!B29/'5h'!$B28*1000, "na")</f>
        <v>241.01068999028183</v>
      </c>
      <c r="C29" s="113">
        <f>IFERROR('5a'!C29/'5h'!$B28*1000, "na")</f>
        <v>573.37220602526725</v>
      </c>
      <c r="D29" s="113">
        <f>IFERROR('5a'!D29/'5h'!$B28*1000, "na")</f>
        <v>1904.7619047619046</v>
      </c>
      <c r="E29" s="97">
        <f>IFERROR('5a'!E29/'5h'!$B28*1000, "na")</f>
        <v>2719.1448007774538</v>
      </c>
      <c r="F29" s="112">
        <f>IFERROR('5a'!F29/'5h'!$C28*1000, "na")</f>
        <v>239.25564909171467</v>
      </c>
      <c r="G29" s="113">
        <f>IFERROR('5a'!G29/'5h'!$C28*1000, "na")</f>
        <v>509.52591936198502</v>
      </c>
      <c r="H29" s="113">
        <f>IFERROR('5a'!H29/'5h'!$C28*1000, "na")</f>
        <v>558.26318121400084</v>
      </c>
      <c r="I29" s="97">
        <f>IFERROR('5a'!I29/'5h'!$C28*1000, "na")</f>
        <v>1307.0447496677004</v>
      </c>
      <c r="J29" s="112">
        <f>IFERROR('5a'!J29/'5h'!$D28*1000, "na")</f>
        <v>709.38131750050081</v>
      </c>
      <c r="K29" s="113">
        <f>IFERROR('5a'!K29/'5h'!$D28*1000, "na")</f>
        <v>1873.1673557105651</v>
      </c>
      <c r="L29" s="113">
        <f>IFERROR('5a'!L29/'5h'!$D28*1000, "na")</f>
        <v>759.46600615586362</v>
      </c>
      <c r="M29" s="97">
        <f>IFERROR('5a'!M29/'5h'!$D28*1000, "na")</f>
        <v>3342.0146793669296</v>
      </c>
    </row>
    <row r="30" spans="1:13" s="238" customFormat="1">
      <c r="A30" s="185">
        <v>2005</v>
      </c>
      <c r="B30" s="112">
        <f>IFERROR('5a'!B30/'5h'!$B29*1000, "na")</f>
        <v>195.68690095846645</v>
      </c>
      <c r="C30" s="113">
        <f>IFERROR('5a'!C30/'5h'!$B29*1000, "na")</f>
        <v>513.17891373801911</v>
      </c>
      <c r="D30" s="113">
        <f>IFERROR('5a'!D30/'5h'!$B29*1000, "na")</f>
        <v>1575.4792332268371</v>
      </c>
      <c r="E30" s="97">
        <f>IFERROR('5a'!E30/'5h'!$B29*1000, "na")</f>
        <v>2284.3450479233229</v>
      </c>
      <c r="F30" s="112">
        <f>IFERROR('5a'!F30/'5h'!$C29*1000, "na")</f>
        <v>232.66022827041263</v>
      </c>
      <c r="G30" s="113">
        <f>IFERROR('5a'!G30/'5h'!$C29*1000, "na")</f>
        <v>526.77787532923617</v>
      </c>
      <c r="H30" s="113">
        <f>IFERROR('5a'!H30/'5h'!$C29*1000, "na")</f>
        <v>535.55750658472346</v>
      </c>
      <c r="I30" s="97">
        <f>IFERROR('5a'!I30/'5h'!$C29*1000, "na")</f>
        <v>1294.9956101843723</v>
      </c>
      <c r="J30" s="112">
        <f>IFERROR('5a'!J30/'5h'!$D29*1000, "na")</f>
        <v>684.54588512855344</v>
      </c>
      <c r="K30" s="113">
        <f>IFERROR('5a'!K30/'5h'!$D29*1000, "na")</f>
        <v>1948.185417206588</v>
      </c>
      <c r="L30" s="113">
        <f>IFERROR('5a'!L30/'5h'!$D29*1000, "na")</f>
        <v>743.52764546600054</v>
      </c>
      <c r="M30" s="97">
        <f>IFERROR('5a'!M30/'5h'!$D29*1000, "na")</f>
        <v>3376.2589478011419</v>
      </c>
    </row>
    <row r="31" spans="1:13" s="238" customFormat="1">
      <c r="A31" s="185">
        <v>2006</v>
      </c>
      <c r="B31" s="112">
        <f>IFERROR('5a'!B31/'5h'!$B30*1000, "na")</f>
        <v>199.17864476386038</v>
      </c>
      <c r="C31" s="113">
        <f>IFERROR('5a'!C31/'5h'!$B30*1000, "na")</f>
        <v>498.97330595482549</v>
      </c>
      <c r="D31" s="113">
        <f>IFERROR('5a'!D31/'5h'!$B30*1000, "na")</f>
        <v>1478.4394250513346</v>
      </c>
      <c r="E31" s="97">
        <f>IFERROR('5a'!E31/'5h'!$B30*1000, "na")</f>
        <v>2176.5913757700205</v>
      </c>
      <c r="F31" s="112">
        <f>IFERROR('5a'!F31/'5h'!$C30*1000, "na")</f>
        <v>294.50549450549454</v>
      </c>
      <c r="G31" s="113">
        <f>IFERROR('5a'!G31/'5h'!$C30*1000, "na")</f>
        <v>597.80219780219784</v>
      </c>
      <c r="H31" s="113">
        <f>IFERROR('5a'!H31/'5h'!$C30*1000, "na")</f>
        <v>602.19780219780216</v>
      </c>
      <c r="I31" s="97">
        <f>IFERROR('5a'!I31/'5h'!$C30*1000, "na")</f>
        <v>1494.5054945054944</v>
      </c>
      <c r="J31" s="112">
        <f>IFERROR('5a'!J31/'5h'!$D30*1000, "na")</f>
        <v>722.09126041730565</v>
      </c>
      <c r="K31" s="113">
        <f>IFERROR('5a'!K31/'5h'!$D30*1000, "na")</f>
        <v>2013.793345192923</v>
      </c>
      <c r="L31" s="113">
        <f>IFERROR('5a'!L31/'5h'!$D30*1000, "na")</f>
        <v>799.20780279196936</v>
      </c>
      <c r="M31" s="97">
        <f>IFERROR('5a'!M31/'5h'!$D30*1000, "na")</f>
        <v>3535.0924084021981</v>
      </c>
    </row>
    <row r="32" spans="1:13" s="238" customFormat="1">
      <c r="A32" s="185">
        <v>2007</v>
      </c>
      <c r="B32" s="112">
        <f>IFERROR('5a'!B32/'5h'!$B31*1000, "na")</f>
        <v>333.46888979259859</v>
      </c>
      <c r="C32" s="113">
        <f>IFERROR('5a'!C32/'5h'!$B31*1000, "na")</f>
        <v>835.7055713704757</v>
      </c>
      <c r="D32" s="113">
        <f>IFERROR('5a'!D32/'5h'!$B31*1000, "na")</f>
        <v>2627.0841805612035</v>
      </c>
      <c r="E32" s="97">
        <f>IFERROR('5a'!E32/'5h'!$B31*1000, "na")</f>
        <v>3796.2586417242783</v>
      </c>
      <c r="F32" s="112">
        <f>IFERROR('5a'!F32/'5h'!$C31*1000, "na")</f>
        <v>389.38810440735989</v>
      </c>
      <c r="G32" s="113">
        <f>IFERROR('5a'!G32/'5h'!$C31*1000, "na")</f>
        <v>800.17115960633294</v>
      </c>
      <c r="H32" s="113">
        <f>IFERROR('5a'!H32/'5h'!$C31*1000, "na")</f>
        <v>855.79803166452712</v>
      </c>
      <c r="I32" s="97">
        <f>IFERROR('5a'!I32/'5h'!$C31*1000, "na")</f>
        <v>2045.3572956782202</v>
      </c>
      <c r="J32" s="112">
        <f>IFERROR('5a'!J32/'5h'!$D31*1000, "na")</f>
        <v>732.36262783844688</v>
      </c>
      <c r="K32" s="113">
        <f>IFERROR('5a'!K32/'5h'!$D31*1000, "na")</f>
        <v>2123.4182700641359</v>
      </c>
      <c r="L32" s="113">
        <f>IFERROR('5a'!L32/'5h'!$D31*1000, "na")</f>
        <v>861.5011267117352</v>
      </c>
      <c r="M32" s="97">
        <f>IFERROR('5a'!M32/'5h'!$D31*1000, "na")</f>
        <v>3717.2820246143183</v>
      </c>
    </row>
    <row r="33" spans="1:13" s="238" customFormat="1">
      <c r="A33" s="185">
        <v>2008</v>
      </c>
      <c r="B33" s="112">
        <f>IFERROR('5a'!B33/'5h'!$B32*1000, "na")</f>
        <v>348.4817607499491</v>
      </c>
      <c r="C33" s="113">
        <f>IFERROR('5a'!C33/'5h'!$B32*1000, "na")</f>
        <v>890.56449969431424</v>
      </c>
      <c r="D33" s="113">
        <f>IFERROR('5a'!D33/'5h'!$B32*1000, "na")</f>
        <v>2431.2207051151418</v>
      </c>
      <c r="E33" s="97">
        <f>IFERROR('5a'!E33/'5h'!$B32*1000, "na")</f>
        <v>3670.266965559405</v>
      </c>
      <c r="F33" s="112">
        <f>IFERROR('5a'!F33/'5h'!$C32*1000, "na")</f>
        <v>467.53246753246754</v>
      </c>
      <c r="G33" s="113">
        <f>IFERROR('5a'!G33/'5h'!$C32*1000, "na")</f>
        <v>948.05194805194799</v>
      </c>
      <c r="H33" s="113">
        <f>IFERROR('5a'!H33/'5h'!$C32*1000, "na")</f>
        <v>887.44588744588748</v>
      </c>
      <c r="I33" s="97">
        <f>IFERROR('5a'!I33/'5h'!$C32*1000, "na")</f>
        <v>2303.030303030303</v>
      </c>
      <c r="J33" s="112">
        <f>IFERROR('5a'!J33/'5h'!$D32*1000, "na")</f>
        <v>721.02974247687712</v>
      </c>
      <c r="K33" s="113">
        <f>IFERROR('5a'!K33/'5h'!$D32*1000, "na")</f>
        <v>2250.5928369545245</v>
      </c>
      <c r="L33" s="113">
        <f>IFERROR('5a'!L33/'5h'!$D32*1000, "na")</f>
        <v>777.0320525721686</v>
      </c>
      <c r="M33" s="97">
        <f>IFERROR('5a'!M33/'5h'!$D32*1000, "na")</f>
        <v>3748.65463200357</v>
      </c>
    </row>
    <row r="34" spans="1:13" s="238" customFormat="1">
      <c r="A34" s="57">
        <f>A33+1</f>
        <v>2009</v>
      </c>
      <c r="B34" s="112">
        <f>IFERROR('5a'!B34/'5h'!$B33*1000, "na")</f>
        <v>289.54191875540192</v>
      </c>
      <c r="C34" s="113">
        <f>IFERROR('5a'!C34/'5h'!$B33*1000, "na")</f>
        <v>782.19533275713047</v>
      </c>
      <c r="D34" s="113">
        <f>IFERROR('5a'!D34/'5h'!$B33*1000, "na")</f>
        <v>1936.0414866032843</v>
      </c>
      <c r="E34" s="97">
        <f>IFERROR('5a'!E34/'5h'!$B33*1000, "na")</f>
        <v>3007.7787381158164</v>
      </c>
      <c r="F34" s="112">
        <f>IFERROR('5a'!F34/'5h'!$C33*1000, "na")</f>
        <v>384.967919340055</v>
      </c>
      <c r="G34" s="113">
        <f>IFERROR('5a'!G34/'5h'!$C33*1000, "na")</f>
        <v>797.43354720439959</v>
      </c>
      <c r="H34" s="113">
        <f>IFERROR('5a'!H34/'5h'!$C33*1000, "na")</f>
        <v>687.44271310724116</v>
      </c>
      <c r="I34" s="97">
        <f>IFERROR('5a'!I34/'5h'!$C33*1000, "na")</f>
        <v>1869.8441796516959</v>
      </c>
      <c r="J34" s="112">
        <f>IFERROR('5a'!J34/'5h'!$D33*1000, "na")</f>
        <v>677.12374829102464</v>
      </c>
      <c r="K34" s="113">
        <f>IFERROR('5a'!K34/'5h'!$D33*1000, "na")</f>
        <v>2338.9868085578096</v>
      </c>
      <c r="L34" s="113">
        <f>IFERROR('5a'!L34/'5h'!$D33*1000, "na")</f>
        <v>714.99833721316929</v>
      </c>
      <c r="M34" s="97">
        <f>IFERROR('5a'!M34/'5h'!$D33*1000, "na")</f>
        <v>3731.1088940620034</v>
      </c>
    </row>
    <row r="35" spans="1:13">
      <c r="A35" s="58">
        <f t="shared" ref="A35" si="0">A34+1</f>
        <v>2010</v>
      </c>
      <c r="B35" s="114">
        <f>IFERROR('5a'!B35/'5h'!$B34*1000, "na")</f>
        <v>355.45023696682466</v>
      </c>
      <c r="C35" s="115">
        <f>IFERROR('5a'!C35/'5h'!$B34*1000, "na")</f>
        <v>794.91598448944421</v>
      </c>
      <c r="D35" s="115">
        <f>IFERROR('5a'!D35/'5h'!$B34*1000, "na")</f>
        <v>2089.6165445928482</v>
      </c>
      <c r="E35" s="98">
        <f>IFERROR('5a'!E35/'5h'!$B34*1000, "na")</f>
        <v>3239.9827660491169</v>
      </c>
      <c r="F35" s="114">
        <f>IFERROR('5a'!F35/'5h'!$C34*1000, "na")</f>
        <v>479.29269427640764</v>
      </c>
      <c r="G35" s="115">
        <f>IFERROR('5a'!G35/'5h'!$C34*1000, "na")</f>
        <v>823.63890181479758</v>
      </c>
      <c r="H35" s="115">
        <f>IFERROR('5a'!H35/'5h'!$C34*1000, "na")</f>
        <v>753.83899488134011</v>
      </c>
      <c r="I35" s="98">
        <f>IFERROR('5a'!I35/'5h'!$C34*1000, "na")</f>
        <v>2056.7705909725455</v>
      </c>
      <c r="J35" s="114">
        <f>IFERROR('5a'!J35/'5h'!$D34*1000, "na")</f>
        <v>847.79712494293665</v>
      </c>
      <c r="K35" s="115">
        <f>IFERROR('5a'!K35/'5h'!$D34*1000, "na")</f>
        <v>2402.7129507998175</v>
      </c>
      <c r="L35" s="115">
        <f>IFERROR('5a'!L35/'5h'!$D34*1000, "na")</f>
        <v>780.71867110129779</v>
      </c>
      <c r="M35" s="98">
        <f>IFERROR('5a'!M35/'5h'!$D34*1000, "na")</f>
        <v>4031.2287468440518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406" t="s">
        <v>52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IFERROR((POWER(B$24/B14,1/($A$24-$A$14))-1)*100,"na")</f>
        <v>na</v>
      </c>
      <c r="C39" s="86" t="str">
        <f t="shared" ref="C39:M39" si="2">IFERROR((POWER(C$24/C14,1/($A$24-$A$14))-1)*100,"na")</f>
        <v>na</v>
      </c>
      <c r="D39" s="86" t="str">
        <f t="shared" si="2"/>
        <v>na</v>
      </c>
      <c r="E39" s="87" t="str">
        <f t="shared" si="2"/>
        <v>na</v>
      </c>
      <c r="F39" s="85">
        <f t="shared" si="2"/>
        <v>25.097503959164634</v>
      </c>
      <c r="G39" s="86">
        <f t="shared" si="2"/>
        <v>35.273082451643134</v>
      </c>
      <c r="H39" s="86">
        <f t="shared" si="2"/>
        <v>-0.82995620592508645</v>
      </c>
      <c r="I39" s="87">
        <f t="shared" si="2"/>
        <v>11.429699931193404</v>
      </c>
      <c r="J39" s="85">
        <f t="shared" si="2"/>
        <v>6.3343213518638919</v>
      </c>
      <c r="K39" s="86">
        <f t="shared" si="2"/>
        <v>12.02122611368457</v>
      </c>
      <c r="L39" s="86">
        <f t="shared" si="2"/>
        <v>6.495662168279015</v>
      </c>
      <c r="M39" s="87">
        <f t="shared" si="2"/>
        <v>8.5403849592533554</v>
      </c>
    </row>
    <row r="40" spans="1:13">
      <c r="A40" s="28" t="s">
        <v>69</v>
      </c>
      <c r="B40" s="37">
        <f>IFERROR((POWER(B$35/B25,1/($A$35-$A$25))-1)*100,"na")</f>
        <v>-13.599170650211502</v>
      </c>
      <c r="C40" s="86">
        <f t="shared" ref="C40:M40" si="3">IFERROR((POWER(C$35/C25,1/($A$35-$A$25))-1)*100,"na")</f>
        <v>-14.177507271706668</v>
      </c>
      <c r="D40" s="86">
        <f t="shared" si="3"/>
        <v>-17.307212048420983</v>
      </c>
      <c r="E40" s="87">
        <f t="shared" si="3"/>
        <v>-16.28997167602575</v>
      </c>
      <c r="F40" s="85">
        <f t="shared" si="3"/>
        <v>-2.1491110059873697</v>
      </c>
      <c r="G40" s="86">
        <f t="shared" si="3"/>
        <v>-2.1017140196213147</v>
      </c>
      <c r="H40" s="86">
        <f t="shared" si="3"/>
        <v>0.94405596739066677</v>
      </c>
      <c r="I40" s="87">
        <f t="shared" si="3"/>
        <v>-1.1131670719846332</v>
      </c>
      <c r="J40" s="85">
        <f t="shared" si="3"/>
        <v>-0.77355314883387205</v>
      </c>
      <c r="K40" s="86">
        <f t="shared" si="3"/>
        <v>3.7530550223344505</v>
      </c>
      <c r="L40" s="86">
        <f t="shared" si="3"/>
        <v>-3.4652912862958907</v>
      </c>
      <c r="M40" s="87">
        <f t="shared" si="3"/>
        <v>0.89013314547830014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1" t="s">
        <v>222</v>
      </c>
    </row>
  </sheetData>
  <mergeCells count="5">
    <mergeCell ref="A1:G2"/>
    <mergeCell ref="B4:E4"/>
    <mergeCell ref="F4:I4"/>
    <mergeCell ref="J4:M4"/>
    <mergeCell ref="A37:M37"/>
  </mergeCells>
  <pageMargins left="0.7" right="0.7" top="0.75" bottom="0.75" header="0.3" footer="0.3"/>
  <pageSetup scale="76" orientation="landscape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60"/>
  <dimension ref="A1:M43"/>
  <sheetViews>
    <sheetView zoomScaleNormal="100" workbookViewId="0">
      <selection activeCell="B15" sqref="B15"/>
    </sheetView>
  </sheetViews>
  <sheetFormatPr defaultRowHeight="15"/>
  <cols>
    <col min="1" max="1" width="11.140625" customWidth="1"/>
    <col min="2" max="2" width="12.7109375" bestFit="1" customWidth="1"/>
    <col min="3" max="3" width="10.42578125" bestFit="1" customWidth="1"/>
    <col min="4" max="4" width="21.85546875" bestFit="1" customWidth="1"/>
    <col min="6" max="6" width="12.7109375" customWidth="1"/>
    <col min="7" max="7" width="10.42578125" bestFit="1" customWidth="1"/>
    <col min="8" max="8" width="21.85546875" bestFit="1" customWidth="1"/>
    <col min="10" max="10" width="11.85546875" customWidth="1"/>
    <col min="12" max="12" width="18.42578125" customWidth="1"/>
  </cols>
  <sheetData>
    <row r="1" spans="1:13">
      <c r="A1" s="387" t="s">
        <v>255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IFERROR('5i'!B6/'5i'!J6*100,"na")</f>
        <v>na</v>
      </c>
      <c r="C6" s="83" t="str">
        <f>IFERROR('5i'!C6/'5i'!K6*100,"na")</f>
        <v>na</v>
      </c>
      <c r="D6" s="83" t="str">
        <f>IFERROR('5i'!D6/'5i'!L6*100,"na")</f>
        <v>na</v>
      </c>
      <c r="E6" s="84" t="str">
        <f>IFERROR('5i'!E6/'5i'!M6*100,"na")</f>
        <v>na</v>
      </c>
      <c r="F6" s="82">
        <f>IFERROR('5i'!F6/'5i'!J6*100,"na")</f>
        <v>21.870568537526385</v>
      </c>
      <c r="G6" s="83">
        <f>IFERROR('5i'!G6/'5i'!K6*100,"na")</f>
        <v>5.2822983332161195</v>
      </c>
      <c r="H6" s="83">
        <f>IFERROR('5i'!H6/'5i'!L6*100,"na")</f>
        <v>150.09883756407126</v>
      </c>
      <c r="I6" s="84">
        <f>IFERROR('5i'!I6/'5i'!M6*100,"na")</f>
        <v>80.552695616156683</v>
      </c>
      <c r="J6" s="338">
        <f>IFERROR('5i'!J6/'5i'!J6*100, "na")</f>
        <v>100</v>
      </c>
      <c r="K6" s="339">
        <f>IFERROR('5i'!K6/'5i'!K6*100, "na")</f>
        <v>100</v>
      </c>
      <c r="L6" s="339">
        <f>IFERROR('5i'!L6/'5i'!L6*100, "na")</f>
        <v>100</v>
      </c>
      <c r="M6" s="340">
        <f>IFERROR('5i'!M6/'5i'!M6*100, "na")</f>
        <v>100</v>
      </c>
    </row>
    <row r="7" spans="1:13">
      <c r="A7" s="185">
        <v>1982</v>
      </c>
      <c r="B7" s="85" t="str">
        <f>IFERROR('5i'!B7/'5i'!J7*100,"na")</f>
        <v>na</v>
      </c>
      <c r="C7" s="86" t="str">
        <f>IFERROR('5i'!C7/'5i'!K7*100,"na")</f>
        <v>na</v>
      </c>
      <c r="D7" s="86" t="str">
        <f>IFERROR('5i'!D7/'5i'!L7*100,"na")</f>
        <v>na</v>
      </c>
      <c r="E7" s="87" t="str">
        <f>IFERROR('5i'!E7/'5i'!M7*100,"na")</f>
        <v>na</v>
      </c>
      <c r="F7" s="85">
        <f>IFERROR('5i'!F7/'5i'!J7*100,"na")</f>
        <v>5.5942702284165708</v>
      </c>
      <c r="G7" s="86">
        <f>IFERROR('5i'!G7/'5i'!K7*100,"na")</f>
        <v>3.7761324041811846</v>
      </c>
      <c r="H7" s="86">
        <f>IFERROR('5i'!H7/'5i'!L7*100,"na")</f>
        <v>142.07317073170734</v>
      </c>
      <c r="I7" s="87">
        <f>IFERROR('5i'!I7/'5i'!M7*100,"na")</f>
        <v>69.005051701002458</v>
      </c>
      <c r="J7" s="341">
        <f>IFERROR('5i'!J7/'5i'!J7*100, "na")</f>
        <v>100</v>
      </c>
      <c r="K7" s="342">
        <f>IFERROR('5i'!K7/'5i'!K7*100, "na")</f>
        <v>100</v>
      </c>
      <c r="L7" s="342">
        <f>IFERROR('5i'!L7/'5i'!L7*100, "na")</f>
        <v>100</v>
      </c>
      <c r="M7" s="343">
        <f>IFERROR('5i'!M7/'5i'!M7*100, "na")</f>
        <v>100</v>
      </c>
    </row>
    <row r="8" spans="1:13">
      <c r="A8" s="185">
        <v>1983</v>
      </c>
      <c r="B8" s="85" t="str">
        <f>IFERROR('5i'!B8/'5i'!J8*100,"na")</f>
        <v>na</v>
      </c>
      <c r="C8" s="86" t="str">
        <f>IFERROR('5i'!C8/'5i'!K8*100,"na")</f>
        <v>na</v>
      </c>
      <c r="D8" s="86" t="str">
        <f>IFERROR('5i'!D8/'5i'!L8*100,"na")</f>
        <v>na</v>
      </c>
      <c r="E8" s="87" t="str">
        <f>IFERROR('5i'!E8/'5i'!M8*100,"na")</f>
        <v>na</v>
      </c>
      <c r="F8" s="85">
        <f>IFERROR('5i'!F8/'5i'!J8*100,"na")</f>
        <v>3.3952357713727981</v>
      </c>
      <c r="G8" s="86">
        <f>IFERROR('5i'!G8/'5i'!K8*100,"na")</f>
        <v>1.2369837642653951</v>
      </c>
      <c r="H8" s="86">
        <f>IFERROR('5i'!H8/'5i'!L8*100,"na")</f>
        <v>136.848142815476</v>
      </c>
      <c r="I8" s="87">
        <f>IFERROR('5i'!I8/'5i'!M8*100,"na")</f>
        <v>59.290155898657673</v>
      </c>
      <c r="J8" s="341">
        <f>IFERROR('5i'!J8/'5i'!J8*100, "na")</f>
        <v>100</v>
      </c>
      <c r="K8" s="342">
        <f>IFERROR('5i'!K8/'5i'!K8*100, "na")</f>
        <v>100</v>
      </c>
      <c r="L8" s="342">
        <f>IFERROR('5i'!L8/'5i'!L8*100, "na")</f>
        <v>100</v>
      </c>
      <c r="M8" s="343">
        <f>IFERROR('5i'!M8/'5i'!M8*100, "na")</f>
        <v>100</v>
      </c>
    </row>
    <row r="9" spans="1:13">
      <c r="A9" s="185">
        <v>1984</v>
      </c>
      <c r="B9" s="85" t="str">
        <f>IFERROR('5i'!B9/'5i'!J9*100,"na")</f>
        <v>na</v>
      </c>
      <c r="C9" s="86" t="str">
        <f>IFERROR('5i'!C9/'5i'!K9*100,"na")</f>
        <v>na</v>
      </c>
      <c r="D9" s="86" t="str">
        <f>IFERROR('5i'!D9/'5i'!L9*100,"na")</f>
        <v>na</v>
      </c>
      <c r="E9" s="87" t="str">
        <f>IFERROR('5i'!E9/'5i'!M9*100,"na")</f>
        <v>na</v>
      </c>
      <c r="F9" s="85">
        <f>IFERROR('5i'!F9/'5i'!J9*100,"na")</f>
        <v>2.7112270420430287</v>
      </c>
      <c r="G9" s="86">
        <f>IFERROR('5i'!G9/'5i'!K9*100,"na")</f>
        <v>1.0499359623598004</v>
      </c>
      <c r="H9" s="86">
        <f>IFERROR('5i'!H9/'5i'!L9*100,"na")</f>
        <v>199.06785846341816</v>
      </c>
      <c r="I9" s="87">
        <f>IFERROR('5i'!I9/'5i'!M9*100,"na")</f>
        <v>79.946519254847871</v>
      </c>
      <c r="J9" s="341">
        <f>IFERROR('5i'!J9/'5i'!J9*100, "na")</f>
        <v>100</v>
      </c>
      <c r="K9" s="342">
        <f>IFERROR('5i'!K9/'5i'!K9*100, "na")</f>
        <v>100</v>
      </c>
      <c r="L9" s="342">
        <f>IFERROR('5i'!L9/'5i'!L9*100, "na")</f>
        <v>100</v>
      </c>
      <c r="M9" s="343">
        <f>IFERROR('5i'!M9/'5i'!M9*100, "na")</f>
        <v>100</v>
      </c>
    </row>
    <row r="10" spans="1:13">
      <c r="A10" s="185">
        <v>1985</v>
      </c>
      <c r="B10" s="85" t="str">
        <f>IFERROR('5i'!B10/'5i'!J10*100,"na")</f>
        <v>na</v>
      </c>
      <c r="C10" s="86" t="str">
        <f>IFERROR('5i'!C10/'5i'!K10*100,"na")</f>
        <v>na</v>
      </c>
      <c r="D10" s="86" t="str">
        <f>IFERROR('5i'!D10/'5i'!L10*100,"na")</f>
        <v>na</v>
      </c>
      <c r="E10" s="87" t="str">
        <f>IFERROR('5i'!E10/'5i'!M10*100,"na")</f>
        <v>na</v>
      </c>
      <c r="F10" s="85">
        <f>IFERROR('5i'!F10/'5i'!J10*100,"na")</f>
        <v>4.1239840020642493</v>
      </c>
      <c r="G10" s="86">
        <f>IFERROR('5i'!G10/'5i'!K10*100,"na")</f>
        <v>1.9464742418706611</v>
      </c>
      <c r="H10" s="86">
        <f>IFERROR('5i'!H10/'5i'!L10*100,"na")</f>
        <v>205.96327849588712</v>
      </c>
      <c r="I10" s="87">
        <f>IFERROR('5i'!I10/'5i'!M10*100,"na")</f>
        <v>82.602599493903824</v>
      </c>
      <c r="J10" s="341">
        <f>IFERROR('5i'!J10/'5i'!J10*100, "na")</f>
        <v>100</v>
      </c>
      <c r="K10" s="342">
        <f>IFERROR('5i'!K10/'5i'!K10*100, "na")</f>
        <v>100</v>
      </c>
      <c r="L10" s="342">
        <f>IFERROR('5i'!L10/'5i'!L10*100, "na")</f>
        <v>100</v>
      </c>
      <c r="M10" s="343">
        <f>IFERROR('5i'!M10/'5i'!M10*100, "na")</f>
        <v>100</v>
      </c>
    </row>
    <row r="11" spans="1:13">
      <c r="A11" s="185">
        <v>1986</v>
      </c>
      <c r="B11" s="85" t="str">
        <f>IFERROR('5i'!B11/'5i'!J11*100,"na")</f>
        <v>na</v>
      </c>
      <c r="C11" s="86" t="str">
        <f>IFERROR('5i'!C11/'5i'!K11*100,"na")</f>
        <v>na</v>
      </c>
      <c r="D11" s="86" t="str">
        <f>IFERROR('5i'!D11/'5i'!L11*100,"na")</f>
        <v>na</v>
      </c>
      <c r="E11" s="87" t="str">
        <f>IFERROR('5i'!E11/'5i'!M11*100,"na")</f>
        <v>na</v>
      </c>
      <c r="F11" s="85">
        <f>IFERROR('5i'!F11/'5i'!J11*100,"na")</f>
        <v>3.8311113913393409</v>
      </c>
      <c r="G11" s="86">
        <f>IFERROR('5i'!G11/'5i'!K11*100,"na")</f>
        <v>1.9993612573552186</v>
      </c>
      <c r="H11" s="86">
        <f>IFERROR('5i'!H11/'5i'!L11*100,"na")</f>
        <v>150.54014173027528</v>
      </c>
      <c r="I11" s="87">
        <f>IFERROR('5i'!I11/'5i'!M11*100,"na")</f>
        <v>61.827342612770551</v>
      </c>
      <c r="J11" s="341">
        <f>IFERROR('5i'!J11/'5i'!J11*100, "na")</f>
        <v>100</v>
      </c>
      <c r="K11" s="342">
        <f>IFERROR('5i'!K11/'5i'!K11*100, "na")</f>
        <v>100</v>
      </c>
      <c r="L11" s="342">
        <f>IFERROR('5i'!L11/'5i'!L11*100, "na")</f>
        <v>100</v>
      </c>
      <c r="M11" s="343">
        <f>IFERROR('5i'!M11/'5i'!M11*100, "na")</f>
        <v>100</v>
      </c>
    </row>
    <row r="12" spans="1:13">
      <c r="A12" s="185">
        <v>1987</v>
      </c>
      <c r="B12" s="85" t="str">
        <f>IFERROR('5i'!B12/'5i'!J12*100,"na")</f>
        <v>na</v>
      </c>
      <c r="C12" s="86" t="str">
        <f>IFERROR('5i'!C12/'5i'!K12*100,"na")</f>
        <v>na</v>
      </c>
      <c r="D12" s="86" t="str">
        <f>IFERROR('5i'!D12/'5i'!L12*100,"na")</f>
        <v>na</v>
      </c>
      <c r="E12" s="87" t="str">
        <f>IFERROR('5i'!E12/'5i'!M12*100,"na")</f>
        <v>na</v>
      </c>
      <c r="F12" s="85">
        <f>IFERROR('5i'!F12/'5i'!J12*100,"na")</f>
        <v>3.946111501392001</v>
      </c>
      <c r="G12" s="86">
        <f>IFERROR('5i'!G12/'5i'!K12*100,"na")</f>
        <v>2.922843967237938</v>
      </c>
      <c r="H12" s="86">
        <f>IFERROR('5i'!H12/'5i'!L12*100,"na")</f>
        <v>146.31617716947059</v>
      </c>
      <c r="I12" s="87">
        <f>IFERROR('5i'!I12/'5i'!M12*100,"na")</f>
        <v>57.323340498490182</v>
      </c>
      <c r="J12" s="341">
        <f>IFERROR('5i'!J12/'5i'!J12*100, "na")</f>
        <v>100</v>
      </c>
      <c r="K12" s="342">
        <f>IFERROR('5i'!K12/'5i'!K12*100, "na")</f>
        <v>100</v>
      </c>
      <c r="L12" s="342">
        <f>IFERROR('5i'!L12/'5i'!L12*100, "na")</f>
        <v>100</v>
      </c>
      <c r="M12" s="343">
        <f>IFERROR('5i'!M12/'5i'!M12*100, "na")</f>
        <v>100</v>
      </c>
    </row>
    <row r="13" spans="1:13">
      <c r="A13" s="185">
        <v>1988</v>
      </c>
      <c r="B13" s="85" t="str">
        <f>IFERROR('5i'!B13/'5i'!J13*100,"na")</f>
        <v>na</v>
      </c>
      <c r="C13" s="86" t="str">
        <f>IFERROR('5i'!C13/'5i'!K13*100,"na")</f>
        <v>na</v>
      </c>
      <c r="D13" s="86" t="str">
        <f>IFERROR('5i'!D13/'5i'!L13*100,"na")</f>
        <v>na</v>
      </c>
      <c r="E13" s="87" t="str">
        <f>IFERROR('5i'!E13/'5i'!M13*100,"na")</f>
        <v>na</v>
      </c>
      <c r="F13" s="85">
        <f>IFERROR('5i'!F13/'5i'!J13*100,"na")</f>
        <v>14.327356455209673</v>
      </c>
      <c r="G13" s="86">
        <f>IFERROR('5i'!G13/'5i'!K13*100,"na")</f>
        <v>7.9596424751164854</v>
      </c>
      <c r="H13" s="86">
        <f>IFERROR('5i'!H13/'5i'!L13*100,"na")</f>
        <v>240.8657027252641</v>
      </c>
      <c r="I13" s="87">
        <f>IFERROR('5i'!I13/'5i'!M13*100,"na")</f>
        <v>97.86445666126825</v>
      </c>
      <c r="J13" s="341">
        <f>IFERROR('5i'!J13/'5i'!J13*100, "na")</f>
        <v>100</v>
      </c>
      <c r="K13" s="342">
        <f>IFERROR('5i'!K13/'5i'!K13*100, "na")</f>
        <v>100</v>
      </c>
      <c r="L13" s="342">
        <f>IFERROR('5i'!L13/'5i'!L13*100, "na")</f>
        <v>100</v>
      </c>
      <c r="M13" s="343">
        <f>IFERROR('5i'!M13/'5i'!M13*100, "na")</f>
        <v>100</v>
      </c>
    </row>
    <row r="14" spans="1:13">
      <c r="A14" s="185">
        <v>1989</v>
      </c>
      <c r="B14" s="85" t="str">
        <f>IFERROR('5i'!B14/'5i'!J14*100,"na")</f>
        <v>na</v>
      </c>
      <c r="C14" s="86" t="str">
        <f>IFERROR('5i'!C14/'5i'!K14*100,"na")</f>
        <v>na</v>
      </c>
      <c r="D14" s="86" t="str">
        <f>IFERROR('5i'!D14/'5i'!L14*100,"na")</f>
        <v>na</v>
      </c>
      <c r="E14" s="87" t="str">
        <f>IFERROR('5i'!E14/'5i'!M14*100,"na")</f>
        <v>na</v>
      </c>
      <c r="F14" s="85">
        <f>IFERROR('5i'!F14/'5i'!J14*100,"na")</f>
        <v>27.154799069318802</v>
      </c>
      <c r="G14" s="86">
        <f>IFERROR('5i'!G14/'5i'!K14*100,"na")</f>
        <v>21.893042221983855</v>
      </c>
      <c r="H14" s="86">
        <f>IFERROR('5i'!H14/'5i'!L14*100,"na")</f>
        <v>266.98291413256362</v>
      </c>
      <c r="I14" s="87">
        <f>IFERROR('5i'!I14/'5i'!M14*100,"na")</f>
        <v>106.75074156429658</v>
      </c>
      <c r="J14" s="341">
        <f>IFERROR('5i'!J14/'5i'!J14*100, "na")</f>
        <v>100</v>
      </c>
      <c r="K14" s="342">
        <f>IFERROR('5i'!K14/'5i'!K14*100, "na")</f>
        <v>100</v>
      </c>
      <c r="L14" s="342">
        <f>IFERROR('5i'!L14/'5i'!L14*100, "na")</f>
        <v>100</v>
      </c>
      <c r="M14" s="343">
        <f>IFERROR('5i'!M14/'5i'!M14*100, "na")</f>
        <v>100</v>
      </c>
    </row>
    <row r="15" spans="1:13">
      <c r="A15" s="185">
        <v>1990</v>
      </c>
      <c r="B15" s="85">
        <f>IFERROR('5i'!B15/'5i'!J15*100,"na")</f>
        <v>63.309091051504076</v>
      </c>
      <c r="C15" s="86">
        <f>IFERROR('5i'!C15/'5i'!K15*100,"na")</f>
        <v>87.131487515641155</v>
      </c>
      <c r="D15" s="86">
        <f>IFERROR('5i'!D15/'5i'!L15*100,"na")</f>
        <v>359.79772439949431</v>
      </c>
      <c r="E15" s="87">
        <f>IFERROR('5i'!E15/'5i'!M15*100,"na")</f>
        <v>173.92729728454887</v>
      </c>
      <c r="F15" s="85">
        <f>IFERROR('5i'!F15/'5i'!J15*100,"na")</f>
        <v>43.402837349925846</v>
      </c>
      <c r="G15" s="86">
        <f>IFERROR('5i'!G15/'5i'!K15*100,"na")</f>
        <v>35.900346893724375</v>
      </c>
      <c r="H15" s="86">
        <f>IFERROR('5i'!H15/'5i'!L15*100,"na")</f>
        <v>171.24147766121629</v>
      </c>
      <c r="I15" s="87">
        <f>IFERROR('5i'!I15/'5i'!M15*100,"na")</f>
        <v>84.659975830558551</v>
      </c>
      <c r="J15" s="341">
        <f>IFERROR('5i'!J15/'5i'!J15*100, "na")</f>
        <v>100</v>
      </c>
      <c r="K15" s="342">
        <f>IFERROR('5i'!K15/'5i'!K15*100, "na")</f>
        <v>100</v>
      </c>
      <c r="L15" s="342">
        <f>IFERROR('5i'!L15/'5i'!L15*100, "na")</f>
        <v>100</v>
      </c>
      <c r="M15" s="343">
        <f>IFERROR('5i'!M15/'5i'!M15*100, "na")</f>
        <v>100</v>
      </c>
    </row>
    <row r="16" spans="1:13">
      <c r="A16" s="185">
        <v>1991</v>
      </c>
      <c r="B16" s="85">
        <f>IFERROR('5i'!B16/'5i'!J16*100,"na")</f>
        <v>63.491148338161452</v>
      </c>
      <c r="C16" s="86">
        <f>IFERROR('5i'!C16/'5i'!K16*100,"na")</f>
        <v>95.197029983008406</v>
      </c>
      <c r="D16" s="86">
        <f>IFERROR('5i'!D16/'5i'!L16*100,"na")</f>
        <v>347.42256744126087</v>
      </c>
      <c r="E16" s="87">
        <f>IFERROR('5i'!E16/'5i'!M16*100,"na")</f>
        <v>167.93532938282266</v>
      </c>
      <c r="F16" s="85">
        <f>IFERROR('5i'!F16/'5i'!J16*100,"na")</f>
        <v>54.068255687974002</v>
      </c>
      <c r="G16" s="86">
        <f>IFERROR('5i'!G16/'5i'!K16*100,"na")</f>
        <v>49.084310331261314</v>
      </c>
      <c r="H16" s="86">
        <f>IFERROR('5i'!H16/'5i'!L16*100,"na")</f>
        <v>133.50033841492893</v>
      </c>
      <c r="I16" s="87">
        <f>IFERROR('5i'!I16/'5i'!M16*100,"na")</f>
        <v>77.780647616267572</v>
      </c>
      <c r="J16" s="341">
        <f>IFERROR('5i'!J16/'5i'!J16*100, "na")</f>
        <v>100</v>
      </c>
      <c r="K16" s="342">
        <f>IFERROR('5i'!K16/'5i'!K16*100, "na")</f>
        <v>100</v>
      </c>
      <c r="L16" s="342">
        <f>IFERROR('5i'!L16/'5i'!L16*100, "na")</f>
        <v>100</v>
      </c>
      <c r="M16" s="343">
        <f>IFERROR('5i'!M16/'5i'!M16*100, "na")</f>
        <v>100</v>
      </c>
    </row>
    <row r="17" spans="1:13">
      <c r="A17" s="185">
        <v>1992</v>
      </c>
      <c r="B17" s="85">
        <f>IFERROR('5i'!B17/'5i'!J17*100,"na")</f>
        <v>69.476078988071279</v>
      </c>
      <c r="C17" s="86">
        <f>IFERROR('5i'!C17/'5i'!K17*100,"na")</f>
        <v>101.94350377133465</v>
      </c>
      <c r="D17" s="86">
        <f>IFERROR('5i'!D17/'5i'!L17*100,"na")</f>
        <v>899.94251322195873</v>
      </c>
      <c r="E17" s="87">
        <f>IFERROR('5i'!E17/'5i'!M17*100,"na")</f>
        <v>341.97041315568504</v>
      </c>
      <c r="F17" s="85">
        <f>IFERROR('5i'!F17/'5i'!J17*100,"na")</f>
        <v>77.325471750440983</v>
      </c>
      <c r="G17" s="86">
        <f>IFERROR('5i'!G17/'5i'!K17*100,"na")</f>
        <v>64.488871903147853</v>
      </c>
      <c r="H17" s="86">
        <f>IFERROR('5i'!H17/'5i'!L17*100,"na")</f>
        <v>83.959128336395565</v>
      </c>
      <c r="I17" s="87">
        <f>IFERROR('5i'!I17/'5i'!M17*100,"na")</f>
        <v>74.368368183161564</v>
      </c>
      <c r="J17" s="341">
        <f>IFERROR('5i'!J17/'5i'!J17*100, "na")</f>
        <v>100</v>
      </c>
      <c r="K17" s="342">
        <f>IFERROR('5i'!K17/'5i'!K17*100, "na")</f>
        <v>100</v>
      </c>
      <c r="L17" s="342">
        <f>IFERROR('5i'!L17/'5i'!L17*100, "na")</f>
        <v>100</v>
      </c>
      <c r="M17" s="343">
        <f>IFERROR('5i'!M17/'5i'!M17*100, "na")</f>
        <v>100</v>
      </c>
    </row>
    <row r="18" spans="1:13">
      <c r="A18" s="185">
        <v>1993</v>
      </c>
      <c r="B18" s="85">
        <f>IFERROR('5i'!B18/'5i'!J18*100,"na")</f>
        <v>81.978299407054223</v>
      </c>
      <c r="C18" s="86">
        <f>IFERROR('5i'!C18/'5i'!K18*100,"na")</f>
        <v>124.43711695503978</v>
      </c>
      <c r="D18" s="86">
        <f>IFERROR('5i'!D18/'5i'!L18*100,"na")</f>
        <v>806.15491751866773</v>
      </c>
      <c r="E18" s="87">
        <f>IFERROR('5i'!E18/'5i'!M18*100,"na")</f>
        <v>318.72286806980213</v>
      </c>
      <c r="F18" s="85">
        <f>IFERROR('5i'!F18/'5i'!J18*100,"na")</f>
        <v>176.45230127341478</v>
      </c>
      <c r="G18" s="86">
        <f>IFERROR('5i'!G18/'5i'!K18*100,"na")</f>
        <v>194.04997348052393</v>
      </c>
      <c r="H18" s="86">
        <f>IFERROR('5i'!H18/'5i'!L18*100,"na")</f>
        <v>172.10440062602058</v>
      </c>
      <c r="I18" s="87">
        <f>IFERROR('5i'!I18/'5i'!M18*100,"na")</f>
        <v>182.18306489577628</v>
      </c>
      <c r="J18" s="341">
        <f>IFERROR('5i'!J18/'5i'!J18*100, "na")</f>
        <v>100</v>
      </c>
      <c r="K18" s="342">
        <f>IFERROR('5i'!K18/'5i'!K18*100, "na")</f>
        <v>100</v>
      </c>
      <c r="L18" s="342">
        <f>IFERROR('5i'!L18/'5i'!L18*100, "na")</f>
        <v>100</v>
      </c>
      <c r="M18" s="343">
        <f>IFERROR('5i'!M18/'5i'!M18*100, "na")</f>
        <v>100</v>
      </c>
    </row>
    <row r="19" spans="1:13">
      <c r="A19" s="185">
        <v>1994</v>
      </c>
      <c r="B19" s="85">
        <f>IFERROR('5i'!B19/'5i'!J19*100,"na")</f>
        <v>102.06654183288558</v>
      </c>
      <c r="C19" s="86">
        <f>IFERROR('5i'!C19/'5i'!K19*100,"na")</f>
        <v>172.26176973996246</v>
      </c>
      <c r="D19" s="86">
        <f>IFERROR('5i'!D19/'5i'!L19*100,"na")</f>
        <v>1007.2242610593138</v>
      </c>
      <c r="E19" s="87">
        <f>IFERROR('5i'!E19/'5i'!M19*100,"na")</f>
        <v>419.62186679398428</v>
      </c>
      <c r="F19" s="85">
        <f>IFERROR('5i'!F19/'5i'!J19*100,"na")</f>
        <v>216.16289441134583</v>
      </c>
      <c r="G19" s="86">
        <f>IFERROR('5i'!G19/'5i'!K19*100,"na")</f>
        <v>241.34729810187488</v>
      </c>
      <c r="H19" s="86">
        <f>IFERROR('5i'!H19/'5i'!L19*100,"na")</f>
        <v>192.52368430532044</v>
      </c>
      <c r="I19" s="87">
        <f>IFERROR('5i'!I19/'5i'!M19*100,"na")</f>
        <v>218.29502795959948</v>
      </c>
      <c r="J19" s="341">
        <f>IFERROR('5i'!J19/'5i'!J19*100, "na")</f>
        <v>100</v>
      </c>
      <c r="K19" s="342">
        <f>IFERROR('5i'!K19/'5i'!K19*100, "na")</f>
        <v>100</v>
      </c>
      <c r="L19" s="342">
        <f>IFERROR('5i'!L19/'5i'!L19*100, "na")</f>
        <v>100</v>
      </c>
      <c r="M19" s="343">
        <f>IFERROR('5i'!M19/'5i'!M19*100, "na")</f>
        <v>100</v>
      </c>
    </row>
    <row r="20" spans="1:13">
      <c r="A20" s="185">
        <v>1995</v>
      </c>
      <c r="B20" s="85">
        <f>IFERROR('5i'!B20/'5i'!J20*100,"na")</f>
        <v>168.45064614308833</v>
      </c>
      <c r="C20" s="86">
        <f>IFERROR('5i'!C20/'5i'!K20*100,"na")</f>
        <v>277.83050674911595</v>
      </c>
      <c r="D20" s="86">
        <f>IFERROR('5i'!D20/'5i'!L20*100,"na")</f>
        <v>1834.9979733155787</v>
      </c>
      <c r="E20" s="87">
        <f>IFERROR('5i'!E20/'5i'!M20*100,"na")</f>
        <v>728.30080761982106</v>
      </c>
      <c r="F20" s="85">
        <f>IFERROR('5i'!F20/'5i'!J20*100,"na")</f>
        <v>203.71471722892556</v>
      </c>
      <c r="G20" s="86">
        <f>IFERROR('5i'!G20/'5i'!K20*100,"na")</f>
        <v>201.43448931938082</v>
      </c>
      <c r="H20" s="86">
        <f>IFERROR('5i'!H20/'5i'!L20*100,"na")</f>
        <v>166.38127169587671</v>
      </c>
      <c r="I20" s="87">
        <f>IFERROR('5i'!I20/'5i'!M20*100,"na")</f>
        <v>191.23545007076916</v>
      </c>
      <c r="J20" s="341">
        <f>IFERROR('5i'!J20/'5i'!J20*100, "na")</f>
        <v>100</v>
      </c>
      <c r="K20" s="342">
        <f>IFERROR('5i'!K20/'5i'!K20*100, "na")</f>
        <v>100</v>
      </c>
      <c r="L20" s="342">
        <f>IFERROR('5i'!L20/'5i'!L20*100, "na")</f>
        <v>100</v>
      </c>
      <c r="M20" s="343">
        <f>IFERROR('5i'!M20/'5i'!M20*100, "na")</f>
        <v>100</v>
      </c>
    </row>
    <row r="21" spans="1:13">
      <c r="A21" s="185">
        <v>1996</v>
      </c>
      <c r="B21" s="85">
        <f>IFERROR('5i'!B21/'5i'!J21*100,"na")</f>
        <v>197.15097260188315</v>
      </c>
      <c r="C21" s="86">
        <f>IFERROR('5i'!C21/'5i'!K21*100,"na")</f>
        <v>322.0305646495288</v>
      </c>
      <c r="D21" s="86">
        <f>IFERROR('5i'!D21/'5i'!L21*100,"na")</f>
        <v>2072.5700921773387</v>
      </c>
      <c r="E21" s="87">
        <f>IFERROR('5i'!E21/'5i'!M21*100,"na")</f>
        <v>825.24588847760981</v>
      </c>
      <c r="F21" s="85">
        <f>IFERROR('5i'!F21/'5i'!J21*100,"na")</f>
        <v>185.07635684600282</v>
      </c>
      <c r="G21" s="86">
        <f>IFERROR('5i'!G21/'5i'!K21*100,"na")</f>
        <v>184.68311468428323</v>
      </c>
      <c r="H21" s="86">
        <f>IFERROR('5i'!H21/'5i'!L21*100,"na")</f>
        <v>156.43396077309811</v>
      </c>
      <c r="I21" s="87">
        <f>IFERROR('5i'!I21/'5i'!M21*100,"na")</f>
        <v>176.05050812976521</v>
      </c>
      <c r="J21" s="341">
        <f>IFERROR('5i'!J21/'5i'!J21*100, "na")</f>
        <v>100</v>
      </c>
      <c r="K21" s="342">
        <f>IFERROR('5i'!K21/'5i'!K21*100, "na")</f>
        <v>100</v>
      </c>
      <c r="L21" s="342">
        <f>IFERROR('5i'!L21/'5i'!L21*100, "na")</f>
        <v>100</v>
      </c>
      <c r="M21" s="343">
        <f>IFERROR('5i'!M21/'5i'!M21*100, "na")</f>
        <v>100</v>
      </c>
    </row>
    <row r="22" spans="1:13">
      <c r="A22" s="185">
        <v>1997</v>
      </c>
      <c r="B22" s="85">
        <f>IFERROR('5i'!B22/'5i'!J22*100,"na")</f>
        <v>264.4645756457565</v>
      </c>
      <c r="C22" s="86">
        <f>IFERROR('5i'!C22/'5i'!K22*100,"na")</f>
        <v>388.27756285934959</v>
      </c>
      <c r="D22" s="86">
        <f>IFERROR('5i'!D22/'5i'!L22*100,"na")</f>
        <v>2413.2627398523987</v>
      </c>
      <c r="E22" s="87">
        <f>IFERROR('5i'!E22/'5i'!M22*100,"na")</f>
        <v>954.27369766435083</v>
      </c>
      <c r="F22" s="85">
        <f>IFERROR('5i'!F22/'5i'!J22*100,"na")</f>
        <v>152.64479638009047</v>
      </c>
      <c r="G22" s="86">
        <f>IFERROR('5i'!G22/'5i'!K22*100,"na")</f>
        <v>150.17193728296328</v>
      </c>
      <c r="H22" s="86">
        <f>IFERROR('5i'!H22/'5i'!L22*100,"na")</f>
        <v>120.14297511312218</v>
      </c>
      <c r="I22" s="87">
        <f>IFERROR('5i'!I22/'5i'!M22*100,"na")</f>
        <v>141.97076265830785</v>
      </c>
      <c r="J22" s="341">
        <f>IFERROR('5i'!J22/'5i'!J22*100, "na")</f>
        <v>100</v>
      </c>
      <c r="K22" s="342">
        <f>IFERROR('5i'!K22/'5i'!K22*100, "na")</f>
        <v>100</v>
      </c>
      <c r="L22" s="342">
        <f>IFERROR('5i'!L22/'5i'!L22*100, "na")</f>
        <v>100</v>
      </c>
      <c r="M22" s="343">
        <f>IFERROR('5i'!M22/'5i'!M22*100, "na")</f>
        <v>100</v>
      </c>
    </row>
    <row r="23" spans="1:13">
      <c r="A23" s="185">
        <v>1998</v>
      </c>
      <c r="B23" s="85">
        <f>IFERROR('5i'!B23/'5i'!J23*100,"na")</f>
        <v>241.19688430208868</v>
      </c>
      <c r="C23" s="86">
        <f>IFERROR('5i'!C23/'5i'!K23*100,"na")</f>
        <v>308.9404345826951</v>
      </c>
      <c r="D23" s="86">
        <f>IFERROR('5i'!D23/'5i'!L23*100,"na")</f>
        <v>1981.7082126380576</v>
      </c>
      <c r="E23" s="87">
        <f>IFERROR('5i'!E23/'5i'!M23*100,"na")</f>
        <v>774.6220143268032</v>
      </c>
      <c r="F23" s="85">
        <f>IFERROR('5i'!F23/'5i'!J23*100,"na")</f>
        <v>173.65858400306161</v>
      </c>
      <c r="G23" s="86">
        <f>IFERROR('5i'!G23/'5i'!K23*100,"na")</f>
        <v>162.30375308641976</v>
      </c>
      <c r="H23" s="86">
        <f>IFERROR('5i'!H23/'5i'!L23*100,"na")</f>
        <v>136.87109580303607</v>
      </c>
      <c r="I23" s="87">
        <f>IFERROR('5i'!I23/'5i'!M23*100,"na")</f>
        <v>158.2192138574284</v>
      </c>
      <c r="J23" s="341">
        <f>IFERROR('5i'!J23/'5i'!J23*100, "na")</f>
        <v>100</v>
      </c>
      <c r="K23" s="342">
        <f>IFERROR('5i'!K23/'5i'!K23*100, "na")</f>
        <v>100</v>
      </c>
      <c r="L23" s="342">
        <f>IFERROR('5i'!L23/'5i'!L23*100, "na")</f>
        <v>100</v>
      </c>
      <c r="M23" s="343">
        <f>IFERROR('5i'!M23/'5i'!M23*100, "na")</f>
        <v>100</v>
      </c>
    </row>
    <row r="24" spans="1:13">
      <c r="A24" s="185">
        <v>1999</v>
      </c>
      <c r="B24" s="85">
        <f>IFERROR('5i'!B24/'5i'!J24*100,"na")</f>
        <v>142.1666767536162</v>
      </c>
      <c r="C24" s="86">
        <f>IFERROR('5i'!C24/'5i'!K24*100,"na")</f>
        <v>184.5511460613875</v>
      </c>
      <c r="D24" s="86">
        <f>IFERROR('5i'!D24/'5i'!L24*100,"na")</f>
        <v>1151.6982446717789</v>
      </c>
      <c r="E24" s="87">
        <f>IFERROR('5i'!E24/'5i'!M24*100,"na")</f>
        <v>444.0918195415602</v>
      </c>
      <c r="F24" s="85">
        <f>IFERROR('5i'!F24/'5i'!J24*100,"na")</f>
        <v>137.91083916083917</v>
      </c>
      <c r="G24" s="86">
        <f>IFERROR('5i'!G24/'5i'!K24*100,"na")</f>
        <v>144.34999044185315</v>
      </c>
      <c r="H24" s="86">
        <f>IFERROR('5i'!H24/'5i'!L24*100,"na")</f>
        <v>130.90894920682155</v>
      </c>
      <c r="I24" s="87">
        <f>IFERROR('5i'!I24/'5i'!M24*100,"na")</f>
        <v>138.82476122287255</v>
      </c>
      <c r="J24" s="341">
        <f>IFERROR('5i'!J24/'5i'!J24*100, "na")</f>
        <v>100</v>
      </c>
      <c r="K24" s="342">
        <f>IFERROR('5i'!K24/'5i'!K24*100, "na")</f>
        <v>100</v>
      </c>
      <c r="L24" s="342">
        <f>IFERROR('5i'!L24/'5i'!L24*100, "na")</f>
        <v>100</v>
      </c>
      <c r="M24" s="343">
        <f>IFERROR('5i'!M24/'5i'!M24*100, "na")</f>
        <v>100</v>
      </c>
    </row>
    <row r="25" spans="1:13">
      <c r="A25" s="185">
        <v>2000</v>
      </c>
      <c r="B25" s="85">
        <f>IFERROR('5i'!B25/'5i'!J25*100,"na")</f>
        <v>167.33321618424287</v>
      </c>
      <c r="C25" s="86">
        <f>IFERROR('5i'!C25/'5i'!K25*100,"na")</f>
        <v>220.6058524940718</v>
      </c>
      <c r="D25" s="86">
        <f>IFERROR('5i'!D25/'5i'!L25*100,"na")</f>
        <v>1258.1447068147645</v>
      </c>
      <c r="E25" s="87">
        <f>IFERROR('5i'!E25/'5i'!M25*100,"na")</f>
        <v>519.7773143378613</v>
      </c>
      <c r="F25" s="85">
        <f>IFERROR('5i'!F25/'5i'!J25*100,"na")</f>
        <v>65.003316515227326</v>
      </c>
      <c r="G25" s="86">
        <f>IFERROR('5i'!G25/'5i'!K25*100,"na")</f>
        <v>61.276367791731431</v>
      </c>
      <c r="H25" s="86">
        <f>IFERROR('5i'!H25/'5i'!L25*100,"na")</f>
        <v>61.77481158516288</v>
      </c>
      <c r="I25" s="87">
        <f>IFERROR('5i'!I25/'5i'!M25*100,"na")</f>
        <v>62.352042528995476</v>
      </c>
      <c r="J25" s="341">
        <f>IFERROR('5i'!J25/'5i'!J25*100, "na")</f>
        <v>100</v>
      </c>
      <c r="K25" s="342">
        <f>IFERROR('5i'!K25/'5i'!K25*100, "na")</f>
        <v>100</v>
      </c>
      <c r="L25" s="342">
        <f>IFERROR('5i'!L25/'5i'!L25*100, "na")</f>
        <v>100</v>
      </c>
      <c r="M25" s="343">
        <f>IFERROR('5i'!M25/'5i'!M25*100, "na")</f>
        <v>100</v>
      </c>
    </row>
    <row r="26" spans="1:13">
      <c r="A26" s="185">
        <v>2001</v>
      </c>
      <c r="B26" s="85">
        <f>IFERROR('5i'!B26/'5i'!J26*100,"na")</f>
        <v>147.17338744929239</v>
      </c>
      <c r="C26" s="86">
        <f>IFERROR('5i'!C26/'5i'!K26*100,"na")</f>
        <v>190.72461102201129</v>
      </c>
      <c r="D26" s="86">
        <f>IFERROR('5i'!D26/'5i'!L26*100,"na")</f>
        <v>1210.1662777898687</v>
      </c>
      <c r="E26" s="87">
        <f>IFERROR('5i'!E26/'5i'!M26*100,"na")</f>
        <v>472.55142272676017</v>
      </c>
      <c r="F26" s="85">
        <f>IFERROR('5i'!F26/'5i'!J26*100,"na")</f>
        <v>41.597719602289253</v>
      </c>
      <c r="G26" s="86">
        <f>IFERROR('5i'!G26/'5i'!K26*100,"na")</f>
        <v>34.807071591041804</v>
      </c>
      <c r="H26" s="86">
        <f>IFERROR('5i'!H26/'5i'!L26*100,"na")</f>
        <v>52.370726200694861</v>
      </c>
      <c r="I26" s="87">
        <f>IFERROR('5i'!I26/'5i'!M26*100,"na")</f>
        <v>41.357027680389088</v>
      </c>
      <c r="J26" s="341">
        <f>IFERROR('5i'!J26/'5i'!J26*100, "na")</f>
        <v>100</v>
      </c>
      <c r="K26" s="342">
        <f>IFERROR('5i'!K26/'5i'!K26*100, "na")</f>
        <v>100</v>
      </c>
      <c r="L26" s="342">
        <f>IFERROR('5i'!L26/'5i'!L26*100, "na")</f>
        <v>100</v>
      </c>
      <c r="M26" s="343">
        <f>IFERROR('5i'!M26/'5i'!M26*100, "na")</f>
        <v>100</v>
      </c>
    </row>
    <row r="27" spans="1:13">
      <c r="A27" s="185">
        <v>2002</v>
      </c>
      <c r="B27" s="85">
        <f>IFERROR('5i'!B27/'5i'!J27*100,"na")</f>
        <v>41.616111286029138</v>
      </c>
      <c r="C27" s="86">
        <f>IFERROR('5i'!C27/'5i'!K27*100,"na")</f>
        <v>36.409501505520247</v>
      </c>
      <c r="D27" s="86">
        <f>IFERROR('5i'!D27/'5i'!L27*100,"na")</f>
        <v>281.73248991041015</v>
      </c>
      <c r="E27" s="87">
        <f>IFERROR('5i'!E27/'5i'!M27*100,"na")</f>
        <v>97.237643247178369</v>
      </c>
      <c r="F27" s="85">
        <f>IFERROR('5i'!F27/'5i'!J27*100,"na")</f>
        <v>31.592002132764595</v>
      </c>
      <c r="G27" s="86">
        <f>IFERROR('5i'!G27/'5i'!K27*100,"na")</f>
        <v>25.666079573680172</v>
      </c>
      <c r="H27" s="86">
        <f>IFERROR('5i'!H27/'5i'!L27*100,"na")</f>
        <v>66.861380175163148</v>
      </c>
      <c r="I27" s="87">
        <f>IFERROR('5i'!I27/'5i'!M27*100,"na")</f>
        <v>37.017926344956081</v>
      </c>
      <c r="J27" s="341">
        <f>IFERROR('5i'!J27/'5i'!J27*100, "na")</f>
        <v>100</v>
      </c>
      <c r="K27" s="342">
        <f>IFERROR('5i'!K27/'5i'!K27*100, "na")</f>
        <v>100</v>
      </c>
      <c r="L27" s="342">
        <f>IFERROR('5i'!L27/'5i'!L27*100, "na")</f>
        <v>100</v>
      </c>
      <c r="M27" s="343">
        <f>IFERROR('5i'!M27/'5i'!M27*100, "na")</f>
        <v>100</v>
      </c>
    </row>
    <row r="28" spans="1:13">
      <c r="A28" s="185">
        <v>2003</v>
      </c>
      <c r="B28" s="85">
        <f>IFERROR('5i'!B28/'5i'!J28*100,"na")</f>
        <v>37.831731930304457</v>
      </c>
      <c r="C28" s="86">
        <f>IFERROR('5i'!C28/'5i'!K28*100,"na")</f>
        <v>32.718820459830376</v>
      </c>
      <c r="D28" s="86">
        <f>IFERROR('5i'!D28/'5i'!L28*100,"na")</f>
        <v>280.59732645763313</v>
      </c>
      <c r="E28" s="87">
        <f>IFERROR('5i'!E28/'5i'!M28*100,"na")</f>
        <v>91.790420325084284</v>
      </c>
      <c r="F28" s="85">
        <f>IFERROR('5i'!F28/'5i'!J28*100,"na")</f>
        <v>37.647701007275245</v>
      </c>
      <c r="G28" s="86">
        <f>IFERROR('5i'!G28/'5i'!K28*100,"na")</f>
        <v>29.417002973394098</v>
      </c>
      <c r="H28" s="86">
        <f>IFERROR('5i'!H28/'5i'!L28*100,"na")</f>
        <v>82.593204136612513</v>
      </c>
      <c r="I28" s="87">
        <f>IFERROR('5i'!I28/'5i'!M28*100,"na")</f>
        <v>43.634576677618789</v>
      </c>
      <c r="J28" s="341">
        <f>IFERROR('5i'!J28/'5i'!J28*100, "na")</f>
        <v>100</v>
      </c>
      <c r="K28" s="342">
        <f>IFERROR('5i'!K28/'5i'!K28*100, "na")</f>
        <v>100</v>
      </c>
      <c r="L28" s="342">
        <f>IFERROR('5i'!L28/'5i'!L28*100, "na")</f>
        <v>100</v>
      </c>
      <c r="M28" s="343">
        <f>IFERROR('5i'!M28/'5i'!M28*100, "na")</f>
        <v>100</v>
      </c>
    </row>
    <row r="29" spans="1:13">
      <c r="A29" s="185">
        <v>2004</v>
      </c>
      <c r="B29" s="85">
        <f>IFERROR('5i'!B29/'5i'!J29*100,"na")</f>
        <v>33.974772670850854</v>
      </c>
      <c r="C29" s="86">
        <f>IFERROR('5i'!C29/'5i'!K29*100,"na")</f>
        <v>30.60976929142377</v>
      </c>
      <c r="D29" s="86">
        <f>IFERROR('5i'!D29/'5i'!L29*100,"na")</f>
        <v>250.80278634235464</v>
      </c>
      <c r="E29" s="87">
        <f>IFERROR('5i'!E29/'5i'!M29*100,"na")</f>
        <v>81.362443365824333</v>
      </c>
      <c r="F29" s="85">
        <f>IFERROR('5i'!F29/'5i'!J29*100,"na")</f>
        <v>33.727368227673374</v>
      </c>
      <c r="G29" s="86">
        <f>IFERROR('5i'!G29/'5i'!K29*100,"na")</f>
        <v>27.20130253223968</v>
      </c>
      <c r="H29" s="86">
        <f>IFERROR('5i'!H29/'5i'!L29*100,"na")</f>
        <v>73.507329714429588</v>
      </c>
      <c r="I29" s="87">
        <f>IFERROR('5i'!I29/'5i'!M29*100,"na")</f>
        <v>39.109485596732654</v>
      </c>
      <c r="J29" s="341">
        <f>IFERROR('5i'!J29/'5i'!J29*100, "na")</f>
        <v>100</v>
      </c>
      <c r="K29" s="342">
        <f>IFERROR('5i'!K29/'5i'!K29*100, "na")</f>
        <v>100</v>
      </c>
      <c r="L29" s="342">
        <f>IFERROR('5i'!L29/'5i'!L29*100, "na")</f>
        <v>100</v>
      </c>
      <c r="M29" s="343">
        <f>IFERROR('5i'!M29/'5i'!M29*100, "na")</f>
        <v>100</v>
      </c>
    </row>
    <row r="30" spans="1:13">
      <c r="A30" s="185">
        <v>2005</v>
      </c>
      <c r="B30" s="85">
        <f>IFERROR('5i'!B30/'5i'!J30*100,"na")</f>
        <v>28.586381893409186</v>
      </c>
      <c r="C30" s="86">
        <f>IFERROR('5i'!C30/'5i'!K30*100,"na")</f>
        <v>26.341379480903949</v>
      </c>
      <c r="D30" s="86">
        <f>IFERROR('5i'!D30/'5i'!L30*100,"na")</f>
        <v>211.89248884477146</v>
      </c>
      <c r="E30" s="87">
        <f>IFERROR('5i'!E30/'5i'!M30*100,"na")</f>
        <v>67.659059427626232</v>
      </c>
      <c r="F30" s="85">
        <f>IFERROR('5i'!F30/'5i'!J30*100,"na")</f>
        <v>33.987528568186562</v>
      </c>
      <c r="G30" s="86">
        <f>IFERROR('5i'!G30/'5i'!K30*100,"na")</f>
        <v>27.039411684158811</v>
      </c>
      <c r="H30" s="86">
        <f>IFERROR('5i'!H30/'5i'!L30*100,"na")</f>
        <v>72.029266141014389</v>
      </c>
      <c r="I30" s="87">
        <f>IFERROR('5i'!I30/'5i'!M30*100,"na")</f>
        <v>38.355932711493139</v>
      </c>
      <c r="J30" s="341">
        <f>IFERROR('5i'!J30/'5i'!J30*100, "na")</f>
        <v>100</v>
      </c>
      <c r="K30" s="342">
        <f>IFERROR('5i'!K30/'5i'!K30*100, "na")</f>
        <v>100</v>
      </c>
      <c r="L30" s="342">
        <f>IFERROR('5i'!L30/'5i'!L30*100, "na")</f>
        <v>100</v>
      </c>
      <c r="M30" s="343">
        <f>IFERROR('5i'!M30/'5i'!M30*100, "na")</f>
        <v>100</v>
      </c>
    </row>
    <row r="31" spans="1:13">
      <c r="A31" s="185">
        <v>2006</v>
      </c>
      <c r="B31" s="85">
        <f>IFERROR('5i'!B31/'5i'!J31*100,"na")</f>
        <v>27.583583361575727</v>
      </c>
      <c r="C31" s="86">
        <f>IFERROR('5i'!C31/'5i'!K31*100,"na")</f>
        <v>24.77778105414404</v>
      </c>
      <c r="D31" s="86">
        <f>IFERROR('5i'!D31/'5i'!L31*100,"na")</f>
        <v>184.98811196368746</v>
      </c>
      <c r="E31" s="87">
        <f>IFERROR('5i'!E31/'5i'!M31*100,"na")</f>
        <v>61.570989505018424</v>
      </c>
      <c r="F31" s="85">
        <f>IFERROR('5i'!F31/'5i'!J31*100,"na")</f>
        <v>40.785079483623178</v>
      </c>
      <c r="G31" s="86">
        <f>IFERROR('5i'!G31/'5i'!K31*100,"na")</f>
        <v>29.685379546476153</v>
      </c>
      <c r="H31" s="86">
        <f>IFERROR('5i'!H31/'5i'!L31*100,"na")</f>
        <v>75.349339695392331</v>
      </c>
      <c r="I31" s="87">
        <f>IFERROR('5i'!I31/'5i'!M31*100,"na")</f>
        <v>42.276278010536807</v>
      </c>
      <c r="J31" s="341">
        <f>IFERROR('5i'!J31/'5i'!J31*100, "na")</f>
        <v>100</v>
      </c>
      <c r="K31" s="342">
        <f>IFERROR('5i'!K31/'5i'!K31*100, "na")</f>
        <v>100</v>
      </c>
      <c r="L31" s="342">
        <f>IFERROR('5i'!L31/'5i'!L31*100, "na")</f>
        <v>100</v>
      </c>
      <c r="M31" s="343">
        <f>IFERROR('5i'!M31/'5i'!M31*100, "na")</f>
        <v>100</v>
      </c>
    </row>
    <row r="32" spans="1:13">
      <c r="A32" s="185">
        <v>2007</v>
      </c>
      <c r="B32" s="85">
        <f>IFERROR('5i'!B32/'5i'!J32*100,"na")</f>
        <v>45.533302371917188</v>
      </c>
      <c r="C32" s="86">
        <f>IFERROR('5i'!C32/'5i'!K32*100,"na")</f>
        <v>39.356615846826735</v>
      </c>
      <c r="D32" s="86">
        <f>IFERROR('5i'!D32/'5i'!L32*100,"na")</f>
        <v>304.94262852429739</v>
      </c>
      <c r="E32" s="87">
        <f>IFERROR('5i'!E32/'5i'!M32*100,"na")</f>
        <v>102.12457964144257</v>
      </c>
      <c r="F32" s="85">
        <f>IFERROR('5i'!F32/'5i'!J32*100,"na")</f>
        <v>53.168756788782467</v>
      </c>
      <c r="G32" s="86">
        <f>IFERROR('5i'!G32/'5i'!K32*100,"na")</f>
        <v>37.68316261035865</v>
      </c>
      <c r="H32" s="86">
        <f>IFERROR('5i'!H32/'5i'!L32*100,"na")</f>
        <v>99.338004922991075</v>
      </c>
      <c r="I32" s="87">
        <f>IFERROR('5i'!I32/'5i'!M32*100,"na")</f>
        <v>55.022924871847287</v>
      </c>
      <c r="J32" s="341">
        <f>IFERROR('5i'!J32/'5i'!J32*100, "na")</f>
        <v>100</v>
      </c>
      <c r="K32" s="342">
        <f>IFERROR('5i'!K32/'5i'!K32*100, "na")</f>
        <v>100</v>
      </c>
      <c r="L32" s="342">
        <f>IFERROR('5i'!L32/'5i'!L32*100, "na")</f>
        <v>100</v>
      </c>
      <c r="M32" s="343">
        <f>IFERROR('5i'!M32/'5i'!M32*100, "na")</f>
        <v>100</v>
      </c>
    </row>
    <row r="33" spans="1:13">
      <c r="A33" s="185">
        <v>2008</v>
      </c>
      <c r="B33" s="85">
        <f>IFERROR('5i'!B33/'5i'!J33*100,"na")</f>
        <v>48.331121480904052</v>
      </c>
      <c r="C33" s="86">
        <f>IFERROR('5i'!C33/'5i'!K33*100,"na")</f>
        <v>39.570218347420656</v>
      </c>
      <c r="D33" s="86">
        <f>IFERROR('5i'!D33/'5i'!L33*100,"na")</f>
        <v>312.88551058700847</v>
      </c>
      <c r="E33" s="87">
        <f>IFERROR('5i'!E33/'5i'!M33*100,"na")</f>
        <v>97.908912019396439</v>
      </c>
      <c r="F33" s="85">
        <f>IFERROR('5i'!F33/'5i'!J33*100,"na")</f>
        <v>64.842327575337293</v>
      </c>
      <c r="G33" s="86">
        <f>IFERROR('5i'!G33/'5i'!K33*100,"na")</f>
        <v>42.124543030841629</v>
      </c>
      <c r="H33" s="86">
        <f>IFERROR('5i'!H33/'5i'!L33*100,"na")</f>
        <v>114.20968858468858</v>
      </c>
      <c r="I33" s="87">
        <f>IFERROR('5i'!I33/'5i'!M33*100,"na")</f>
        <v>61.43618255382961</v>
      </c>
      <c r="J33" s="341">
        <f>IFERROR('5i'!J33/'5i'!J33*100, "na")</f>
        <v>100</v>
      </c>
      <c r="K33" s="342">
        <f>IFERROR('5i'!K33/'5i'!K33*100, "na")</f>
        <v>100</v>
      </c>
      <c r="L33" s="342">
        <f>IFERROR('5i'!L33/'5i'!L33*100, "na")</f>
        <v>100</v>
      </c>
      <c r="M33" s="343">
        <f>IFERROR('5i'!M33/'5i'!M33*100, "na")</f>
        <v>100</v>
      </c>
    </row>
    <row r="34" spans="1:13">
      <c r="A34" s="57">
        <f>A33+1</f>
        <v>2009</v>
      </c>
      <c r="B34" s="85">
        <f>IFERROR('5i'!B34/'5i'!J34*100,"na")</f>
        <v>42.760561785961485</v>
      </c>
      <c r="C34" s="86">
        <f>IFERROR('5i'!C34/'5i'!K34*100,"na")</f>
        <v>33.441630790531157</v>
      </c>
      <c r="D34" s="86">
        <f>IFERROR('5i'!D34/'5i'!L34*100,"na")</f>
        <v>270.77566280074768</v>
      </c>
      <c r="E34" s="87">
        <f>IFERROR('5i'!E34/'5i'!M34*100,"na")</f>
        <v>80.61353403280846</v>
      </c>
      <c r="F34" s="85">
        <f>IFERROR('5i'!F34/'5i'!J34*100,"na")</f>
        <v>56.853406827284637</v>
      </c>
      <c r="G34" s="86">
        <f>IFERROR('5i'!G34/'5i'!K34*100,"na")</f>
        <v>34.093118622421272</v>
      </c>
      <c r="H34" s="86">
        <f>IFERROR('5i'!H34/'5i'!L34*100,"na")</f>
        <v>96.146057595975549</v>
      </c>
      <c r="I34" s="87">
        <f>IFERROR('5i'!I34/'5i'!M34*100,"na")</f>
        <v>50.114972056364294</v>
      </c>
      <c r="J34" s="341">
        <f>IFERROR('5i'!J34/'5i'!J34*100, "na")</f>
        <v>100</v>
      </c>
      <c r="K34" s="342">
        <f>IFERROR('5i'!K34/'5i'!K34*100, "na")</f>
        <v>100</v>
      </c>
      <c r="L34" s="342">
        <f>IFERROR('5i'!L34/'5i'!L34*100, "na")</f>
        <v>100</v>
      </c>
      <c r="M34" s="343">
        <f>IFERROR('5i'!M34/'5i'!M34*100, "na")</f>
        <v>100</v>
      </c>
    </row>
    <row r="35" spans="1:13">
      <c r="A35" s="58">
        <f t="shared" ref="A35" si="0">A34+1</f>
        <v>2010</v>
      </c>
      <c r="B35" s="88">
        <f>IFERROR('5i'!B35/'5i'!J35*100,"na")</f>
        <v>41.92633196187699</v>
      </c>
      <c r="C35" s="89">
        <f>IFERROR('5i'!C35/'5i'!K35*100,"na")</f>
        <v>33.084101212541093</v>
      </c>
      <c r="D35" s="89">
        <f>IFERROR('5i'!D35/'5i'!L35*100,"na")</f>
        <v>267.65294874339207</v>
      </c>
      <c r="E35" s="90">
        <f>IFERROR('5i'!E35/'5i'!M35*100,"na")</f>
        <v>80.372089244144689</v>
      </c>
      <c r="F35" s="88">
        <f>IFERROR('5i'!F35/'5i'!J35*100,"na")</f>
        <v>56.533890028073372</v>
      </c>
      <c r="G35" s="89">
        <f>IFERROR('5i'!G35/'5i'!K35*100,"na")</f>
        <v>34.279538117136461</v>
      </c>
      <c r="H35" s="89">
        <f>IFERROR('5i'!H35/'5i'!L35*100,"na")</f>
        <v>96.557059896871607</v>
      </c>
      <c r="I35" s="90">
        <f>IFERROR('5i'!I35/'5i'!M35*100,"na")</f>
        <v>51.020934810080917</v>
      </c>
      <c r="J35" s="344">
        <f>IFERROR('5i'!J35/'5i'!J35*100, "na")</f>
        <v>100</v>
      </c>
      <c r="K35" s="345">
        <f>IFERROR('5i'!K35/'5i'!K35*100, "na")</f>
        <v>100</v>
      </c>
      <c r="L35" s="345">
        <f>IFERROR('5i'!L35/'5i'!L35*100, "na")</f>
        <v>100</v>
      </c>
      <c r="M35" s="346">
        <f>IFERROR('5i'!M35/'5i'!M35*100,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>
        <f t="shared" si="1"/>
        <v>7.9128385694550163</v>
      </c>
      <c r="G38" s="83">
        <f>IFERROR((POWER(G15/G6,1/($A15-$A6))-1)*100, "na")</f>
        <v>23.730019091493904</v>
      </c>
      <c r="H38" s="83">
        <f t="shared" si="1"/>
        <v>1.4750025435352088</v>
      </c>
      <c r="I38" s="84">
        <f t="shared" si="1"/>
        <v>0.5541003264391442</v>
      </c>
    </row>
    <row r="39" spans="1:13">
      <c r="A39" s="28" t="s">
        <v>71</v>
      </c>
      <c r="B39" s="37">
        <f>IFERROR((POWER(B$25/B15,1/($A$25-$A$15))-1)*100,"na")</f>
        <v>10.20761603393443</v>
      </c>
      <c r="C39" s="86">
        <f t="shared" ref="C39:I39" si="2">IFERROR((POWER(C$25/C15,1/($A$25-$A$15))-1)*100,"na")</f>
        <v>9.7347529234075747</v>
      </c>
      <c r="D39" s="86">
        <f t="shared" si="2"/>
        <v>13.335827073760065</v>
      </c>
      <c r="E39" s="87">
        <f t="shared" si="2"/>
        <v>11.569363961608413</v>
      </c>
      <c r="F39" s="85">
        <f t="shared" si="2"/>
        <v>4.1218172724739377</v>
      </c>
      <c r="G39" s="86">
        <f>IFERROR((POWER(G$25/G15,1/($A$25-$A$15))-1)*100,"na")</f>
        <v>5.4919783365092956</v>
      </c>
      <c r="H39" s="86">
        <f t="shared" si="2"/>
        <v>-9.6932430760611865</v>
      </c>
      <c r="I39" s="87">
        <f t="shared" si="2"/>
        <v>-3.0121673444179153</v>
      </c>
    </row>
    <row r="40" spans="1:13">
      <c r="A40" s="28" t="s">
        <v>69</v>
      </c>
      <c r="B40" s="37">
        <f>IFERROR((POWER(B$35/B25,1/($A$35-$A$25))-1)*100,"na")</f>
        <v>-12.925603917487138</v>
      </c>
      <c r="C40" s="86">
        <f t="shared" ref="C40:I40" si="3">IFERROR((POWER(C$35/C25,1/($A$35-$A$25))-1)*100,"na")</f>
        <v>-17.281960796413443</v>
      </c>
      <c r="D40" s="86">
        <f t="shared" si="3"/>
        <v>-14.338802019050467</v>
      </c>
      <c r="E40" s="87">
        <f t="shared" si="3"/>
        <v>-17.02852824738693</v>
      </c>
      <c r="F40" s="85">
        <f t="shared" si="3"/>
        <v>-1.3862814812030444</v>
      </c>
      <c r="G40" s="86">
        <f t="shared" si="3"/>
        <v>-5.642984720493704</v>
      </c>
      <c r="H40" s="86">
        <f t="shared" si="3"/>
        <v>4.5676288999467518</v>
      </c>
      <c r="I40" s="87">
        <f t="shared" si="3"/>
        <v>-1.9856255066828865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I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>
        <f t="shared" si="4"/>
        <v>3.3290347182716395</v>
      </c>
      <c r="G41" s="89">
        <f t="shared" si="4"/>
        <v>6.6614078112266384</v>
      </c>
      <c r="H41" s="89">
        <f t="shared" si="4"/>
        <v>-1.5097284998642602</v>
      </c>
      <c r="I41" s="90">
        <f t="shared" si="4"/>
        <v>-1.5624089864995194</v>
      </c>
    </row>
    <row r="43" spans="1:13">
      <c r="A43" s="204" t="s">
        <v>109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61"/>
  <dimension ref="A1:G39"/>
  <sheetViews>
    <sheetView zoomScaleNormal="100" workbookViewId="0">
      <selection activeCell="B15" sqref="B15"/>
    </sheetView>
  </sheetViews>
  <sheetFormatPr defaultRowHeight="15"/>
  <cols>
    <col min="1" max="1" width="10.5703125" style="1" customWidth="1"/>
    <col min="2" max="2" width="16" style="1" customWidth="1"/>
    <col min="3" max="3" width="14" style="1" customWidth="1"/>
    <col min="4" max="4" width="11.7109375" style="1" customWidth="1"/>
    <col min="5" max="5" width="15.42578125" style="1" customWidth="1"/>
    <col min="6" max="6" width="14.7109375" style="1" customWidth="1"/>
    <col min="7" max="16384" width="9.140625" style="1"/>
  </cols>
  <sheetData>
    <row r="1" spans="1:7">
      <c r="A1" s="387" t="s">
        <v>192</v>
      </c>
      <c r="B1" s="387"/>
      <c r="C1" s="387"/>
      <c r="D1" s="387"/>
      <c r="E1" s="387"/>
      <c r="F1" s="387"/>
    </row>
    <row r="2" spans="1:7">
      <c r="A2" s="387"/>
      <c r="B2" s="387"/>
      <c r="C2" s="387"/>
      <c r="D2" s="387"/>
      <c r="E2" s="387"/>
      <c r="F2" s="387"/>
    </row>
    <row r="3" spans="1:7">
      <c r="A3" s="272"/>
      <c r="B3" s="272"/>
      <c r="C3" s="272"/>
      <c r="D3" s="272"/>
      <c r="E3" s="272"/>
      <c r="F3" s="272"/>
    </row>
    <row r="4" spans="1:7">
      <c r="E4" s="377" t="s">
        <v>76</v>
      </c>
      <c r="F4" s="375"/>
      <c r="G4" s="376"/>
    </row>
    <row r="5" spans="1:7" ht="30">
      <c r="B5" s="298" t="s">
        <v>118</v>
      </c>
      <c r="C5" s="298" t="s">
        <v>119</v>
      </c>
      <c r="D5" s="299" t="s">
        <v>42</v>
      </c>
      <c r="E5" s="298" t="s">
        <v>118</v>
      </c>
      <c r="F5" s="298" t="s">
        <v>119</v>
      </c>
      <c r="G5" s="299" t="s">
        <v>42</v>
      </c>
    </row>
    <row r="6" spans="1:7">
      <c r="A6" s="271">
        <f t="shared" ref="A6:A10" si="0">A7-1</f>
        <v>1981</v>
      </c>
      <c r="B6" s="326" t="s">
        <v>37</v>
      </c>
      <c r="C6" s="326" t="s">
        <v>37</v>
      </c>
      <c r="D6" s="301" t="s">
        <v>37</v>
      </c>
      <c r="E6" s="324" t="str">
        <f>IFERROR(B6/$D6*100, "na")</f>
        <v>na</v>
      </c>
      <c r="F6" s="324" t="str">
        <f t="shared" ref="F6:F35" si="1">IFERROR(C6/$D6*100, "na")</f>
        <v>na</v>
      </c>
      <c r="G6" s="324" t="str">
        <f t="shared" ref="G6:G35" si="2">IFERROR(D6/$D6*100, "na")</f>
        <v>na</v>
      </c>
    </row>
    <row r="7" spans="1:7">
      <c r="A7" s="57">
        <f t="shared" si="0"/>
        <v>1982</v>
      </c>
      <c r="B7" s="327" t="s">
        <v>37</v>
      </c>
      <c r="C7" s="327" t="s">
        <v>37</v>
      </c>
      <c r="D7" s="302" t="s">
        <v>37</v>
      </c>
      <c r="E7" s="310" t="str">
        <f t="shared" ref="E7:E35" si="3">IFERROR(B7/$D7*100, "na")</f>
        <v>na</v>
      </c>
      <c r="F7" s="310" t="str">
        <f t="shared" si="1"/>
        <v>na</v>
      </c>
      <c r="G7" s="310" t="str">
        <f t="shared" si="2"/>
        <v>na</v>
      </c>
    </row>
    <row r="8" spans="1:7">
      <c r="A8" s="57">
        <f t="shared" si="0"/>
        <v>1983</v>
      </c>
      <c r="B8" s="327" t="s">
        <v>37</v>
      </c>
      <c r="C8" s="327" t="s">
        <v>37</v>
      </c>
      <c r="D8" s="302" t="s">
        <v>37</v>
      </c>
      <c r="E8" s="310" t="str">
        <f t="shared" si="3"/>
        <v>na</v>
      </c>
      <c r="F8" s="310" t="str">
        <f t="shared" si="1"/>
        <v>na</v>
      </c>
      <c r="G8" s="310" t="str">
        <f t="shared" si="2"/>
        <v>na</v>
      </c>
    </row>
    <row r="9" spans="1:7">
      <c r="A9" s="57">
        <f t="shared" si="0"/>
        <v>1984</v>
      </c>
      <c r="B9" s="327" t="s">
        <v>37</v>
      </c>
      <c r="C9" s="327" t="s">
        <v>37</v>
      </c>
      <c r="D9" s="302" t="s">
        <v>37</v>
      </c>
      <c r="E9" s="310" t="str">
        <f t="shared" si="3"/>
        <v>na</v>
      </c>
      <c r="F9" s="310" t="str">
        <f t="shared" si="1"/>
        <v>na</v>
      </c>
      <c r="G9" s="310" t="str">
        <f t="shared" si="2"/>
        <v>na</v>
      </c>
    </row>
    <row r="10" spans="1:7">
      <c r="A10" s="57">
        <f t="shared" si="0"/>
        <v>1985</v>
      </c>
      <c r="B10" s="327" t="s">
        <v>37</v>
      </c>
      <c r="C10" s="327" t="s">
        <v>37</v>
      </c>
      <c r="D10" s="302" t="s">
        <v>37</v>
      </c>
      <c r="E10" s="310" t="str">
        <f t="shared" si="3"/>
        <v>na</v>
      </c>
      <c r="F10" s="310" t="str">
        <f t="shared" si="1"/>
        <v>na</v>
      </c>
      <c r="G10" s="310" t="str">
        <f t="shared" si="2"/>
        <v>na</v>
      </c>
    </row>
    <row r="11" spans="1:7">
      <c r="A11" s="57">
        <f>A12-1</f>
        <v>1986</v>
      </c>
      <c r="B11" s="327" t="s">
        <v>37</v>
      </c>
      <c r="C11" s="327" t="s">
        <v>37</v>
      </c>
      <c r="D11" s="302" t="s">
        <v>37</v>
      </c>
      <c r="E11" s="310" t="str">
        <f t="shared" si="3"/>
        <v>na</v>
      </c>
      <c r="F11" s="310" t="str">
        <f t="shared" si="1"/>
        <v>na</v>
      </c>
      <c r="G11" s="310" t="str">
        <f t="shared" si="2"/>
        <v>na</v>
      </c>
    </row>
    <row r="12" spans="1:7">
      <c r="A12" s="57">
        <v>1987</v>
      </c>
      <c r="B12" s="328" t="s">
        <v>37</v>
      </c>
      <c r="C12" s="327" t="s">
        <v>37</v>
      </c>
      <c r="D12" s="302" t="s">
        <v>37</v>
      </c>
      <c r="E12" s="310" t="str">
        <f t="shared" si="3"/>
        <v>na</v>
      </c>
      <c r="F12" s="310" t="str">
        <f t="shared" si="1"/>
        <v>na</v>
      </c>
      <c r="G12" s="310" t="str">
        <f t="shared" si="2"/>
        <v>na</v>
      </c>
    </row>
    <row r="13" spans="1:7">
      <c r="A13" s="57">
        <f t="shared" ref="A13:A35" si="4">A12+1</f>
        <v>1988</v>
      </c>
      <c r="B13" s="328" t="s">
        <v>37</v>
      </c>
      <c r="C13" s="327" t="s">
        <v>37</v>
      </c>
      <c r="D13" s="302" t="s">
        <v>37</v>
      </c>
      <c r="E13" s="310" t="str">
        <f t="shared" si="3"/>
        <v>na</v>
      </c>
      <c r="F13" s="310" t="str">
        <f t="shared" si="1"/>
        <v>na</v>
      </c>
      <c r="G13" s="310" t="str">
        <f t="shared" si="2"/>
        <v>na</v>
      </c>
    </row>
    <row r="14" spans="1:7">
      <c r="A14" s="57">
        <f t="shared" si="4"/>
        <v>1989</v>
      </c>
      <c r="B14" s="328" t="s">
        <v>37</v>
      </c>
      <c r="C14" s="327" t="s">
        <v>37</v>
      </c>
      <c r="D14" s="302" t="s">
        <v>37</v>
      </c>
      <c r="E14" s="310" t="str">
        <f t="shared" si="3"/>
        <v>na</v>
      </c>
      <c r="F14" s="310" t="str">
        <f t="shared" si="1"/>
        <v>na</v>
      </c>
      <c r="G14" s="310" t="str">
        <f t="shared" si="2"/>
        <v>na</v>
      </c>
    </row>
    <row r="15" spans="1:7">
      <c r="A15" s="57">
        <f t="shared" si="4"/>
        <v>1990</v>
      </c>
      <c r="B15" s="328" t="s">
        <v>37</v>
      </c>
      <c r="C15" s="327" t="s">
        <v>37</v>
      </c>
      <c r="D15" s="302" t="s">
        <v>37</v>
      </c>
      <c r="E15" s="310" t="str">
        <f t="shared" si="3"/>
        <v>na</v>
      </c>
      <c r="F15" s="310" t="str">
        <f t="shared" si="1"/>
        <v>na</v>
      </c>
      <c r="G15" s="310" t="str">
        <f t="shared" si="2"/>
        <v>na</v>
      </c>
    </row>
    <row r="16" spans="1:7">
      <c r="A16" s="57">
        <f t="shared" si="4"/>
        <v>1991</v>
      </c>
      <c r="B16" s="328" t="s">
        <v>37</v>
      </c>
      <c r="C16" s="327" t="s">
        <v>37</v>
      </c>
      <c r="D16" s="302" t="s">
        <v>37</v>
      </c>
      <c r="E16" s="310" t="str">
        <f t="shared" si="3"/>
        <v>na</v>
      </c>
      <c r="F16" s="310" t="str">
        <f t="shared" si="1"/>
        <v>na</v>
      </c>
      <c r="G16" s="310" t="str">
        <f t="shared" si="2"/>
        <v>na</v>
      </c>
    </row>
    <row r="17" spans="1:7">
      <c r="A17" s="57">
        <f t="shared" si="4"/>
        <v>1992</v>
      </c>
      <c r="B17" s="328" t="s">
        <v>37</v>
      </c>
      <c r="C17" s="327" t="s">
        <v>37</v>
      </c>
      <c r="D17" s="302" t="s">
        <v>37</v>
      </c>
      <c r="E17" s="310" t="str">
        <f t="shared" si="3"/>
        <v>na</v>
      </c>
      <c r="F17" s="310" t="str">
        <f t="shared" si="1"/>
        <v>na</v>
      </c>
      <c r="G17" s="310" t="str">
        <f t="shared" si="2"/>
        <v>na</v>
      </c>
    </row>
    <row r="18" spans="1:7">
      <c r="A18" s="57">
        <f t="shared" si="4"/>
        <v>1993</v>
      </c>
      <c r="B18" s="328" t="s">
        <v>37</v>
      </c>
      <c r="C18" s="327" t="s">
        <v>37</v>
      </c>
      <c r="D18" s="302" t="s">
        <v>37</v>
      </c>
      <c r="E18" s="310" t="str">
        <f t="shared" si="3"/>
        <v>na</v>
      </c>
      <c r="F18" s="310" t="str">
        <f t="shared" si="1"/>
        <v>na</v>
      </c>
      <c r="G18" s="310" t="str">
        <f t="shared" si="2"/>
        <v>na</v>
      </c>
    </row>
    <row r="19" spans="1:7">
      <c r="A19" s="57">
        <f t="shared" si="4"/>
        <v>1994</v>
      </c>
      <c r="B19" s="328" t="s">
        <v>37</v>
      </c>
      <c r="C19" s="327" t="s">
        <v>37</v>
      </c>
      <c r="D19" s="302" t="s">
        <v>37</v>
      </c>
      <c r="E19" s="310" t="str">
        <f t="shared" si="3"/>
        <v>na</v>
      </c>
      <c r="F19" s="310" t="str">
        <f t="shared" si="1"/>
        <v>na</v>
      </c>
      <c r="G19" s="310" t="str">
        <f t="shared" si="2"/>
        <v>na</v>
      </c>
    </row>
    <row r="20" spans="1:7">
      <c r="A20" s="57">
        <f t="shared" si="4"/>
        <v>1995</v>
      </c>
      <c r="B20" s="328" t="s">
        <v>37</v>
      </c>
      <c r="C20" s="327" t="s">
        <v>37</v>
      </c>
      <c r="D20" s="302" t="s">
        <v>37</v>
      </c>
      <c r="E20" s="310" t="str">
        <f t="shared" si="3"/>
        <v>na</v>
      </c>
      <c r="F20" s="310" t="str">
        <f t="shared" si="1"/>
        <v>na</v>
      </c>
      <c r="G20" s="310" t="str">
        <f t="shared" si="2"/>
        <v>na</v>
      </c>
    </row>
    <row r="21" spans="1:7">
      <c r="A21" s="57">
        <f t="shared" si="4"/>
        <v>1996</v>
      </c>
      <c r="B21" s="328" t="s">
        <v>37</v>
      </c>
      <c r="C21" s="327" t="s">
        <v>37</v>
      </c>
      <c r="D21" s="302" t="s">
        <v>37</v>
      </c>
      <c r="E21" s="310" t="str">
        <f t="shared" si="3"/>
        <v>na</v>
      </c>
      <c r="F21" s="310" t="str">
        <f t="shared" si="1"/>
        <v>na</v>
      </c>
      <c r="G21" s="310" t="str">
        <f t="shared" si="2"/>
        <v>na</v>
      </c>
    </row>
    <row r="22" spans="1:7">
      <c r="A22" s="57">
        <f t="shared" si="4"/>
        <v>1997</v>
      </c>
      <c r="B22" s="328" t="s">
        <v>37</v>
      </c>
      <c r="C22" s="327" t="s">
        <v>37</v>
      </c>
      <c r="D22" s="302" t="s">
        <v>37</v>
      </c>
      <c r="E22" s="310" t="str">
        <f t="shared" si="3"/>
        <v>na</v>
      </c>
      <c r="F22" s="310" t="str">
        <f t="shared" si="1"/>
        <v>na</v>
      </c>
      <c r="G22" s="310" t="str">
        <f t="shared" si="2"/>
        <v>na</v>
      </c>
    </row>
    <row r="23" spans="1:7">
      <c r="A23" s="57">
        <f t="shared" si="4"/>
        <v>1998</v>
      </c>
      <c r="B23" s="328" t="s">
        <v>37</v>
      </c>
      <c r="C23" s="327" t="s">
        <v>37</v>
      </c>
      <c r="D23" s="302" t="s">
        <v>37</v>
      </c>
      <c r="E23" s="310" t="str">
        <f t="shared" si="3"/>
        <v>na</v>
      </c>
      <c r="F23" s="310" t="str">
        <f t="shared" si="1"/>
        <v>na</v>
      </c>
      <c r="G23" s="310" t="str">
        <f t="shared" si="2"/>
        <v>na</v>
      </c>
    </row>
    <row r="24" spans="1:7">
      <c r="A24" s="57">
        <f t="shared" si="4"/>
        <v>1999</v>
      </c>
      <c r="B24" s="328" t="s">
        <v>37</v>
      </c>
      <c r="C24" s="327" t="s">
        <v>37</v>
      </c>
      <c r="D24" s="302" t="s">
        <v>37</v>
      </c>
      <c r="E24" s="310" t="str">
        <f t="shared" si="3"/>
        <v>na</v>
      </c>
      <c r="F24" s="310" t="str">
        <f t="shared" si="1"/>
        <v>na</v>
      </c>
      <c r="G24" s="310" t="str">
        <f t="shared" si="2"/>
        <v>na</v>
      </c>
    </row>
    <row r="25" spans="1:7">
      <c r="A25" s="57">
        <f t="shared" si="4"/>
        <v>2000</v>
      </c>
      <c r="B25" s="328" t="s">
        <v>37</v>
      </c>
      <c r="C25" s="327" t="s">
        <v>37</v>
      </c>
      <c r="D25" s="302" t="s">
        <v>37</v>
      </c>
      <c r="E25" s="310" t="str">
        <f t="shared" si="3"/>
        <v>na</v>
      </c>
      <c r="F25" s="310" t="str">
        <f t="shared" si="1"/>
        <v>na</v>
      </c>
      <c r="G25" s="310" t="str">
        <f t="shared" si="2"/>
        <v>na</v>
      </c>
    </row>
    <row r="26" spans="1:7">
      <c r="A26" s="57">
        <f t="shared" si="4"/>
        <v>2001</v>
      </c>
      <c r="B26" s="328" t="s">
        <v>37</v>
      </c>
      <c r="C26" s="327" t="s">
        <v>37</v>
      </c>
      <c r="D26" s="302" t="s">
        <v>37</v>
      </c>
      <c r="E26" s="310" t="str">
        <f t="shared" si="3"/>
        <v>na</v>
      </c>
      <c r="F26" s="310" t="str">
        <f t="shared" si="1"/>
        <v>na</v>
      </c>
      <c r="G26" s="310" t="str">
        <f t="shared" si="2"/>
        <v>na</v>
      </c>
    </row>
    <row r="27" spans="1:7">
      <c r="A27" s="57">
        <f t="shared" si="4"/>
        <v>2002</v>
      </c>
      <c r="B27" s="328" t="s">
        <v>37</v>
      </c>
      <c r="C27" s="327" t="s">
        <v>37</v>
      </c>
      <c r="D27" s="302" t="s">
        <v>37</v>
      </c>
      <c r="E27" s="310" t="str">
        <f t="shared" si="3"/>
        <v>na</v>
      </c>
      <c r="F27" s="310" t="str">
        <f t="shared" si="1"/>
        <v>na</v>
      </c>
      <c r="G27" s="310" t="str">
        <f t="shared" si="2"/>
        <v>na</v>
      </c>
    </row>
    <row r="28" spans="1:7">
      <c r="A28" s="57">
        <f t="shared" si="4"/>
        <v>2003</v>
      </c>
      <c r="B28" s="328" t="s">
        <v>37</v>
      </c>
      <c r="C28" s="327" t="s">
        <v>37</v>
      </c>
      <c r="D28" s="302" t="s">
        <v>37</v>
      </c>
      <c r="E28" s="310" t="str">
        <f t="shared" si="3"/>
        <v>na</v>
      </c>
      <c r="F28" s="310" t="str">
        <f t="shared" si="1"/>
        <v>na</v>
      </c>
      <c r="G28" s="310" t="str">
        <f t="shared" si="2"/>
        <v>na</v>
      </c>
    </row>
    <row r="29" spans="1:7">
      <c r="A29" s="57">
        <f t="shared" si="4"/>
        <v>2004</v>
      </c>
      <c r="B29" s="328" t="s">
        <v>37</v>
      </c>
      <c r="C29" s="327" t="s">
        <v>37</v>
      </c>
      <c r="D29" s="302" t="s">
        <v>37</v>
      </c>
      <c r="E29" s="310" t="str">
        <f t="shared" si="3"/>
        <v>na</v>
      </c>
      <c r="F29" s="310" t="str">
        <f t="shared" si="1"/>
        <v>na</v>
      </c>
      <c r="G29" s="310" t="str">
        <f t="shared" si="2"/>
        <v>na</v>
      </c>
    </row>
    <row r="30" spans="1:7">
      <c r="A30" s="57">
        <f t="shared" si="4"/>
        <v>2005</v>
      </c>
      <c r="B30" s="328" t="s">
        <v>37</v>
      </c>
      <c r="C30" s="327" t="s">
        <v>37</v>
      </c>
      <c r="D30" s="302" t="s">
        <v>37</v>
      </c>
      <c r="E30" s="310" t="str">
        <f t="shared" si="3"/>
        <v>na</v>
      </c>
      <c r="F30" s="310" t="str">
        <f t="shared" si="1"/>
        <v>na</v>
      </c>
      <c r="G30" s="310" t="str">
        <f t="shared" si="2"/>
        <v>na</v>
      </c>
    </row>
    <row r="31" spans="1:7">
      <c r="A31" s="57">
        <f t="shared" si="4"/>
        <v>2006</v>
      </c>
      <c r="B31" s="328" t="s">
        <v>37</v>
      </c>
      <c r="C31" s="327" t="s">
        <v>37</v>
      </c>
      <c r="D31" s="302" t="s">
        <v>37</v>
      </c>
      <c r="E31" s="310" t="str">
        <f t="shared" si="3"/>
        <v>na</v>
      </c>
      <c r="F31" s="310" t="str">
        <f t="shared" si="1"/>
        <v>na</v>
      </c>
      <c r="G31" s="310" t="str">
        <f t="shared" si="2"/>
        <v>na</v>
      </c>
    </row>
    <row r="32" spans="1:7">
      <c r="A32" s="57">
        <f t="shared" si="4"/>
        <v>2007</v>
      </c>
      <c r="B32" s="329">
        <v>886652</v>
      </c>
      <c r="C32" s="327" t="s">
        <v>37</v>
      </c>
      <c r="D32" s="303">
        <v>207506364</v>
      </c>
      <c r="E32" s="310">
        <f t="shared" si="3"/>
        <v>0.42728906377059356</v>
      </c>
      <c r="F32" s="310" t="str">
        <f t="shared" si="1"/>
        <v>na</v>
      </c>
      <c r="G32" s="318">
        <f t="shared" si="2"/>
        <v>100</v>
      </c>
    </row>
    <row r="33" spans="1:7">
      <c r="A33" s="57">
        <f t="shared" si="4"/>
        <v>2008</v>
      </c>
      <c r="B33" s="329">
        <v>848380</v>
      </c>
      <c r="C33" s="327" t="s">
        <v>37</v>
      </c>
      <c r="D33" s="303">
        <v>204730084</v>
      </c>
      <c r="E33" s="310">
        <f t="shared" si="3"/>
        <v>0.41438951395145229</v>
      </c>
      <c r="F33" s="310" t="str">
        <f t="shared" si="1"/>
        <v>na</v>
      </c>
      <c r="G33" s="318">
        <f t="shared" si="2"/>
        <v>100</v>
      </c>
    </row>
    <row r="34" spans="1:7">
      <c r="A34" s="57">
        <f t="shared" si="4"/>
        <v>2009</v>
      </c>
      <c r="B34" s="329">
        <v>804076</v>
      </c>
      <c r="C34" s="327" t="s">
        <v>37</v>
      </c>
      <c r="D34" s="303">
        <v>190872552</v>
      </c>
      <c r="E34" s="310">
        <f t="shared" si="3"/>
        <v>0.42126329405392976</v>
      </c>
      <c r="F34" s="310" t="str">
        <f t="shared" si="1"/>
        <v>na</v>
      </c>
      <c r="G34" s="318">
        <f t="shared" si="2"/>
        <v>100</v>
      </c>
    </row>
    <row r="35" spans="1:7">
      <c r="A35" s="58">
        <f t="shared" si="4"/>
        <v>2010</v>
      </c>
      <c r="B35" s="330">
        <v>843284</v>
      </c>
      <c r="C35" s="331" t="s">
        <v>37</v>
      </c>
      <c r="D35" s="304">
        <v>190393268</v>
      </c>
      <c r="E35" s="325">
        <f t="shared" si="3"/>
        <v>0.44291692078104355</v>
      </c>
      <c r="F35" s="325" t="str">
        <f t="shared" si="1"/>
        <v>na</v>
      </c>
      <c r="G35" s="319">
        <f t="shared" si="2"/>
        <v>100</v>
      </c>
    </row>
    <row r="36" spans="1:7">
      <c r="D36" s="305"/>
    </row>
    <row r="38" spans="1:7">
      <c r="A38" s="1" t="s">
        <v>259</v>
      </c>
    </row>
    <row r="39" spans="1:7">
      <c r="A39" s="211" t="s">
        <v>90</v>
      </c>
    </row>
  </sheetData>
  <mergeCells count="2">
    <mergeCell ref="A1:F2"/>
    <mergeCell ref="E4:G4"/>
  </mergeCells>
  <hyperlinks>
    <hyperlink ref="A39" r:id="rId1"/>
  </hyperlinks>
  <pageMargins left="0.7" right="0.7" top="0.75" bottom="0.75" header="0.3" footer="0.3"/>
  <pageSetup scale="99" orientation="portrait" horizontalDpi="0" verticalDpi="0" r:id="rId2"/>
  <legacyDrawing r:id="rId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62"/>
  <dimension ref="A1:M43"/>
  <sheetViews>
    <sheetView zoomScaleNormal="100" workbookViewId="0">
      <selection sqref="A1:H2"/>
    </sheetView>
  </sheetViews>
  <sheetFormatPr defaultRowHeight="15"/>
  <cols>
    <col min="1" max="1" width="11.85546875" customWidth="1"/>
    <col min="2" max="2" width="11.28515625" customWidth="1"/>
    <col min="4" max="4" width="22.5703125" customWidth="1"/>
    <col min="6" max="6" width="11.85546875" customWidth="1"/>
    <col min="8" max="8" width="18.140625" customWidth="1"/>
    <col min="10" max="10" width="12.28515625" customWidth="1"/>
    <col min="12" max="12" width="18.42578125" customWidth="1"/>
  </cols>
  <sheetData>
    <row r="1" spans="1:13">
      <c r="A1" s="387" t="s">
        <v>142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IFERROR('5a'!B6/'5k'!$B6*1000, "na")</f>
        <v>na</v>
      </c>
      <c r="C6" s="214" t="str">
        <f>IFERROR('5a'!C6/'5k'!$B6*1000, "na")</f>
        <v>na</v>
      </c>
      <c r="D6" s="214" t="str">
        <f>IFERROR('5a'!D6/'5k'!$B6*1000, "na")</f>
        <v>na</v>
      </c>
      <c r="E6" s="237" t="str">
        <f>IFERROR('5a'!E6/'5k'!$B6*1000, "na")</f>
        <v>na</v>
      </c>
      <c r="F6" s="236" t="str">
        <f>IFERROR('5a'!F6/'5k'!$C6*1000, "na")</f>
        <v>na</v>
      </c>
      <c r="G6" s="214" t="str">
        <f>IFERROR('5a'!G6/'5k'!$C6*1000, "na")</f>
        <v>na</v>
      </c>
      <c r="H6" s="214" t="str">
        <f>IFERROR('5a'!H6/'5k'!$C6*1000, "na")</f>
        <v>na</v>
      </c>
      <c r="I6" s="237" t="str">
        <f>IFERROR('5a'!I6/'5k'!$C6*1000, "na")</f>
        <v>na</v>
      </c>
      <c r="J6" s="236" t="str">
        <f>IFERROR('5a'!J6/'5k'!$D6*1000, "na")</f>
        <v>na</v>
      </c>
      <c r="K6" s="214" t="str">
        <f>IFERROR('5a'!K6/'5k'!$D6*1000, "na")</f>
        <v>na</v>
      </c>
      <c r="L6" s="214" t="str">
        <f>IFERROR('5a'!L6/'5k'!$D6*1000, "na")</f>
        <v>na</v>
      </c>
      <c r="M6" s="237" t="str">
        <f>IFERROR('5a'!M6/'5k'!$D6*1000, "na")</f>
        <v>na</v>
      </c>
    </row>
    <row r="7" spans="1:13">
      <c r="A7" s="185">
        <v>1982</v>
      </c>
      <c r="B7" s="216" t="str">
        <f>IFERROR('5a'!B7/'5k'!$B7*1000, "na")</f>
        <v>na</v>
      </c>
      <c r="C7" s="143" t="str">
        <f>IFERROR('5a'!C7/'5k'!$B7*1000, "na")</f>
        <v>na</v>
      </c>
      <c r="D7" s="143" t="str">
        <f>IFERROR('5a'!D7/'5k'!$B7*1000, "na")</f>
        <v>na</v>
      </c>
      <c r="E7" s="217" t="str">
        <f>IFERROR('5a'!E7/'5k'!$B7*1000, "na")</f>
        <v>na</v>
      </c>
      <c r="F7" s="216" t="str">
        <f>IFERROR('5a'!F7/'5k'!$C7*1000, "na")</f>
        <v>na</v>
      </c>
      <c r="G7" s="143" t="str">
        <f>IFERROR('5a'!G7/'5k'!$C7*1000, "na")</f>
        <v>na</v>
      </c>
      <c r="H7" s="143" t="str">
        <f>IFERROR('5a'!H7/'5k'!$C7*1000, "na")</f>
        <v>na</v>
      </c>
      <c r="I7" s="217" t="str">
        <f>IFERROR('5a'!I7/'5k'!$C7*1000, "na")</f>
        <v>na</v>
      </c>
      <c r="J7" s="216" t="str">
        <f>IFERROR('5a'!J7/'5k'!$D7*1000, "na")</f>
        <v>na</v>
      </c>
      <c r="K7" s="143" t="str">
        <f>IFERROR('5a'!K7/'5k'!$D7*1000, "na")</f>
        <v>na</v>
      </c>
      <c r="L7" s="143" t="str">
        <f>IFERROR('5a'!L7/'5k'!$D7*1000, "na")</f>
        <v>na</v>
      </c>
      <c r="M7" s="217" t="str">
        <f>IFERROR('5a'!M7/'5k'!$D7*1000, "na")</f>
        <v>na</v>
      </c>
    </row>
    <row r="8" spans="1:13">
      <c r="A8" s="185">
        <v>1983</v>
      </c>
      <c r="B8" s="216" t="str">
        <f>IFERROR('5a'!B8/'5k'!$B8*1000, "na")</f>
        <v>na</v>
      </c>
      <c r="C8" s="143" t="str">
        <f>IFERROR('5a'!C8/'5k'!$B8*1000, "na")</f>
        <v>na</v>
      </c>
      <c r="D8" s="143" t="str">
        <f>IFERROR('5a'!D8/'5k'!$B8*1000, "na")</f>
        <v>na</v>
      </c>
      <c r="E8" s="217" t="str">
        <f>IFERROR('5a'!E8/'5k'!$B8*1000, "na")</f>
        <v>na</v>
      </c>
      <c r="F8" s="216" t="str">
        <f>IFERROR('5a'!F8/'5k'!$C8*1000, "na")</f>
        <v>na</v>
      </c>
      <c r="G8" s="143" t="str">
        <f>IFERROR('5a'!G8/'5k'!$C8*1000, "na")</f>
        <v>na</v>
      </c>
      <c r="H8" s="143" t="str">
        <f>IFERROR('5a'!H8/'5k'!$C8*1000, "na")</f>
        <v>na</v>
      </c>
      <c r="I8" s="217" t="str">
        <f>IFERROR('5a'!I8/'5k'!$C8*1000, "na")</f>
        <v>na</v>
      </c>
      <c r="J8" s="216" t="str">
        <f>IFERROR('5a'!J8/'5k'!$D8*1000, "na")</f>
        <v>na</v>
      </c>
      <c r="K8" s="143" t="str">
        <f>IFERROR('5a'!K8/'5k'!$D8*1000, "na")</f>
        <v>na</v>
      </c>
      <c r="L8" s="143" t="str">
        <f>IFERROR('5a'!L8/'5k'!$D8*1000, "na")</f>
        <v>na</v>
      </c>
      <c r="M8" s="217" t="str">
        <f>IFERROR('5a'!M8/'5k'!$D8*1000, "na")</f>
        <v>na</v>
      </c>
    </row>
    <row r="9" spans="1:13">
      <c r="A9" s="185">
        <v>1984</v>
      </c>
      <c r="B9" s="216" t="str">
        <f>IFERROR('5a'!B9/'5k'!$B9*1000, "na")</f>
        <v>na</v>
      </c>
      <c r="C9" s="143" t="str">
        <f>IFERROR('5a'!C9/'5k'!$B9*1000, "na")</f>
        <v>na</v>
      </c>
      <c r="D9" s="143" t="str">
        <f>IFERROR('5a'!D9/'5k'!$B9*1000, "na")</f>
        <v>na</v>
      </c>
      <c r="E9" s="217" t="str">
        <f>IFERROR('5a'!E9/'5k'!$B9*1000, "na")</f>
        <v>na</v>
      </c>
      <c r="F9" s="216" t="str">
        <f>IFERROR('5a'!F9/'5k'!$C9*1000, "na")</f>
        <v>na</v>
      </c>
      <c r="G9" s="143" t="str">
        <f>IFERROR('5a'!G9/'5k'!$C9*1000, "na")</f>
        <v>na</v>
      </c>
      <c r="H9" s="143" t="str">
        <f>IFERROR('5a'!H9/'5k'!$C9*1000, "na")</f>
        <v>na</v>
      </c>
      <c r="I9" s="217" t="str">
        <f>IFERROR('5a'!I9/'5k'!$C9*1000, "na")</f>
        <v>na</v>
      </c>
      <c r="J9" s="216" t="str">
        <f>IFERROR('5a'!J9/'5k'!$D9*1000, "na")</f>
        <v>na</v>
      </c>
      <c r="K9" s="143" t="str">
        <f>IFERROR('5a'!K9/'5k'!$D9*1000, "na")</f>
        <v>na</v>
      </c>
      <c r="L9" s="143" t="str">
        <f>IFERROR('5a'!L9/'5k'!$D9*1000, "na")</f>
        <v>na</v>
      </c>
      <c r="M9" s="217" t="str">
        <f>IFERROR('5a'!M9/'5k'!$D9*1000, "na")</f>
        <v>na</v>
      </c>
    </row>
    <row r="10" spans="1:13">
      <c r="A10" s="185">
        <v>1985</v>
      </c>
      <c r="B10" s="216" t="str">
        <f>IFERROR('5a'!B10/'5k'!$B10*1000, "na")</f>
        <v>na</v>
      </c>
      <c r="C10" s="143" t="str">
        <f>IFERROR('5a'!C10/'5k'!$B10*1000, "na")</f>
        <v>na</v>
      </c>
      <c r="D10" s="143" t="str">
        <f>IFERROR('5a'!D10/'5k'!$B10*1000, "na")</f>
        <v>na</v>
      </c>
      <c r="E10" s="217" t="str">
        <f>IFERROR('5a'!E10/'5k'!$B10*1000, "na")</f>
        <v>na</v>
      </c>
      <c r="F10" s="216" t="str">
        <f>IFERROR('5a'!F10/'5k'!$C10*1000, "na")</f>
        <v>na</v>
      </c>
      <c r="G10" s="143" t="str">
        <f>IFERROR('5a'!G10/'5k'!$C10*1000, "na")</f>
        <v>na</v>
      </c>
      <c r="H10" s="143" t="str">
        <f>IFERROR('5a'!H10/'5k'!$C10*1000, "na")</f>
        <v>na</v>
      </c>
      <c r="I10" s="217" t="str">
        <f>IFERROR('5a'!I10/'5k'!$C10*1000, "na")</f>
        <v>na</v>
      </c>
      <c r="J10" s="216" t="str">
        <f>IFERROR('5a'!J10/'5k'!$D10*1000, "na")</f>
        <v>na</v>
      </c>
      <c r="K10" s="143" t="str">
        <f>IFERROR('5a'!K10/'5k'!$D10*1000, "na")</f>
        <v>na</v>
      </c>
      <c r="L10" s="143" t="str">
        <f>IFERROR('5a'!L10/'5k'!$D10*1000, "na")</f>
        <v>na</v>
      </c>
      <c r="M10" s="217" t="str">
        <f>IFERROR('5a'!M10/'5k'!$D10*1000, "na")</f>
        <v>na</v>
      </c>
    </row>
    <row r="11" spans="1:13">
      <c r="A11" s="185">
        <v>1986</v>
      </c>
      <c r="B11" s="216" t="str">
        <f>IFERROR('5a'!B11/'5k'!$B11*1000, "na")</f>
        <v>na</v>
      </c>
      <c r="C11" s="143" t="str">
        <f>IFERROR('5a'!C11/'5k'!$B11*1000, "na")</f>
        <v>na</v>
      </c>
      <c r="D11" s="143" t="str">
        <f>IFERROR('5a'!D11/'5k'!$B11*1000, "na")</f>
        <v>na</v>
      </c>
      <c r="E11" s="217" t="str">
        <f>IFERROR('5a'!E11/'5k'!$B11*1000, "na")</f>
        <v>na</v>
      </c>
      <c r="F11" s="216" t="str">
        <f>IFERROR('5a'!F11/'5k'!$C11*1000, "na")</f>
        <v>na</v>
      </c>
      <c r="G11" s="143" t="str">
        <f>IFERROR('5a'!G11/'5k'!$C11*1000, "na")</f>
        <v>na</v>
      </c>
      <c r="H11" s="143" t="str">
        <f>IFERROR('5a'!H11/'5k'!$C11*1000, "na")</f>
        <v>na</v>
      </c>
      <c r="I11" s="217" t="str">
        <f>IFERROR('5a'!I11/'5k'!$C11*1000, "na")</f>
        <v>na</v>
      </c>
      <c r="J11" s="216" t="str">
        <f>IFERROR('5a'!J11/'5k'!$D11*1000, "na")</f>
        <v>na</v>
      </c>
      <c r="K11" s="143" t="str">
        <f>IFERROR('5a'!K11/'5k'!$D11*1000, "na")</f>
        <v>na</v>
      </c>
      <c r="L11" s="143" t="str">
        <f>IFERROR('5a'!L11/'5k'!$D11*1000, "na")</f>
        <v>na</v>
      </c>
      <c r="M11" s="217" t="str">
        <f>IFERROR('5a'!M11/'5k'!$D11*1000, "na")</f>
        <v>na</v>
      </c>
    </row>
    <row r="12" spans="1:13">
      <c r="A12" s="185">
        <v>1987</v>
      </c>
      <c r="B12" s="216" t="str">
        <f>IFERROR('5a'!B12/'5k'!$B12*1000, "na")</f>
        <v>na</v>
      </c>
      <c r="C12" s="143" t="str">
        <f>IFERROR('5a'!C12/'5k'!$B12*1000, "na")</f>
        <v>na</v>
      </c>
      <c r="D12" s="143" t="str">
        <f>IFERROR('5a'!D12/'5k'!$B12*1000, "na")</f>
        <v>na</v>
      </c>
      <c r="E12" s="217" t="str">
        <f>IFERROR('5a'!E12/'5k'!$B12*1000, "na")</f>
        <v>na</v>
      </c>
      <c r="F12" s="216" t="str">
        <f>IFERROR('5a'!F12/'5k'!$C12*1000, "na")</f>
        <v>na</v>
      </c>
      <c r="G12" s="143" t="str">
        <f>IFERROR('5a'!G12/'5k'!$C12*1000, "na")</f>
        <v>na</v>
      </c>
      <c r="H12" s="143" t="str">
        <f>IFERROR('5a'!H12/'5k'!$C12*1000, "na")</f>
        <v>na</v>
      </c>
      <c r="I12" s="217" t="str">
        <f>IFERROR('5a'!I12/'5k'!$C12*1000, "na")</f>
        <v>na</v>
      </c>
      <c r="J12" s="216" t="str">
        <f>IFERROR('5a'!J12/'5k'!$D12*1000, "na")</f>
        <v>na</v>
      </c>
      <c r="K12" s="143" t="str">
        <f>IFERROR('5a'!K12/'5k'!$D12*1000, "na")</f>
        <v>na</v>
      </c>
      <c r="L12" s="143" t="str">
        <f>IFERROR('5a'!L12/'5k'!$D12*1000, "na")</f>
        <v>na</v>
      </c>
      <c r="M12" s="217" t="str">
        <f>IFERROR('5a'!M12/'5k'!$D12*1000, "na")</f>
        <v>na</v>
      </c>
    </row>
    <row r="13" spans="1:13">
      <c r="A13" s="185">
        <v>1988</v>
      </c>
      <c r="B13" s="216" t="str">
        <f>IFERROR('5a'!B13/'5k'!$B13*1000, "na")</f>
        <v>na</v>
      </c>
      <c r="C13" s="143" t="str">
        <f>IFERROR('5a'!C13/'5k'!$B13*1000, "na")</f>
        <v>na</v>
      </c>
      <c r="D13" s="143" t="str">
        <f>IFERROR('5a'!D13/'5k'!$B13*1000, "na")</f>
        <v>na</v>
      </c>
      <c r="E13" s="217" t="str">
        <f>IFERROR('5a'!E13/'5k'!$B13*1000, "na")</f>
        <v>na</v>
      </c>
      <c r="F13" s="216" t="str">
        <f>IFERROR('5a'!F13/'5k'!$C13*1000, "na")</f>
        <v>na</v>
      </c>
      <c r="G13" s="143" t="str">
        <f>IFERROR('5a'!G13/'5k'!$C13*1000, "na")</f>
        <v>na</v>
      </c>
      <c r="H13" s="143" t="str">
        <f>IFERROR('5a'!H13/'5k'!$C13*1000, "na")</f>
        <v>na</v>
      </c>
      <c r="I13" s="217" t="str">
        <f>IFERROR('5a'!I13/'5k'!$C13*1000, "na")</f>
        <v>na</v>
      </c>
      <c r="J13" s="216" t="str">
        <f>IFERROR('5a'!J13/'5k'!$D13*1000, "na")</f>
        <v>na</v>
      </c>
      <c r="K13" s="143" t="str">
        <f>IFERROR('5a'!K13/'5k'!$D13*1000, "na")</f>
        <v>na</v>
      </c>
      <c r="L13" s="143" t="str">
        <f>IFERROR('5a'!L13/'5k'!$D13*1000, "na")</f>
        <v>na</v>
      </c>
      <c r="M13" s="217" t="str">
        <f>IFERROR('5a'!M13/'5k'!$D13*1000, "na")</f>
        <v>na</v>
      </c>
    </row>
    <row r="14" spans="1:13">
      <c r="A14" s="185">
        <v>1989</v>
      </c>
      <c r="B14" s="216" t="str">
        <f>IFERROR('5a'!B14/'5k'!$B14*1000, "na")</f>
        <v>na</v>
      </c>
      <c r="C14" s="143" t="str">
        <f>IFERROR('5a'!C14/'5k'!$B14*1000, "na")</f>
        <v>na</v>
      </c>
      <c r="D14" s="143" t="str">
        <f>IFERROR('5a'!D14/'5k'!$B14*1000, "na")</f>
        <v>na</v>
      </c>
      <c r="E14" s="217" t="str">
        <f>IFERROR('5a'!E14/'5k'!$B14*1000, "na")</f>
        <v>na</v>
      </c>
      <c r="F14" s="216" t="str">
        <f>IFERROR('5a'!F14/'5k'!$C14*1000, "na")</f>
        <v>na</v>
      </c>
      <c r="G14" s="143" t="str">
        <f>IFERROR('5a'!G14/'5k'!$C14*1000, "na")</f>
        <v>na</v>
      </c>
      <c r="H14" s="143" t="str">
        <f>IFERROR('5a'!H14/'5k'!$C14*1000, "na")</f>
        <v>na</v>
      </c>
      <c r="I14" s="217" t="str">
        <f>IFERROR('5a'!I14/'5k'!$C14*1000, "na")</f>
        <v>na</v>
      </c>
      <c r="J14" s="216" t="str">
        <f>IFERROR('5a'!J14/'5k'!$D14*1000, "na")</f>
        <v>na</v>
      </c>
      <c r="K14" s="143" t="str">
        <f>IFERROR('5a'!K14/'5k'!$D14*1000, "na")</f>
        <v>na</v>
      </c>
      <c r="L14" s="143" t="str">
        <f>IFERROR('5a'!L14/'5k'!$D14*1000, "na")</f>
        <v>na</v>
      </c>
      <c r="M14" s="217" t="str">
        <f>IFERROR('5a'!M14/'5k'!$D14*1000, "na")</f>
        <v>na</v>
      </c>
    </row>
    <row r="15" spans="1:13">
      <c r="A15" s="185">
        <v>1990</v>
      </c>
      <c r="B15" s="216" t="str">
        <f>IFERROR('5a'!B15/'5k'!$B15*1000, "na")</f>
        <v>na</v>
      </c>
      <c r="C15" s="143" t="str">
        <f>IFERROR('5a'!C15/'5k'!$B15*1000, "na")</f>
        <v>na</v>
      </c>
      <c r="D15" s="143" t="str">
        <f>IFERROR('5a'!D15/'5k'!$B15*1000, "na")</f>
        <v>na</v>
      </c>
      <c r="E15" s="217" t="str">
        <f>IFERROR('5a'!E15/'5k'!$B15*1000, "na")</f>
        <v>na</v>
      </c>
      <c r="F15" s="216" t="str">
        <f>IFERROR('5a'!F15/'5k'!$C15*1000, "na")</f>
        <v>na</v>
      </c>
      <c r="G15" s="143" t="str">
        <f>IFERROR('5a'!G15/'5k'!$C15*1000, "na")</f>
        <v>na</v>
      </c>
      <c r="H15" s="143" t="str">
        <f>IFERROR('5a'!H15/'5k'!$C15*1000, "na")</f>
        <v>na</v>
      </c>
      <c r="I15" s="217" t="str">
        <f>IFERROR('5a'!I15/'5k'!$C15*1000, "na")</f>
        <v>na</v>
      </c>
      <c r="J15" s="216" t="str">
        <f>IFERROR('5a'!J15/'5k'!$D15*1000, "na")</f>
        <v>na</v>
      </c>
      <c r="K15" s="143" t="str">
        <f>IFERROR('5a'!K15/'5k'!$D15*1000, "na")</f>
        <v>na</v>
      </c>
      <c r="L15" s="143" t="str">
        <f>IFERROR('5a'!L15/'5k'!$D15*1000, "na")</f>
        <v>na</v>
      </c>
      <c r="M15" s="217" t="str">
        <f>IFERROR('5a'!M15/'5k'!$D15*1000, "na")</f>
        <v>na</v>
      </c>
    </row>
    <row r="16" spans="1:13">
      <c r="A16" s="185">
        <v>1991</v>
      </c>
      <c r="B16" s="216" t="str">
        <f>IFERROR('5a'!B16/'5k'!$B16*1000, "na")</f>
        <v>na</v>
      </c>
      <c r="C16" s="143" t="str">
        <f>IFERROR('5a'!C16/'5k'!$B16*1000, "na")</f>
        <v>na</v>
      </c>
      <c r="D16" s="143" t="str">
        <f>IFERROR('5a'!D16/'5k'!$B16*1000, "na")</f>
        <v>na</v>
      </c>
      <c r="E16" s="217" t="str">
        <f>IFERROR('5a'!E16/'5k'!$B16*1000, "na")</f>
        <v>na</v>
      </c>
      <c r="F16" s="216" t="str">
        <f>IFERROR('5a'!F16/'5k'!$C16*1000, "na")</f>
        <v>na</v>
      </c>
      <c r="G16" s="143" t="str">
        <f>IFERROR('5a'!G16/'5k'!$C16*1000, "na")</f>
        <v>na</v>
      </c>
      <c r="H16" s="143" t="str">
        <f>IFERROR('5a'!H16/'5k'!$C16*1000, "na")</f>
        <v>na</v>
      </c>
      <c r="I16" s="217" t="str">
        <f>IFERROR('5a'!I16/'5k'!$C16*1000, "na")</f>
        <v>na</v>
      </c>
      <c r="J16" s="216" t="str">
        <f>IFERROR('5a'!J16/'5k'!$D16*1000, "na")</f>
        <v>na</v>
      </c>
      <c r="K16" s="143" t="str">
        <f>IFERROR('5a'!K16/'5k'!$D16*1000, "na")</f>
        <v>na</v>
      </c>
      <c r="L16" s="143" t="str">
        <f>IFERROR('5a'!L16/'5k'!$D16*1000, "na")</f>
        <v>na</v>
      </c>
      <c r="M16" s="217" t="str">
        <f>IFERROR('5a'!M16/'5k'!$D16*1000, "na")</f>
        <v>na</v>
      </c>
    </row>
    <row r="17" spans="1:13">
      <c r="A17" s="185">
        <v>1992</v>
      </c>
      <c r="B17" s="216" t="str">
        <f>IFERROR('5a'!B17/'5k'!$B17*1000, "na")</f>
        <v>na</v>
      </c>
      <c r="C17" s="143" t="str">
        <f>IFERROR('5a'!C17/'5k'!$B17*1000, "na")</f>
        <v>na</v>
      </c>
      <c r="D17" s="143" t="str">
        <f>IFERROR('5a'!D17/'5k'!$B17*1000, "na")</f>
        <v>na</v>
      </c>
      <c r="E17" s="217" t="str">
        <f>IFERROR('5a'!E17/'5k'!$B17*1000, "na")</f>
        <v>na</v>
      </c>
      <c r="F17" s="216" t="str">
        <f>IFERROR('5a'!F17/'5k'!$C17*1000, "na")</f>
        <v>na</v>
      </c>
      <c r="G17" s="143" t="str">
        <f>IFERROR('5a'!G17/'5k'!$C17*1000, "na")</f>
        <v>na</v>
      </c>
      <c r="H17" s="143" t="str">
        <f>IFERROR('5a'!H17/'5k'!$C17*1000, "na")</f>
        <v>na</v>
      </c>
      <c r="I17" s="217" t="str">
        <f>IFERROR('5a'!I17/'5k'!$C17*1000, "na")</f>
        <v>na</v>
      </c>
      <c r="J17" s="216" t="str">
        <f>IFERROR('5a'!J17/'5k'!$D17*1000, "na")</f>
        <v>na</v>
      </c>
      <c r="K17" s="143" t="str">
        <f>IFERROR('5a'!K17/'5k'!$D17*1000, "na")</f>
        <v>na</v>
      </c>
      <c r="L17" s="143" t="str">
        <f>IFERROR('5a'!L17/'5k'!$D17*1000, "na")</f>
        <v>na</v>
      </c>
      <c r="M17" s="217" t="str">
        <f>IFERROR('5a'!M17/'5k'!$D17*1000, "na")</f>
        <v>na</v>
      </c>
    </row>
    <row r="18" spans="1:13">
      <c r="A18" s="185">
        <v>1993</v>
      </c>
      <c r="B18" s="216" t="str">
        <f>IFERROR('5a'!B18/'5k'!$B18*1000, "na")</f>
        <v>na</v>
      </c>
      <c r="C18" s="143" t="str">
        <f>IFERROR('5a'!C18/'5k'!$B18*1000, "na")</f>
        <v>na</v>
      </c>
      <c r="D18" s="143" t="str">
        <f>IFERROR('5a'!D18/'5k'!$B18*1000, "na")</f>
        <v>na</v>
      </c>
      <c r="E18" s="217" t="str">
        <f>IFERROR('5a'!E18/'5k'!$B18*1000, "na")</f>
        <v>na</v>
      </c>
      <c r="F18" s="216" t="str">
        <f>IFERROR('5a'!F18/'5k'!$C18*1000, "na")</f>
        <v>na</v>
      </c>
      <c r="G18" s="143" t="str">
        <f>IFERROR('5a'!G18/'5k'!$C18*1000, "na")</f>
        <v>na</v>
      </c>
      <c r="H18" s="143" t="str">
        <f>IFERROR('5a'!H18/'5k'!$C18*1000, "na")</f>
        <v>na</v>
      </c>
      <c r="I18" s="217" t="str">
        <f>IFERROR('5a'!I18/'5k'!$C18*1000, "na")</f>
        <v>na</v>
      </c>
      <c r="J18" s="216" t="str">
        <f>IFERROR('5a'!J18/'5k'!$D18*1000, "na")</f>
        <v>na</v>
      </c>
      <c r="K18" s="143" t="str">
        <f>IFERROR('5a'!K18/'5k'!$D18*1000, "na")</f>
        <v>na</v>
      </c>
      <c r="L18" s="143" t="str">
        <f>IFERROR('5a'!L18/'5k'!$D18*1000, "na")</f>
        <v>na</v>
      </c>
      <c r="M18" s="217" t="str">
        <f>IFERROR('5a'!M18/'5k'!$D18*1000, "na")</f>
        <v>na</v>
      </c>
    </row>
    <row r="19" spans="1:13">
      <c r="A19" s="185">
        <v>1994</v>
      </c>
      <c r="B19" s="216" t="str">
        <f>IFERROR('5a'!B19/'5k'!$B19*1000, "na")</f>
        <v>na</v>
      </c>
      <c r="C19" s="143" t="str">
        <f>IFERROR('5a'!C19/'5k'!$B19*1000, "na")</f>
        <v>na</v>
      </c>
      <c r="D19" s="143" t="str">
        <f>IFERROR('5a'!D19/'5k'!$B19*1000, "na")</f>
        <v>na</v>
      </c>
      <c r="E19" s="217" t="str">
        <f>IFERROR('5a'!E19/'5k'!$B19*1000, "na")</f>
        <v>na</v>
      </c>
      <c r="F19" s="216" t="str">
        <f>IFERROR('5a'!F19/'5k'!$C19*1000, "na")</f>
        <v>na</v>
      </c>
      <c r="G19" s="143" t="str">
        <f>IFERROR('5a'!G19/'5k'!$C19*1000, "na")</f>
        <v>na</v>
      </c>
      <c r="H19" s="143" t="str">
        <f>IFERROR('5a'!H19/'5k'!$C19*1000, "na")</f>
        <v>na</v>
      </c>
      <c r="I19" s="217" t="str">
        <f>IFERROR('5a'!I19/'5k'!$C19*1000, "na")</f>
        <v>na</v>
      </c>
      <c r="J19" s="216" t="str">
        <f>IFERROR('5a'!J19/'5k'!$D19*1000, "na")</f>
        <v>na</v>
      </c>
      <c r="K19" s="143" t="str">
        <f>IFERROR('5a'!K19/'5k'!$D19*1000, "na")</f>
        <v>na</v>
      </c>
      <c r="L19" s="143" t="str">
        <f>IFERROR('5a'!L19/'5k'!$D19*1000, "na")</f>
        <v>na</v>
      </c>
      <c r="M19" s="217" t="str">
        <f>IFERROR('5a'!M19/'5k'!$D19*1000, "na")</f>
        <v>na</v>
      </c>
    </row>
    <row r="20" spans="1:13">
      <c r="A20" s="185">
        <v>1995</v>
      </c>
      <c r="B20" s="216" t="str">
        <f>IFERROR('5a'!B20/'5k'!$B20*1000, "na")</f>
        <v>na</v>
      </c>
      <c r="C20" s="143" t="str">
        <f>IFERROR('5a'!C20/'5k'!$B20*1000, "na")</f>
        <v>na</v>
      </c>
      <c r="D20" s="143" t="str">
        <f>IFERROR('5a'!D20/'5k'!$B20*1000, "na")</f>
        <v>na</v>
      </c>
      <c r="E20" s="217" t="str">
        <f>IFERROR('5a'!E20/'5k'!$B20*1000, "na")</f>
        <v>na</v>
      </c>
      <c r="F20" s="216" t="str">
        <f>IFERROR('5a'!F20/'5k'!$C20*1000, "na")</f>
        <v>na</v>
      </c>
      <c r="G20" s="143" t="str">
        <f>IFERROR('5a'!G20/'5k'!$C20*1000, "na")</f>
        <v>na</v>
      </c>
      <c r="H20" s="143" t="str">
        <f>IFERROR('5a'!H20/'5k'!$C20*1000, "na")</f>
        <v>na</v>
      </c>
      <c r="I20" s="217" t="str">
        <f>IFERROR('5a'!I20/'5k'!$C20*1000, "na")</f>
        <v>na</v>
      </c>
      <c r="J20" s="216" t="str">
        <f>IFERROR('5a'!J20/'5k'!$D20*1000, "na")</f>
        <v>na</v>
      </c>
      <c r="K20" s="143" t="str">
        <f>IFERROR('5a'!K20/'5k'!$D20*1000, "na")</f>
        <v>na</v>
      </c>
      <c r="L20" s="143" t="str">
        <f>IFERROR('5a'!L20/'5k'!$D20*1000, "na")</f>
        <v>na</v>
      </c>
      <c r="M20" s="217" t="str">
        <f>IFERROR('5a'!M20/'5k'!$D20*1000, "na")</f>
        <v>na</v>
      </c>
    </row>
    <row r="21" spans="1:13">
      <c r="A21" s="185">
        <v>1996</v>
      </c>
      <c r="B21" s="216" t="str">
        <f>IFERROR('5a'!B21/'5k'!$B21*1000, "na")</f>
        <v>na</v>
      </c>
      <c r="C21" s="143" t="str">
        <f>IFERROR('5a'!C21/'5k'!$B21*1000, "na")</f>
        <v>na</v>
      </c>
      <c r="D21" s="143" t="str">
        <f>IFERROR('5a'!D21/'5k'!$B21*1000, "na")</f>
        <v>na</v>
      </c>
      <c r="E21" s="217" t="str">
        <f>IFERROR('5a'!E21/'5k'!$B21*1000, "na")</f>
        <v>na</v>
      </c>
      <c r="F21" s="216" t="str">
        <f>IFERROR('5a'!F21/'5k'!$C21*1000, "na")</f>
        <v>na</v>
      </c>
      <c r="G21" s="143" t="str">
        <f>IFERROR('5a'!G21/'5k'!$C21*1000, "na")</f>
        <v>na</v>
      </c>
      <c r="H21" s="143" t="str">
        <f>IFERROR('5a'!H21/'5k'!$C21*1000, "na")</f>
        <v>na</v>
      </c>
      <c r="I21" s="217" t="str">
        <f>IFERROR('5a'!I21/'5k'!$C21*1000, "na")</f>
        <v>na</v>
      </c>
      <c r="J21" s="216" t="str">
        <f>IFERROR('5a'!J21/'5k'!$D21*1000, "na")</f>
        <v>na</v>
      </c>
      <c r="K21" s="143" t="str">
        <f>IFERROR('5a'!K21/'5k'!$D21*1000, "na")</f>
        <v>na</v>
      </c>
      <c r="L21" s="143" t="str">
        <f>IFERROR('5a'!L21/'5k'!$D21*1000, "na")</f>
        <v>na</v>
      </c>
      <c r="M21" s="217" t="str">
        <f>IFERROR('5a'!M21/'5k'!$D21*1000, "na")</f>
        <v>na</v>
      </c>
    </row>
    <row r="22" spans="1:13">
      <c r="A22" s="185">
        <v>1997</v>
      </c>
      <c r="B22" s="216" t="str">
        <f>IFERROR('5a'!B22/'5k'!$B22*1000, "na")</f>
        <v>na</v>
      </c>
      <c r="C22" s="143" t="str">
        <f>IFERROR('5a'!C22/'5k'!$B22*1000, "na")</f>
        <v>na</v>
      </c>
      <c r="D22" s="143" t="str">
        <f>IFERROR('5a'!D22/'5k'!$B22*1000, "na")</f>
        <v>na</v>
      </c>
      <c r="E22" s="217" t="str">
        <f>IFERROR('5a'!E22/'5k'!$B22*1000, "na")</f>
        <v>na</v>
      </c>
      <c r="F22" s="216" t="str">
        <f>IFERROR('5a'!F22/'5k'!$C22*1000, "na")</f>
        <v>na</v>
      </c>
      <c r="G22" s="143" t="str">
        <f>IFERROR('5a'!G22/'5k'!$C22*1000, "na")</f>
        <v>na</v>
      </c>
      <c r="H22" s="143" t="str">
        <f>IFERROR('5a'!H22/'5k'!$C22*1000, "na")</f>
        <v>na</v>
      </c>
      <c r="I22" s="217" t="str">
        <f>IFERROR('5a'!I22/'5k'!$C22*1000, "na")</f>
        <v>na</v>
      </c>
      <c r="J22" s="216" t="str">
        <f>IFERROR('5a'!J22/'5k'!$D22*1000, "na")</f>
        <v>na</v>
      </c>
      <c r="K22" s="143" t="str">
        <f>IFERROR('5a'!K22/'5k'!$D22*1000, "na")</f>
        <v>na</v>
      </c>
      <c r="L22" s="143" t="str">
        <f>IFERROR('5a'!L22/'5k'!$D22*1000, "na")</f>
        <v>na</v>
      </c>
      <c r="M22" s="217" t="str">
        <f>IFERROR('5a'!M22/'5k'!$D22*1000, "na")</f>
        <v>na</v>
      </c>
    </row>
    <row r="23" spans="1:13">
      <c r="A23" s="185">
        <v>1998</v>
      </c>
      <c r="B23" s="216" t="str">
        <f>IFERROR('5a'!B23/'5k'!$B23*1000, "na")</f>
        <v>na</v>
      </c>
      <c r="C23" s="143" t="str">
        <f>IFERROR('5a'!C23/'5k'!$B23*1000, "na")</f>
        <v>na</v>
      </c>
      <c r="D23" s="143" t="str">
        <f>IFERROR('5a'!D23/'5k'!$B23*1000, "na")</f>
        <v>na</v>
      </c>
      <c r="E23" s="217" t="str">
        <f>IFERROR('5a'!E23/'5k'!$B23*1000, "na")</f>
        <v>na</v>
      </c>
      <c r="F23" s="216" t="str">
        <f>IFERROR('5a'!F23/'5k'!$C23*1000, "na")</f>
        <v>na</v>
      </c>
      <c r="G23" s="143" t="str">
        <f>IFERROR('5a'!G23/'5k'!$C23*1000, "na")</f>
        <v>na</v>
      </c>
      <c r="H23" s="143" t="str">
        <f>IFERROR('5a'!H23/'5k'!$C23*1000, "na")</f>
        <v>na</v>
      </c>
      <c r="I23" s="217" t="str">
        <f>IFERROR('5a'!I23/'5k'!$C23*1000, "na")</f>
        <v>na</v>
      </c>
      <c r="J23" s="216" t="str">
        <f>IFERROR('5a'!J23/'5k'!$D23*1000, "na")</f>
        <v>na</v>
      </c>
      <c r="K23" s="143" t="str">
        <f>IFERROR('5a'!K23/'5k'!$D23*1000, "na")</f>
        <v>na</v>
      </c>
      <c r="L23" s="143" t="str">
        <f>IFERROR('5a'!L23/'5k'!$D23*1000, "na")</f>
        <v>na</v>
      </c>
      <c r="M23" s="217" t="str">
        <f>IFERROR('5a'!M23/'5k'!$D23*1000, "na")</f>
        <v>na</v>
      </c>
    </row>
    <row r="24" spans="1:13">
      <c r="A24" s="185">
        <v>1999</v>
      </c>
      <c r="B24" s="216" t="str">
        <f>IFERROR('5a'!B24/'5k'!$B24*1000, "na")</f>
        <v>na</v>
      </c>
      <c r="C24" s="143" t="str">
        <f>IFERROR('5a'!C24/'5k'!$B24*1000, "na")</f>
        <v>na</v>
      </c>
      <c r="D24" s="143" t="str">
        <f>IFERROR('5a'!D24/'5k'!$B24*1000, "na")</f>
        <v>na</v>
      </c>
      <c r="E24" s="217" t="str">
        <f>IFERROR('5a'!E24/'5k'!$B24*1000, "na")</f>
        <v>na</v>
      </c>
      <c r="F24" s="216" t="str">
        <f>IFERROR('5a'!F24/'5k'!$C24*1000, "na")</f>
        <v>na</v>
      </c>
      <c r="G24" s="143" t="str">
        <f>IFERROR('5a'!G24/'5k'!$C24*1000, "na")</f>
        <v>na</v>
      </c>
      <c r="H24" s="143" t="str">
        <f>IFERROR('5a'!H24/'5k'!$C24*1000, "na")</f>
        <v>na</v>
      </c>
      <c r="I24" s="217" t="str">
        <f>IFERROR('5a'!I24/'5k'!$C24*1000, "na")</f>
        <v>na</v>
      </c>
      <c r="J24" s="216" t="str">
        <f>IFERROR('5a'!J24/'5k'!$D24*1000, "na")</f>
        <v>na</v>
      </c>
      <c r="K24" s="143" t="str">
        <f>IFERROR('5a'!K24/'5k'!$D24*1000, "na")</f>
        <v>na</v>
      </c>
      <c r="L24" s="143" t="str">
        <f>IFERROR('5a'!L24/'5k'!$D24*1000, "na")</f>
        <v>na</v>
      </c>
      <c r="M24" s="217" t="str">
        <f>IFERROR('5a'!M24/'5k'!$D24*1000, "na")</f>
        <v>na</v>
      </c>
    </row>
    <row r="25" spans="1:13">
      <c r="A25" s="185">
        <v>2000</v>
      </c>
      <c r="B25" s="216" t="str">
        <f>IFERROR('5a'!B25/'5k'!$B25*1000, "na")</f>
        <v>na</v>
      </c>
      <c r="C25" s="143" t="str">
        <f>IFERROR('5a'!C25/'5k'!$B25*1000, "na")</f>
        <v>na</v>
      </c>
      <c r="D25" s="143" t="str">
        <f>IFERROR('5a'!D25/'5k'!$B25*1000, "na")</f>
        <v>na</v>
      </c>
      <c r="E25" s="217" t="str">
        <f>IFERROR('5a'!E25/'5k'!$B25*1000, "na")</f>
        <v>na</v>
      </c>
      <c r="F25" s="216" t="str">
        <f>IFERROR('5a'!F25/'5k'!$C25*1000, "na")</f>
        <v>na</v>
      </c>
      <c r="G25" s="143" t="str">
        <f>IFERROR('5a'!G25/'5k'!$C25*1000, "na")</f>
        <v>na</v>
      </c>
      <c r="H25" s="143" t="str">
        <f>IFERROR('5a'!H25/'5k'!$C25*1000, "na")</f>
        <v>na</v>
      </c>
      <c r="I25" s="217" t="str">
        <f>IFERROR('5a'!I25/'5k'!$C25*1000, "na")</f>
        <v>na</v>
      </c>
      <c r="J25" s="216" t="str">
        <f>IFERROR('5a'!J25/'5k'!$D25*1000, "na")</f>
        <v>na</v>
      </c>
      <c r="K25" s="143" t="str">
        <f>IFERROR('5a'!K25/'5k'!$D25*1000, "na")</f>
        <v>na</v>
      </c>
      <c r="L25" s="143" t="str">
        <f>IFERROR('5a'!L25/'5k'!$D25*1000, "na")</f>
        <v>na</v>
      </c>
      <c r="M25" s="217" t="str">
        <f>IFERROR('5a'!M25/'5k'!$D25*1000, "na")</f>
        <v>na</v>
      </c>
    </row>
    <row r="26" spans="1:13">
      <c r="A26" s="185">
        <v>2001</v>
      </c>
      <c r="B26" s="216" t="str">
        <f>IFERROR('5a'!B26/'5k'!$B26*1000, "na")</f>
        <v>na</v>
      </c>
      <c r="C26" s="143" t="str">
        <f>IFERROR('5a'!C26/'5k'!$B26*1000, "na")</f>
        <v>na</v>
      </c>
      <c r="D26" s="143" t="str">
        <f>IFERROR('5a'!D26/'5k'!$B26*1000, "na")</f>
        <v>na</v>
      </c>
      <c r="E26" s="217" t="str">
        <f>IFERROR('5a'!E26/'5k'!$B26*1000, "na")</f>
        <v>na</v>
      </c>
      <c r="F26" s="216" t="str">
        <f>IFERROR('5a'!F26/'5k'!$C26*1000, "na")</f>
        <v>na</v>
      </c>
      <c r="G26" s="143" t="str">
        <f>IFERROR('5a'!G26/'5k'!$C26*1000, "na")</f>
        <v>na</v>
      </c>
      <c r="H26" s="143" t="str">
        <f>IFERROR('5a'!H26/'5k'!$C26*1000, "na")</f>
        <v>na</v>
      </c>
      <c r="I26" s="217" t="str">
        <f>IFERROR('5a'!I26/'5k'!$C26*1000, "na")</f>
        <v>na</v>
      </c>
      <c r="J26" s="216" t="str">
        <f>IFERROR('5a'!J26/'5k'!$D26*1000, "na")</f>
        <v>na</v>
      </c>
      <c r="K26" s="143" t="str">
        <f>IFERROR('5a'!K26/'5k'!$D26*1000, "na")</f>
        <v>na</v>
      </c>
      <c r="L26" s="143" t="str">
        <f>IFERROR('5a'!L26/'5k'!$D26*1000, "na")</f>
        <v>na</v>
      </c>
      <c r="M26" s="217" t="str">
        <f>IFERROR('5a'!M26/'5k'!$D26*1000, "na")</f>
        <v>na</v>
      </c>
    </row>
    <row r="27" spans="1:13">
      <c r="A27" s="185">
        <v>2002</v>
      </c>
      <c r="B27" s="216" t="str">
        <f>IFERROR('5a'!B27/'5k'!$B27*1000, "na")</f>
        <v>na</v>
      </c>
      <c r="C27" s="143" t="str">
        <f>IFERROR('5a'!C27/'5k'!$B27*1000, "na")</f>
        <v>na</v>
      </c>
      <c r="D27" s="143" t="str">
        <f>IFERROR('5a'!D27/'5k'!$B27*1000, "na")</f>
        <v>na</v>
      </c>
      <c r="E27" s="217" t="str">
        <f>IFERROR('5a'!E27/'5k'!$B27*1000, "na")</f>
        <v>na</v>
      </c>
      <c r="F27" s="216" t="str">
        <f>IFERROR('5a'!F27/'5k'!$C27*1000, "na")</f>
        <v>na</v>
      </c>
      <c r="G27" s="143" t="str">
        <f>IFERROR('5a'!G27/'5k'!$C27*1000, "na")</f>
        <v>na</v>
      </c>
      <c r="H27" s="143" t="str">
        <f>IFERROR('5a'!H27/'5k'!$C27*1000, "na")</f>
        <v>na</v>
      </c>
      <c r="I27" s="217" t="str">
        <f>IFERROR('5a'!I27/'5k'!$C27*1000, "na")</f>
        <v>na</v>
      </c>
      <c r="J27" s="216" t="str">
        <f>IFERROR('5a'!J27/'5k'!$D27*1000, "na")</f>
        <v>na</v>
      </c>
      <c r="K27" s="143" t="str">
        <f>IFERROR('5a'!K27/'5k'!$D27*1000, "na")</f>
        <v>na</v>
      </c>
      <c r="L27" s="143" t="str">
        <f>IFERROR('5a'!L27/'5k'!$D27*1000, "na")</f>
        <v>na</v>
      </c>
      <c r="M27" s="217" t="str">
        <f>IFERROR('5a'!M27/'5k'!$D27*1000, "na")</f>
        <v>na</v>
      </c>
    </row>
    <row r="28" spans="1:13">
      <c r="A28" s="185">
        <v>2003</v>
      </c>
      <c r="B28" s="216" t="str">
        <f>IFERROR('5a'!B28/'5k'!$B28*1000, "na")</f>
        <v>na</v>
      </c>
      <c r="C28" s="143" t="str">
        <f>IFERROR('5a'!C28/'5k'!$B28*1000, "na")</f>
        <v>na</v>
      </c>
      <c r="D28" s="143" t="str">
        <f>IFERROR('5a'!D28/'5k'!$B28*1000, "na")</f>
        <v>na</v>
      </c>
      <c r="E28" s="217" t="str">
        <f>IFERROR('5a'!E28/'5k'!$B28*1000, "na")</f>
        <v>na</v>
      </c>
      <c r="F28" s="216" t="str">
        <f>IFERROR('5a'!F28/'5k'!$C28*1000, "na")</f>
        <v>na</v>
      </c>
      <c r="G28" s="143" t="str">
        <f>IFERROR('5a'!G28/'5k'!$C28*1000, "na")</f>
        <v>na</v>
      </c>
      <c r="H28" s="143" t="str">
        <f>IFERROR('5a'!H28/'5k'!$C28*1000, "na")</f>
        <v>na</v>
      </c>
      <c r="I28" s="217" t="str">
        <f>IFERROR('5a'!I28/'5k'!$C28*1000, "na")</f>
        <v>na</v>
      </c>
      <c r="J28" s="216" t="str">
        <f>IFERROR('5a'!J28/'5k'!$D28*1000, "na")</f>
        <v>na</v>
      </c>
      <c r="K28" s="143" t="str">
        <f>IFERROR('5a'!K28/'5k'!$D28*1000, "na")</f>
        <v>na</v>
      </c>
      <c r="L28" s="143" t="str">
        <f>IFERROR('5a'!L28/'5k'!$D28*1000, "na")</f>
        <v>na</v>
      </c>
      <c r="M28" s="217" t="str">
        <f>IFERROR('5a'!M28/'5k'!$D28*1000, "na")</f>
        <v>na</v>
      </c>
    </row>
    <row r="29" spans="1:13">
      <c r="A29" s="185">
        <v>2004</v>
      </c>
      <c r="B29" s="216" t="str">
        <f>IFERROR('5a'!B29/'5k'!$B29*1000, "na")</f>
        <v>na</v>
      </c>
      <c r="C29" s="143" t="str">
        <f>IFERROR('5a'!C29/'5k'!$B29*1000, "na")</f>
        <v>na</v>
      </c>
      <c r="D29" s="143" t="str">
        <f>IFERROR('5a'!D29/'5k'!$B29*1000, "na")</f>
        <v>na</v>
      </c>
      <c r="E29" s="217" t="str">
        <f>IFERROR('5a'!E29/'5k'!$B29*1000, "na")</f>
        <v>na</v>
      </c>
      <c r="F29" s="216" t="str">
        <f>IFERROR('5a'!F29/'5k'!$C29*1000, "na")</f>
        <v>na</v>
      </c>
      <c r="G29" s="143" t="str">
        <f>IFERROR('5a'!G29/'5k'!$C29*1000, "na")</f>
        <v>na</v>
      </c>
      <c r="H29" s="143" t="str">
        <f>IFERROR('5a'!H29/'5k'!$C29*1000, "na")</f>
        <v>na</v>
      </c>
      <c r="I29" s="217" t="str">
        <f>IFERROR('5a'!I29/'5k'!$C29*1000, "na")</f>
        <v>na</v>
      </c>
      <c r="J29" s="216" t="str">
        <f>IFERROR('5a'!J29/'5k'!$D29*1000, "na")</f>
        <v>na</v>
      </c>
      <c r="K29" s="143" t="str">
        <f>IFERROR('5a'!K29/'5k'!$D29*1000, "na")</f>
        <v>na</v>
      </c>
      <c r="L29" s="143" t="str">
        <f>IFERROR('5a'!L29/'5k'!$D29*1000, "na")</f>
        <v>na</v>
      </c>
      <c r="M29" s="217" t="str">
        <f>IFERROR('5a'!M29/'5k'!$D29*1000, "na")</f>
        <v>na</v>
      </c>
    </row>
    <row r="30" spans="1:13">
      <c r="A30" s="185">
        <v>2005</v>
      </c>
      <c r="B30" s="216" t="str">
        <f>IFERROR('5a'!B30/'5k'!$B30*1000, "na")</f>
        <v>na</v>
      </c>
      <c r="C30" s="143" t="str">
        <f>IFERROR('5a'!C30/'5k'!$B30*1000, "na")</f>
        <v>na</v>
      </c>
      <c r="D30" s="143" t="str">
        <f>IFERROR('5a'!D30/'5k'!$B30*1000, "na")</f>
        <v>na</v>
      </c>
      <c r="E30" s="217" t="str">
        <f>IFERROR('5a'!E30/'5k'!$B30*1000, "na")</f>
        <v>na</v>
      </c>
      <c r="F30" s="216" t="str">
        <f>IFERROR('5a'!F30/'5k'!$C30*1000, "na")</f>
        <v>na</v>
      </c>
      <c r="G30" s="143" t="str">
        <f>IFERROR('5a'!G30/'5k'!$C30*1000, "na")</f>
        <v>na</v>
      </c>
      <c r="H30" s="143" t="str">
        <f>IFERROR('5a'!H30/'5k'!$C30*1000, "na")</f>
        <v>na</v>
      </c>
      <c r="I30" s="217" t="str">
        <f>IFERROR('5a'!I30/'5k'!$C30*1000, "na")</f>
        <v>na</v>
      </c>
      <c r="J30" s="216" t="str">
        <f>IFERROR('5a'!J30/'5k'!$D30*1000, "na")</f>
        <v>na</v>
      </c>
      <c r="K30" s="143" t="str">
        <f>IFERROR('5a'!K30/'5k'!$D30*1000, "na")</f>
        <v>na</v>
      </c>
      <c r="L30" s="143" t="str">
        <f>IFERROR('5a'!L30/'5k'!$D30*1000, "na")</f>
        <v>na</v>
      </c>
      <c r="M30" s="217" t="str">
        <f>IFERROR('5a'!M30/'5k'!$D30*1000, "na")</f>
        <v>na</v>
      </c>
    </row>
    <row r="31" spans="1:13">
      <c r="A31" s="185">
        <v>2006</v>
      </c>
      <c r="B31" s="216" t="str">
        <f>IFERROR('5a'!B31/'5k'!$B31*1000, "na")</f>
        <v>na</v>
      </c>
      <c r="C31" s="143" t="str">
        <f>IFERROR('5a'!C31/'5k'!$B31*1000, "na")</f>
        <v>na</v>
      </c>
      <c r="D31" s="143" t="str">
        <f>IFERROR('5a'!D31/'5k'!$B31*1000, "na")</f>
        <v>na</v>
      </c>
      <c r="E31" s="217" t="str">
        <f>IFERROR('5a'!E31/'5k'!$B31*1000, "na")</f>
        <v>na</v>
      </c>
      <c r="F31" s="216" t="str">
        <f>IFERROR('5a'!F31/'5k'!$C31*1000, "na")</f>
        <v>na</v>
      </c>
      <c r="G31" s="143" t="str">
        <f>IFERROR('5a'!G31/'5k'!$C31*1000, "na")</f>
        <v>na</v>
      </c>
      <c r="H31" s="143" t="str">
        <f>IFERROR('5a'!H31/'5k'!$C31*1000, "na")</f>
        <v>na</v>
      </c>
      <c r="I31" s="217" t="str">
        <f>IFERROR('5a'!I31/'5k'!$C31*1000, "na")</f>
        <v>na</v>
      </c>
      <c r="J31" s="216" t="str">
        <f>IFERROR('5a'!J31/'5k'!$D31*1000, "na")</f>
        <v>na</v>
      </c>
      <c r="K31" s="143" t="str">
        <f>IFERROR('5a'!K31/'5k'!$D31*1000, "na")</f>
        <v>na</v>
      </c>
      <c r="L31" s="143" t="str">
        <f>IFERROR('5a'!L31/'5k'!$D31*1000, "na")</f>
        <v>na</v>
      </c>
      <c r="M31" s="217" t="str">
        <f>IFERROR('5a'!M31/'5k'!$D31*1000, "na")</f>
        <v>na</v>
      </c>
    </row>
    <row r="32" spans="1:13">
      <c r="A32" s="185">
        <v>2007</v>
      </c>
      <c r="B32" s="216">
        <f>IFERROR('5a'!B32/'5k'!$B32*1000, "na")</f>
        <v>0.18496546559416774</v>
      </c>
      <c r="C32" s="143">
        <f>IFERROR('5a'!C32/'5k'!$B32*1000, "na")</f>
        <v>0.4635415021902618</v>
      </c>
      <c r="D32" s="143">
        <f>IFERROR('5a'!D32/'5k'!$B32*1000, "na")</f>
        <v>1.4571669606564921</v>
      </c>
      <c r="E32" s="217">
        <f>IFERROR('5a'!E32/'5k'!$B32*1000, "na")</f>
        <v>2.1056739284409214</v>
      </c>
      <c r="F32" s="216" t="str">
        <f>IFERROR('5a'!F32/'5k'!$C32*1000, "na")</f>
        <v>na</v>
      </c>
      <c r="G32" s="143" t="str">
        <f>IFERROR('5a'!G32/'5k'!$C32*1000, "na")</f>
        <v>na</v>
      </c>
      <c r="H32" s="143" t="str">
        <f>IFERROR('5a'!H32/'5k'!$C32*1000, "na")</f>
        <v>na</v>
      </c>
      <c r="I32" s="217" t="str">
        <f>IFERROR('5a'!I32/'5k'!$C32*1000, "na")</f>
        <v>na</v>
      </c>
      <c r="J32" s="216">
        <f>IFERROR('5a'!J32/'5k'!$D32*1000, "na")</f>
        <v>0.40721642638391564</v>
      </c>
      <c r="K32" s="143">
        <f>IFERROR('5a'!K32/'5k'!$D32*1000, "na")</f>
        <v>1.1806866800480393</v>
      </c>
      <c r="L32" s="143">
        <f>IFERROR('5a'!L32/'5k'!$D32*1000, "na")</f>
        <v>0.47902145304806165</v>
      </c>
      <c r="M32" s="217">
        <f>IFERROR('5a'!M32/'5k'!$D32*1000, "na")</f>
        <v>2.0669245594800167</v>
      </c>
    </row>
    <row r="33" spans="1:13">
      <c r="A33" s="185">
        <v>2008</v>
      </c>
      <c r="B33" s="216">
        <f>IFERROR('5a'!B33/'5k'!$B33*1000, "na")</f>
        <v>0.20156062141964684</v>
      </c>
      <c r="C33" s="143">
        <f>IFERROR('5a'!C33/'5k'!$B33*1000, "na")</f>
        <v>0.51509936585020866</v>
      </c>
      <c r="D33" s="143">
        <f>IFERROR('5a'!D33/'5k'!$B33*1000, "na")</f>
        <v>1.4062094816002264</v>
      </c>
      <c r="E33" s="217">
        <f>IFERROR('5a'!E33/'5k'!$B33*1000, "na")</f>
        <v>2.122869468870082</v>
      </c>
      <c r="F33" s="216" t="str">
        <f>IFERROR('5a'!F33/'5k'!$C33*1000, "na")</f>
        <v>na</v>
      </c>
      <c r="G33" s="143" t="str">
        <f>IFERROR('5a'!G33/'5k'!$C33*1000, "na")</f>
        <v>na</v>
      </c>
      <c r="H33" s="143" t="str">
        <f>IFERROR('5a'!H33/'5k'!$C33*1000, "na")</f>
        <v>na</v>
      </c>
      <c r="I33" s="217" t="str">
        <f>IFERROR('5a'!I33/'5k'!$C33*1000, "na")</f>
        <v>na</v>
      </c>
      <c r="J33" s="216">
        <f>IFERROR('5a'!J33/'5k'!$D33*1000, "na")</f>
        <v>0.40248115171974436</v>
      </c>
      <c r="K33" s="143">
        <f>IFERROR('5a'!K33/'5k'!$D33*1000, "na")</f>
        <v>1.2562882551252215</v>
      </c>
      <c r="L33" s="143">
        <f>IFERROR('5a'!L33/'5k'!$D33*1000, "na")</f>
        <v>0.43374182369797687</v>
      </c>
      <c r="M33" s="217">
        <f>IFERROR('5a'!M33/'5k'!$D33*1000, "na")</f>
        <v>2.0925112305429425</v>
      </c>
    </row>
    <row r="34" spans="1:13">
      <c r="A34" s="57">
        <f>A33+1</f>
        <v>2009</v>
      </c>
      <c r="B34" s="216">
        <f>IFERROR('5a'!B34/'5k'!$B34*1000, "na")</f>
        <v>0.16665091359523229</v>
      </c>
      <c r="C34" s="143">
        <f>IFERROR('5a'!C34/'5k'!$B34*1000, "na")</f>
        <v>0.45020619941398576</v>
      </c>
      <c r="D34" s="143">
        <f>IFERROR('5a'!D34/'5k'!$B34*1000, "na")</f>
        <v>1.1143225267263293</v>
      </c>
      <c r="E34" s="217">
        <f>IFERROR('5a'!E34/'5k'!$B34*1000, "na")</f>
        <v>1.7311796397355472</v>
      </c>
      <c r="F34" s="216" t="str">
        <f>IFERROR('5a'!F34/'5k'!$C34*1000, "na")</f>
        <v>na</v>
      </c>
      <c r="G34" s="143" t="str">
        <f>IFERROR('5a'!G34/'5k'!$C34*1000, "na")</f>
        <v>na</v>
      </c>
      <c r="H34" s="143" t="str">
        <f>IFERROR('5a'!H34/'5k'!$C34*1000, "na")</f>
        <v>na</v>
      </c>
      <c r="I34" s="217" t="str">
        <f>IFERROR('5a'!I34/'5k'!$C34*1000, "na")</f>
        <v>na</v>
      </c>
      <c r="J34" s="216">
        <f>IFERROR('5a'!J34/'5k'!$D34*1000, "na")</f>
        <v>0.3840258813116304</v>
      </c>
      <c r="K34" s="143">
        <f>IFERROR('5a'!K34/'5k'!$D34*1000, "na")</f>
        <v>1.3265396063861503</v>
      </c>
      <c r="L34" s="143">
        <f>IFERROR('5a'!L34/'5k'!$D34*1000, "na")</f>
        <v>0.40550618299481844</v>
      </c>
      <c r="M34" s="217">
        <f>IFERROR('5a'!M34/'5k'!$D34*1000, "na")</f>
        <v>2.1160716706925995</v>
      </c>
    </row>
    <row r="35" spans="1:13">
      <c r="A35" s="58">
        <f t="shared" ref="A35" si="0">A34+1</f>
        <v>2010</v>
      </c>
      <c r="B35" s="234">
        <f>IFERROR('5a'!B35/'5k'!$B35*1000, "na")</f>
        <v>0.19566361984811761</v>
      </c>
      <c r="C35" s="215">
        <f>IFERROR('5a'!C35/'5k'!$B35*1000, "na")</f>
        <v>0.43757500438760843</v>
      </c>
      <c r="D35" s="215">
        <f>IFERROR('5a'!D35/'5k'!$B35*1000, "na")</f>
        <v>1.1502649166828731</v>
      </c>
      <c r="E35" s="235">
        <f>IFERROR('5a'!E35/'5k'!$B35*1000, "na")</f>
        <v>1.7835035409185993</v>
      </c>
      <c r="F35" s="234" t="str">
        <f>IFERROR('5a'!F35/'5k'!$C35*1000, "na")</f>
        <v>na</v>
      </c>
      <c r="G35" s="215" t="str">
        <f>IFERROR('5a'!G35/'5k'!$C35*1000, "na")</f>
        <v>na</v>
      </c>
      <c r="H35" s="215" t="str">
        <f>IFERROR('5a'!H35/'5k'!$C35*1000, "na")</f>
        <v>na</v>
      </c>
      <c r="I35" s="235" t="str">
        <f>IFERROR('5a'!I35/'5k'!$C35*1000, "na")</f>
        <v>na</v>
      </c>
      <c r="J35" s="234">
        <f>IFERROR('5a'!J35/'5k'!$D35*1000, "na")</f>
        <v>0.47795807570255056</v>
      </c>
      <c r="K35" s="215">
        <f>IFERROR('5a'!K35/'5k'!$D35*1000, "na")</f>
        <v>1.3545647002603052</v>
      </c>
      <c r="L35" s="215">
        <f>IFERROR('5a'!L35/'5k'!$D35*1000, "na")</f>
        <v>0.44014161257004109</v>
      </c>
      <c r="M35" s="235">
        <f>IFERROR('5a'!M35/'5k'!$D35*1000, "na")</f>
        <v>2.2726643885328972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IFERROR((POWER(B$24/B14,1/($A$24-$A$14))-1)*100,"na")</f>
        <v>na</v>
      </c>
      <c r="C39" s="86" t="str">
        <f t="shared" ref="C39:M39" si="2">IFERROR((POWER(C$24/C14,1/($A$24-$A$14))-1)*100,"na")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 t="str">
        <f t="shared" si="3"/>
        <v>na</v>
      </c>
      <c r="K40" s="86" t="str">
        <f t="shared" si="3"/>
        <v>na</v>
      </c>
      <c r="L40" s="86" t="str">
        <f t="shared" si="3"/>
        <v>na</v>
      </c>
      <c r="M40" s="87" t="str">
        <f t="shared" si="3"/>
        <v>na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4" orientation="landscape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63"/>
  <dimension ref="A1:M37"/>
  <sheetViews>
    <sheetView zoomScaleNormal="100" workbookViewId="0">
      <selection activeCell="B15" sqref="B15"/>
    </sheetView>
  </sheetViews>
  <sheetFormatPr defaultRowHeight="15"/>
  <cols>
    <col min="2" max="2" width="12.7109375" bestFit="1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0.28515625" customWidth="1"/>
    <col min="12" max="12" width="19.85546875" customWidth="1"/>
    <col min="13" max="13" width="11.140625" customWidth="1"/>
  </cols>
  <sheetData>
    <row r="1" spans="1:13">
      <c r="A1" s="398" t="s">
        <v>143</v>
      </c>
      <c r="B1" s="398"/>
      <c r="C1" s="398"/>
      <c r="D1" s="398"/>
      <c r="E1" s="398"/>
      <c r="F1" s="398"/>
      <c r="G1" s="398"/>
      <c r="H1" s="398"/>
      <c r="I1" s="1"/>
    </row>
    <row r="2" spans="1:13">
      <c r="A2" s="398"/>
      <c r="B2" s="398"/>
      <c r="C2" s="398"/>
      <c r="D2" s="398"/>
      <c r="E2" s="398"/>
      <c r="F2" s="398"/>
      <c r="G2" s="398"/>
      <c r="H2" s="398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IFERROR('5l'!B6/'5l'!J6*100, "na")</f>
        <v>na</v>
      </c>
      <c r="C6" s="214" t="str">
        <f>IFERROR('5l'!C6/'5l'!K6*100, "na")</f>
        <v>na</v>
      </c>
      <c r="D6" s="214" t="str">
        <f>IFERROR('5l'!D6/'5l'!L6*100, "na")</f>
        <v>na</v>
      </c>
      <c r="E6" s="237" t="str">
        <f>IFERROR('5l'!E6/'5l'!M6*100, "na")</f>
        <v>na</v>
      </c>
      <c r="F6" s="236" t="str">
        <f>IFERROR('5l'!F6/'5l'!N6*100, "na")</f>
        <v>na</v>
      </c>
      <c r="G6" s="214" t="str">
        <f>IFERROR('5l'!G6/'5l'!O6*100, "na")</f>
        <v>na</v>
      </c>
      <c r="H6" s="214" t="str">
        <f>IFERROR('5l'!H6/'5l'!P6*100, "na")</f>
        <v>na</v>
      </c>
      <c r="I6" s="237" t="str">
        <f>IFERROR('5l'!I6/'5l'!Q6*100, "na")</f>
        <v>na</v>
      </c>
      <c r="J6" s="347" t="str">
        <f>IFERROR('5l'!J6/'5l'!J6*100, "na")</f>
        <v>na</v>
      </c>
      <c r="K6" s="348" t="str">
        <f>IFERROR('5l'!K6/'5l'!K6*100, "na")</f>
        <v>na</v>
      </c>
      <c r="L6" s="348" t="str">
        <f>IFERROR('5l'!L6/'5l'!L6*100, "na")</f>
        <v>na</v>
      </c>
      <c r="M6" s="349" t="str">
        <f>IFERROR('5l'!M6/'5l'!M6*100, "na")</f>
        <v>na</v>
      </c>
    </row>
    <row r="7" spans="1:13">
      <c r="A7" s="185">
        <v>1982</v>
      </c>
      <c r="B7" s="216" t="str">
        <f>IFERROR('5l'!B7/'5l'!J7*100, "na")</f>
        <v>na</v>
      </c>
      <c r="C7" s="143" t="str">
        <f>IFERROR('5l'!C7/'5l'!K7*100, "na")</f>
        <v>na</v>
      </c>
      <c r="D7" s="143" t="str">
        <f>IFERROR('5l'!D7/'5l'!L7*100, "na")</f>
        <v>na</v>
      </c>
      <c r="E7" s="217" t="str">
        <f>IFERROR('5l'!E7/'5l'!M7*100, "na")</f>
        <v>na</v>
      </c>
      <c r="F7" s="216" t="str">
        <f>IFERROR('5l'!F7/'5l'!N7*100, "na")</f>
        <v>na</v>
      </c>
      <c r="G7" s="143" t="str">
        <f>IFERROR('5l'!G7/'5l'!O7*100, "na")</f>
        <v>na</v>
      </c>
      <c r="H7" s="143" t="str">
        <f>IFERROR('5l'!H7/'5l'!P7*100, "na")</f>
        <v>na</v>
      </c>
      <c r="I7" s="217" t="str">
        <f>IFERROR('5l'!I7/'5l'!Q7*100, "na")</f>
        <v>na</v>
      </c>
      <c r="J7" s="350" t="str">
        <f>IFERROR('5l'!J7/'5l'!J7*100, "na")</f>
        <v>na</v>
      </c>
      <c r="K7" s="351" t="str">
        <f>IFERROR('5l'!K7/'5l'!K7*100, "na")</f>
        <v>na</v>
      </c>
      <c r="L7" s="351" t="str">
        <f>IFERROR('5l'!L7/'5l'!L7*100, "na")</f>
        <v>na</v>
      </c>
      <c r="M7" s="300" t="str">
        <f>IFERROR('5l'!M7/'5l'!M7*100, "na")</f>
        <v>na</v>
      </c>
    </row>
    <row r="8" spans="1:13">
      <c r="A8" s="185">
        <v>1983</v>
      </c>
      <c r="B8" s="216" t="str">
        <f>IFERROR('5l'!B8/'5l'!J8*100, "na")</f>
        <v>na</v>
      </c>
      <c r="C8" s="143" t="str">
        <f>IFERROR('5l'!C8/'5l'!K8*100, "na")</f>
        <v>na</v>
      </c>
      <c r="D8" s="143" t="str">
        <f>IFERROR('5l'!D8/'5l'!L8*100, "na")</f>
        <v>na</v>
      </c>
      <c r="E8" s="217" t="str">
        <f>IFERROR('5l'!E8/'5l'!M8*100, "na")</f>
        <v>na</v>
      </c>
      <c r="F8" s="216" t="str">
        <f>IFERROR('5l'!F8/'5l'!N8*100, "na")</f>
        <v>na</v>
      </c>
      <c r="G8" s="143" t="str">
        <f>IFERROR('5l'!G8/'5l'!O8*100, "na")</f>
        <v>na</v>
      </c>
      <c r="H8" s="143" t="str">
        <f>IFERROR('5l'!H8/'5l'!P8*100, "na")</f>
        <v>na</v>
      </c>
      <c r="I8" s="217" t="str">
        <f>IFERROR('5l'!I8/'5l'!Q8*100, "na")</f>
        <v>na</v>
      </c>
      <c r="J8" s="350" t="str">
        <f>IFERROR('5l'!J8/'5l'!J8*100, "na")</f>
        <v>na</v>
      </c>
      <c r="K8" s="351" t="str">
        <f>IFERROR('5l'!K8/'5l'!K8*100, "na")</f>
        <v>na</v>
      </c>
      <c r="L8" s="351" t="str">
        <f>IFERROR('5l'!L8/'5l'!L8*100, "na")</f>
        <v>na</v>
      </c>
      <c r="M8" s="300" t="str">
        <f>IFERROR('5l'!M8/'5l'!M8*100, "na")</f>
        <v>na</v>
      </c>
    </row>
    <row r="9" spans="1:13">
      <c r="A9" s="185">
        <v>1984</v>
      </c>
      <c r="B9" s="216" t="str">
        <f>IFERROR('5l'!B9/'5l'!J9*100, "na")</f>
        <v>na</v>
      </c>
      <c r="C9" s="143" t="str">
        <f>IFERROR('5l'!C9/'5l'!K9*100, "na")</f>
        <v>na</v>
      </c>
      <c r="D9" s="143" t="str">
        <f>IFERROR('5l'!D9/'5l'!L9*100, "na")</f>
        <v>na</v>
      </c>
      <c r="E9" s="217" t="str">
        <f>IFERROR('5l'!E9/'5l'!M9*100, "na")</f>
        <v>na</v>
      </c>
      <c r="F9" s="216" t="str">
        <f>IFERROR('5l'!F9/'5l'!N9*100, "na")</f>
        <v>na</v>
      </c>
      <c r="G9" s="143" t="str">
        <f>IFERROR('5l'!G9/'5l'!O9*100, "na")</f>
        <v>na</v>
      </c>
      <c r="H9" s="143" t="str">
        <f>IFERROR('5l'!H9/'5l'!P9*100, "na")</f>
        <v>na</v>
      </c>
      <c r="I9" s="217" t="str">
        <f>IFERROR('5l'!I9/'5l'!Q9*100, "na")</f>
        <v>na</v>
      </c>
      <c r="J9" s="350" t="str">
        <f>IFERROR('5l'!J9/'5l'!J9*100, "na")</f>
        <v>na</v>
      </c>
      <c r="K9" s="351" t="str">
        <f>IFERROR('5l'!K9/'5l'!K9*100, "na")</f>
        <v>na</v>
      </c>
      <c r="L9" s="351" t="str">
        <f>IFERROR('5l'!L9/'5l'!L9*100, "na")</f>
        <v>na</v>
      </c>
      <c r="M9" s="300" t="str">
        <f>IFERROR('5l'!M9/'5l'!M9*100, "na")</f>
        <v>na</v>
      </c>
    </row>
    <row r="10" spans="1:13">
      <c r="A10" s="185">
        <v>1985</v>
      </c>
      <c r="B10" s="216" t="str">
        <f>IFERROR('5l'!B10/'5l'!J10*100, "na")</f>
        <v>na</v>
      </c>
      <c r="C10" s="143" t="str">
        <f>IFERROR('5l'!C10/'5l'!K10*100, "na")</f>
        <v>na</v>
      </c>
      <c r="D10" s="143" t="str">
        <f>IFERROR('5l'!D10/'5l'!L10*100, "na")</f>
        <v>na</v>
      </c>
      <c r="E10" s="217" t="str">
        <f>IFERROR('5l'!E10/'5l'!M10*100, "na")</f>
        <v>na</v>
      </c>
      <c r="F10" s="216" t="str">
        <f>IFERROR('5l'!F10/'5l'!N10*100, "na")</f>
        <v>na</v>
      </c>
      <c r="G10" s="143" t="str">
        <f>IFERROR('5l'!G10/'5l'!O10*100, "na")</f>
        <v>na</v>
      </c>
      <c r="H10" s="143" t="str">
        <f>IFERROR('5l'!H10/'5l'!P10*100, "na")</f>
        <v>na</v>
      </c>
      <c r="I10" s="217" t="str">
        <f>IFERROR('5l'!I10/'5l'!Q10*100, "na")</f>
        <v>na</v>
      </c>
      <c r="J10" s="350" t="str">
        <f>IFERROR('5l'!J10/'5l'!J10*100, "na")</f>
        <v>na</v>
      </c>
      <c r="K10" s="351" t="str">
        <f>IFERROR('5l'!K10/'5l'!K10*100, "na")</f>
        <v>na</v>
      </c>
      <c r="L10" s="351" t="str">
        <f>IFERROR('5l'!L10/'5l'!L10*100, "na")</f>
        <v>na</v>
      </c>
      <c r="M10" s="300" t="str">
        <f>IFERROR('5l'!M10/'5l'!M10*100, "na")</f>
        <v>na</v>
      </c>
    </row>
    <row r="11" spans="1:13">
      <c r="A11" s="185">
        <v>1986</v>
      </c>
      <c r="B11" s="216" t="str">
        <f>IFERROR('5l'!B11/'5l'!J11*100, "na")</f>
        <v>na</v>
      </c>
      <c r="C11" s="143" t="str">
        <f>IFERROR('5l'!C11/'5l'!K11*100, "na")</f>
        <v>na</v>
      </c>
      <c r="D11" s="143" t="str">
        <f>IFERROR('5l'!D11/'5l'!L11*100, "na")</f>
        <v>na</v>
      </c>
      <c r="E11" s="217" t="str">
        <f>IFERROR('5l'!E11/'5l'!M11*100, "na")</f>
        <v>na</v>
      </c>
      <c r="F11" s="216" t="str">
        <f>IFERROR('5l'!F11/'5l'!N11*100, "na")</f>
        <v>na</v>
      </c>
      <c r="G11" s="143" t="str">
        <f>IFERROR('5l'!G11/'5l'!O11*100, "na")</f>
        <v>na</v>
      </c>
      <c r="H11" s="143" t="str">
        <f>IFERROR('5l'!H11/'5l'!P11*100, "na")</f>
        <v>na</v>
      </c>
      <c r="I11" s="217" t="str">
        <f>IFERROR('5l'!I11/'5l'!Q11*100, "na")</f>
        <v>na</v>
      </c>
      <c r="J11" s="350" t="str">
        <f>IFERROR('5l'!J11/'5l'!J11*100, "na")</f>
        <v>na</v>
      </c>
      <c r="K11" s="351" t="str">
        <f>IFERROR('5l'!K11/'5l'!K11*100, "na")</f>
        <v>na</v>
      </c>
      <c r="L11" s="351" t="str">
        <f>IFERROR('5l'!L11/'5l'!L11*100, "na")</f>
        <v>na</v>
      </c>
      <c r="M11" s="300" t="str">
        <f>IFERROR('5l'!M11/'5l'!M11*100, "na")</f>
        <v>na</v>
      </c>
    </row>
    <row r="12" spans="1:13">
      <c r="A12" s="185">
        <v>1987</v>
      </c>
      <c r="B12" s="216" t="str">
        <f>IFERROR('5l'!B12/'5l'!J12*100, "na")</f>
        <v>na</v>
      </c>
      <c r="C12" s="143" t="str">
        <f>IFERROR('5l'!C12/'5l'!K12*100, "na")</f>
        <v>na</v>
      </c>
      <c r="D12" s="143" t="str">
        <f>IFERROR('5l'!D12/'5l'!L12*100, "na")</f>
        <v>na</v>
      </c>
      <c r="E12" s="217" t="str">
        <f>IFERROR('5l'!E12/'5l'!M12*100, "na")</f>
        <v>na</v>
      </c>
      <c r="F12" s="216" t="str">
        <f>IFERROR('5l'!F12/'5l'!N12*100, "na")</f>
        <v>na</v>
      </c>
      <c r="G12" s="143" t="str">
        <f>IFERROR('5l'!G12/'5l'!O12*100, "na")</f>
        <v>na</v>
      </c>
      <c r="H12" s="143" t="str">
        <f>IFERROR('5l'!H12/'5l'!P12*100, "na")</f>
        <v>na</v>
      </c>
      <c r="I12" s="217" t="str">
        <f>IFERROR('5l'!I12/'5l'!Q12*100, "na")</f>
        <v>na</v>
      </c>
      <c r="J12" s="350" t="str">
        <f>IFERROR('5l'!J12/'5l'!J12*100, "na")</f>
        <v>na</v>
      </c>
      <c r="K12" s="351" t="str">
        <f>IFERROR('5l'!K12/'5l'!K12*100, "na")</f>
        <v>na</v>
      </c>
      <c r="L12" s="351" t="str">
        <f>IFERROR('5l'!L12/'5l'!L12*100, "na")</f>
        <v>na</v>
      </c>
      <c r="M12" s="300" t="str">
        <f>IFERROR('5l'!M12/'5l'!M12*100, "na")</f>
        <v>na</v>
      </c>
    </row>
    <row r="13" spans="1:13">
      <c r="A13" s="185">
        <v>1988</v>
      </c>
      <c r="B13" s="216" t="str">
        <f>IFERROR('5l'!B13/'5l'!J13*100, "na")</f>
        <v>na</v>
      </c>
      <c r="C13" s="143" t="str">
        <f>IFERROR('5l'!C13/'5l'!K13*100, "na")</f>
        <v>na</v>
      </c>
      <c r="D13" s="143" t="str">
        <f>IFERROR('5l'!D13/'5l'!L13*100, "na")</f>
        <v>na</v>
      </c>
      <c r="E13" s="217" t="str">
        <f>IFERROR('5l'!E13/'5l'!M13*100, "na")</f>
        <v>na</v>
      </c>
      <c r="F13" s="216" t="str">
        <f>IFERROR('5l'!F13/'5l'!N13*100, "na")</f>
        <v>na</v>
      </c>
      <c r="G13" s="143" t="str">
        <f>IFERROR('5l'!G13/'5l'!O13*100, "na")</f>
        <v>na</v>
      </c>
      <c r="H13" s="143" t="str">
        <f>IFERROR('5l'!H13/'5l'!P13*100, "na")</f>
        <v>na</v>
      </c>
      <c r="I13" s="217" t="str">
        <f>IFERROR('5l'!I13/'5l'!Q13*100, "na")</f>
        <v>na</v>
      </c>
      <c r="J13" s="350" t="str">
        <f>IFERROR('5l'!J13/'5l'!J13*100, "na")</f>
        <v>na</v>
      </c>
      <c r="K13" s="351" t="str">
        <f>IFERROR('5l'!K13/'5l'!K13*100, "na")</f>
        <v>na</v>
      </c>
      <c r="L13" s="351" t="str">
        <f>IFERROR('5l'!L13/'5l'!L13*100, "na")</f>
        <v>na</v>
      </c>
      <c r="M13" s="300" t="str">
        <f>IFERROR('5l'!M13/'5l'!M13*100, "na")</f>
        <v>na</v>
      </c>
    </row>
    <row r="14" spans="1:13">
      <c r="A14" s="185">
        <v>1989</v>
      </c>
      <c r="B14" s="216" t="str">
        <f>IFERROR('5l'!B14/'5l'!J14*100, "na")</f>
        <v>na</v>
      </c>
      <c r="C14" s="143" t="str">
        <f>IFERROR('5l'!C14/'5l'!K14*100, "na")</f>
        <v>na</v>
      </c>
      <c r="D14" s="143" t="str">
        <f>IFERROR('5l'!D14/'5l'!L14*100, "na")</f>
        <v>na</v>
      </c>
      <c r="E14" s="217" t="str">
        <f>IFERROR('5l'!E14/'5l'!M14*100, "na")</f>
        <v>na</v>
      </c>
      <c r="F14" s="216" t="str">
        <f>IFERROR('5l'!F14/'5l'!N14*100, "na")</f>
        <v>na</v>
      </c>
      <c r="G14" s="143" t="str">
        <f>IFERROR('5l'!G14/'5l'!O14*100, "na")</f>
        <v>na</v>
      </c>
      <c r="H14" s="143" t="str">
        <f>IFERROR('5l'!H14/'5l'!P14*100, "na")</f>
        <v>na</v>
      </c>
      <c r="I14" s="217" t="str">
        <f>IFERROR('5l'!I14/'5l'!Q14*100, "na")</f>
        <v>na</v>
      </c>
      <c r="J14" s="350" t="str">
        <f>IFERROR('5l'!J14/'5l'!J14*100, "na")</f>
        <v>na</v>
      </c>
      <c r="K14" s="351" t="str">
        <f>IFERROR('5l'!K14/'5l'!K14*100, "na")</f>
        <v>na</v>
      </c>
      <c r="L14" s="351" t="str">
        <f>IFERROR('5l'!L14/'5l'!L14*100, "na")</f>
        <v>na</v>
      </c>
      <c r="M14" s="300" t="str">
        <f>IFERROR('5l'!M14/'5l'!M14*100, "na")</f>
        <v>na</v>
      </c>
    </row>
    <row r="15" spans="1:13">
      <c r="A15" s="185">
        <v>1990</v>
      </c>
      <c r="B15" s="216" t="str">
        <f>IFERROR('5l'!B15/'5l'!J15*100, "na")</f>
        <v>na</v>
      </c>
      <c r="C15" s="143" t="str">
        <f>IFERROR('5l'!C15/'5l'!K15*100, "na")</f>
        <v>na</v>
      </c>
      <c r="D15" s="143" t="str">
        <f>IFERROR('5l'!D15/'5l'!L15*100, "na")</f>
        <v>na</v>
      </c>
      <c r="E15" s="217" t="str">
        <f>IFERROR('5l'!E15/'5l'!M15*100, "na")</f>
        <v>na</v>
      </c>
      <c r="F15" s="216" t="str">
        <f>IFERROR('5l'!F15/'5l'!N15*100, "na")</f>
        <v>na</v>
      </c>
      <c r="G15" s="143" t="str">
        <f>IFERROR('5l'!G15/'5l'!O15*100, "na")</f>
        <v>na</v>
      </c>
      <c r="H15" s="143" t="str">
        <f>IFERROR('5l'!H15/'5l'!P15*100, "na")</f>
        <v>na</v>
      </c>
      <c r="I15" s="217" t="str">
        <f>IFERROR('5l'!I15/'5l'!Q15*100, "na")</f>
        <v>na</v>
      </c>
      <c r="J15" s="350" t="str">
        <f>IFERROR('5l'!J15/'5l'!J15*100, "na")</f>
        <v>na</v>
      </c>
      <c r="K15" s="351" t="str">
        <f>IFERROR('5l'!K15/'5l'!K15*100, "na")</f>
        <v>na</v>
      </c>
      <c r="L15" s="351" t="str">
        <f>IFERROR('5l'!L15/'5l'!L15*100, "na")</f>
        <v>na</v>
      </c>
      <c r="M15" s="300" t="str">
        <f>IFERROR('5l'!M15/'5l'!M15*100, "na")</f>
        <v>na</v>
      </c>
    </row>
    <row r="16" spans="1:13">
      <c r="A16" s="185">
        <v>1991</v>
      </c>
      <c r="B16" s="216" t="str">
        <f>IFERROR('5l'!B16/'5l'!J16*100, "na")</f>
        <v>na</v>
      </c>
      <c r="C16" s="143" t="str">
        <f>IFERROR('5l'!C16/'5l'!K16*100, "na")</f>
        <v>na</v>
      </c>
      <c r="D16" s="143" t="str">
        <f>IFERROR('5l'!D16/'5l'!L16*100, "na")</f>
        <v>na</v>
      </c>
      <c r="E16" s="217" t="str">
        <f>IFERROR('5l'!E16/'5l'!M16*100, "na")</f>
        <v>na</v>
      </c>
      <c r="F16" s="216" t="str">
        <f>IFERROR('5l'!F16/'5l'!N16*100, "na")</f>
        <v>na</v>
      </c>
      <c r="G16" s="143" t="str">
        <f>IFERROR('5l'!G16/'5l'!O16*100, "na")</f>
        <v>na</v>
      </c>
      <c r="H16" s="143" t="str">
        <f>IFERROR('5l'!H16/'5l'!P16*100, "na")</f>
        <v>na</v>
      </c>
      <c r="I16" s="217" t="str">
        <f>IFERROR('5l'!I16/'5l'!Q16*100, "na")</f>
        <v>na</v>
      </c>
      <c r="J16" s="350" t="str">
        <f>IFERROR('5l'!J16/'5l'!J16*100, "na")</f>
        <v>na</v>
      </c>
      <c r="K16" s="351" t="str">
        <f>IFERROR('5l'!K16/'5l'!K16*100, "na")</f>
        <v>na</v>
      </c>
      <c r="L16" s="351" t="str">
        <f>IFERROR('5l'!L16/'5l'!L16*100, "na")</f>
        <v>na</v>
      </c>
      <c r="M16" s="300" t="str">
        <f>IFERROR('5l'!M16/'5l'!M16*100, "na")</f>
        <v>na</v>
      </c>
    </row>
    <row r="17" spans="1:13">
      <c r="A17" s="185">
        <v>1992</v>
      </c>
      <c r="B17" s="216" t="str">
        <f>IFERROR('5l'!B17/'5l'!J17*100, "na")</f>
        <v>na</v>
      </c>
      <c r="C17" s="143" t="str">
        <f>IFERROR('5l'!C17/'5l'!K17*100, "na")</f>
        <v>na</v>
      </c>
      <c r="D17" s="143" t="str">
        <f>IFERROR('5l'!D17/'5l'!L17*100, "na")</f>
        <v>na</v>
      </c>
      <c r="E17" s="217" t="str">
        <f>IFERROR('5l'!E17/'5l'!M17*100, "na")</f>
        <v>na</v>
      </c>
      <c r="F17" s="216" t="str">
        <f>IFERROR('5l'!F17/'5l'!N17*100, "na")</f>
        <v>na</v>
      </c>
      <c r="G17" s="143" t="str">
        <f>IFERROR('5l'!G17/'5l'!O17*100, "na")</f>
        <v>na</v>
      </c>
      <c r="H17" s="143" t="str">
        <f>IFERROR('5l'!H17/'5l'!P17*100, "na")</f>
        <v>na</v>
      </c>
      <c r="I17" s="217" t="str">
        <f>IFERROR('5l'!I17/'5l'!Q17*100, "na")</f>
        <v>na</v>
      </c>
      <c r="J17" s="350" t="str">
        <f>IFERROR('5l'!J17/'5l'!J17*100, "na")</f>
        <v>na</v>
      </c>
      <c r="K17" s="351" t="str">
        <f>IFERROR('5l'!K17/'5l'!K17*100, "na")</f>
        <v>na</v>
      </c>
      <c r="L17" s="351" t="str">
        <f>IFERROR('5l'!L17/'5l'!L17*100, "na")</f>
        <v>na</v>
      </c>
      <c r="M17" s="300" t="str">
        <f>IFERROR('5l'!M17/'5l'!M17*100, "na")</f>
        <v>na</v>
      </c>
    </row>
    <row r="18" spans="1:13">
      <c r="A18" s="185">
        <v>1993</v>
      </c>
      <c r="B18" s="216" t="str">
        <f>IFERROR('5l'!B18/'5l'!J18*100, "na")</f>
        <v>na</v>
      </c>
      <c r="C18" s="143" t="str">
        <f>IFERROR('5l'!C18/'5l'!K18*100, "na")</f>
        <v>na</v>
      </c>
      <c r="D18" s="143" t="str">
        <f>IFERROR('5l'!D18/'5l'!L18*100, "na")</f>
        <v>na</v>
      </c>
      <c r="E18" s="217" t="str">
        <f>IFERROR('5l'!E18/'5l'!M18*100, "na")</f>
        <v>na</v>
      </c>
      <c r="F18" s="216" t="str">
        <f>IFERROR('5l'!F18/'5l'!N18*100, "na")</f>
        <v>na</v>
      </c>
      <c r="G18" s="143" t="str">
        <f>IFERROR('5l'!G18/'5l'!O18*100, "na")</f>
        <v>na</v>
      </c>
      <c r="H18" s="143" t="str">
        <f>IFERROR('5l'!H18/'5l'!P18*100, "na")</f>
        <v>na</v>
      </c>
      <c r="I18" s="217" t="str">
        <f>IFERROR('5l'!I18/'5l'!Q18*100, "na")</f>
        <v>na</v>
      </c>
      <c r="J18" s="350" t="str">
        <f>IFERROR('5l'!J18/'5l'!J18*100, "na")</f>
        <v>na</v>
      </c>
      <c r="K18" s="351" t="str">
        <f>IFERROR('5l'!K18/'5l'!K18*100, "na")</f>
        <v>na</v>
      </c>
      <c r="L18" s="351" t="str">
        <f>IFERROR('5l'!L18/'5l'!L18*100, "na")</f>
        <v>na</v>
      </c>
      <c r="M18" s="300" t="str">
        <f>IFERROR('5l'!M18/'5l'!M18*100, "na")</f>
        <v>na</v>
      </c>
    </row>
    <row r="19" spans="1:13">
      <c r="A19" s="185">
        <v>1994</v>
      </c>
      <c r="B19" s="216" t="str">
        <f>IFERROR('5l'!B19/'5l'!J19*100, "na")</f>
        <v>na</v>
      </c>
      <c r="C19" s="143" t="str">
        <f>IFERROR('5l'!C19/'5l'!K19*100, "na")</f>
        <v>na</v>
      </c>
      <c r="D19" s="143" t="str">
        <f>IFERROR('5l'!D19/'5l'!L19*100, "na")</f>
        <v>na</v>
      </c>
      <c r="E19" s="217" t="str">
        <f>IFERROR('5l'!E19/'5l'!M19*100, "na")</f>
        <v>na</v>
      </c>
      <c r="F19" s="216" t="str">
        <f>IFERROR('5l'!F19/'5l'!N19*100, "na")</f>
        <v>na</v>
      </c>
      <c r="G19" s="143" t="str">
        <f>IFERROR('5l'!G19/'5l'!O19*100, "na")</f>
        <v>na</v>
      </c>
      <c r="H19" s="143" t="str">
        <f>IFERROR('5l'!H19/'5l'!P19*100, "na")</f>
        <v>na</v>
      </c>
      <c r="I19" s="217" t="str">
        <f>IFERROR('5l'!I19/'5l'!Q19*100, "na")</f>
        <v>na</v>
      </c>
      <c r="J19" s="350" t="str">
        <f>IFERROR('5l'!J19/'5l'!J19*100, "na")</f>
        <v>na</v>
      </c>
      <c r="K19" s="351" t="str">
        <f>IFERROR('5l'!K19/'5l'!K19*100, "na")</f>
        <v>na</v>
      </c>
      <c r="L19" s="351" t="str">
        <f>IFERROR('5l'!L19/'5l'!L19*100, "na")</f>
        <v>na</v>
      </c>
      <c r="M19" s="300" t="str">
        <f>IFERROR('5l'!M19/'5l'!M19*100, "na")</f>
        <v>na</v>
      </c>
    </row>
    <row r="20" spans="1:13">
      <c r="A20" s="185">
        <v>1995</v>
      </c>
      <c r="B20" s="216" t="str">
        <f>IFERROR('5l'!B20/'5l'!J20*100, "na")</f>
        <v>na</v>
      </c>
      <c r="C20" s="143" t="str">
        <f>IFERROR('5l'!C20/'5l'!K20*100, "na")</f>
        <v>na</v>
      </c>
      <c r="D20" s="143" t="str">
        <f>IFERROR('5l'!D20/'5l'!L20*100, "na")</f>
        <v>na</v>
      </c>
      <c r="E20" s="217" t="str">
        <f>IFERROR('5l'!E20/'5l'!M20*100, "na")</f>
        <v>na</v>
      </c>
      <c r="F20" s="216" t="str">
        <f>IFERROR('5l'!F20/'5l'!N20*100, "na")</f>
        <v>na</v>
      </c>
      <c r="G20" s="143" t="str">
        <f>IFERROR('5l'!G20/'5l'!O20*100, "na")</f>
        <v>na</v>
      </c>
      <c r="H20" s="143" t="str">
        <f>IFERROR('5l'!H20/'5l'!P20*100, "na")</f>
        <v>na</v>
      </c>
      <c r="I20" s="217" t="str">
        <f>IFERROR('5l'!I20/'5l'!Q20*100, "na")</f>
        <v>na</v>
      </c>
      <c r="J20" s="350" t="str">
        <f>IFERROR('5l'!J20/'5l'!J20*100, "na")</f>
        <v>na</v>
      </c>
      <c r="K20" s="351" t="str">
        <f>IFERROR('5l'!K20/'5l'!K20*100, "na")</f>
        <v>na</v>
      </c>
      <c r="L20" s="351" t="str">
        <f>IFERROR('5l'!L20/'5l'!L20*100, "na")</f>
        <v>na</v>
      </c>
      <c r="M20" s="300" t="str">
        <f>IFERROR('5l'!M20/'5l'!M20*100, "na")</f>
        <v>na</v>
      </c>
    </row>
    <row r="21" spans="1:13">
      <c r="A21" s="185">
        <v>1996</v>
      </c>
      <c r="B21" s="216" t="str">
        <f>IFERROR('5l'!B21/'5l'!J21*100, "na")</f>
        <v>na</v>
      </c>
      <c r="C21" s="143" t="str">
        <f>IFERROR('5l'!C21/'5l'!K21*100, "na")</f>
        <v>na</v>
      </c>
      <c r="D21" s="143" t="str">
        <f>IFERROR('5l'!D21/'5l'!L21*100, "na")</f>
        <v>na</v>
      </c>
      <c r="E21" s="217" t="str">
        <f>IFERROR('5l'!E21/'5l'!M21*100, "na")</f>
        <v>na</v>
      </c>
      <c r="F21" s="216" t="str">
        <f>IFERROR('5l'!F21/'5l'!N21*100, "na")</f>
        <v>na</v>
      </c>
      <c r="G21" s="143" t="str">
        <f>IFERROR('5l'!G21/'5l'!O21*100, "na")</f>
        <v>na</v>
      </c>
      <c r="H21" s="143" t="str">
        <f>IFERROR('5l'!H21/'5l'!P21*100, "na")</f>
        <v>na</v>
      </c>
      <c r="I21" s="217" t="str">
        <f>IFERROR('5l'!I21/'5l'!Q21*100, "na")</f>
        <v>na</v>
      </c>
      <c r="J21" s="350" t="str">
        <f>IFERROR('5l'!J21/'5l'!J21*100, "na")</f>
        <v>na</v>
      </c>
      <c r="K21" s="351" t="str">
        <f>IFERROR('5l'!K21/'5l'!K21*100, "na")</f>
        <v>na</v>
      </c>
      <c r="L21" s="351" t="str">
        <f>IFERROR('5l'!L21/'5l'!L21*100, "na")</f>
        <v>na</v>
      </c>
      <c r="M21" s="300" t="str">
        <f>IFERROR('5l'!M21/'5l'!M21*100, "na")</f>
        <v>na</v>
      </c>
    </row>
    <row r="22" spans="1:13">
      <c r="A22" s="185">
        <v>1997</v>
      </c>
      <c r="B22" s="216" t="str">
        <f>IFERROR('5l'!B22/'5l'!J22*100, "na")</f>
        <v>na</v>
      </c>
      <c r="C22" s="143" t="str">
        <f>IFERROR('5l'!C22/'5l'!K22*100, "na")</f>
        <v>na</v>
      </c>
      <c r="D22" s="143" t="str">
        <f>IFERROR('5l'!D22/'5l'!L22*100, "na")</f>
        <v>na</v>
      </c>
      <c r="E22" s="217" t="str">
        <f>IFERROR('5l'!E22/'5l'!M22*100, "na")</f>
        <v>na</v>
      </c>
      <c r="F22" s="216" t="str">
        <f>IFERROR('5l'!F22/'5l'!N22*100, "na")</f>
        <v>na</v>
      </c>
      <c r="G22" s="143" t="str">
        <f>IFERROR('5l'!G22/'5l'!O22*100, "na")</f>
        <v>na</v>
      </c>
      <c r="H22" s="143" t="str">
        <f>IFERROR('5l'!H22/'5l'!P22*100, "na")</f>
        <v>na</v>
      </c>
      <c r="I22" s="217" t="str">
        <f>IFERROR('5l'!I22/'5l'!Q22*100, "na")</f>
        <v>na</v>
      </c>
      <c r="J22" s="350" t="str">
        <f>IFERROR('5l'!J22/'5l'!J22*100, "na")</f>
        <v>na</v>
      </c>
      <c r="K22" s="351" t="str">
        <f>IFERROR('5l'!K22/'5l'!K22*100, "na")</f>
        <v>na</v>
      </c>
      <c r="L22" s="351" t="str">
        <f>IFERROR('5l'!L22/'5l'!L22*100, "na")</f>
        <v>na</v>
      </c>
      <c r="M22" s="300" t="str">
        <f>IFERROR('5l'!M22/'5l'!M22*100, "na")</f>
        <v>na</v>
      </c>
    </row>
    <row r="23" spans="1:13">
      <c r="A23" s="185">
        <v>1998</v>
      </c>
      <c r="B23" s="216" t="str">
        <f>IFERROR('5l'!B23/'5l'!J23*100, "na")</f>
        <v>na</v>
      </c>
      <c r="C23" s="143" t="str">
        <f>IFERROR('5l'!C23/'5l'!K23*100, "na")</f>
        <v>na</v>
      </c>
      <c r="D23" s="143" t="str">
        <f>IFERROR('5l'!D23/'5l'!L23*100, "na")</f>
        <v>na</v>
      </c>
      <c r="E23" s="217" t="str">
        <f>IFERROR('5l'!E23/'5l'!M23*100, "na")</f>
        <v>na</v>
      </c>
      <c r="F23" s="216" t="str">
        <f>IFERROR('5l'!F23/'5l'!N23*100, "na")</f>
        <v>na</v>
      </c>
      <c r="G23" s="143" t="str">
        <f>IFERROR('5l'!G23/'5l'!O23*100, "na")</f>
        <v>na</v>
      </c>
      <c r="H23" s="143" t="str">
        <f>IFERROR('5l'!H23/'5l'!P23*100, "na")</f>
        <v>na</v>
      </c>
      <c r="I23" s="217" t="str">
        <f>IFERROR('5l'!I23/'5l'!Q23*100, "na")</f>
        <v>na</v>
      </c>
      <c r="J23" s="350" t="str">
        <f>IFERROR('5l'!J23/'5l'!J23*100, "na")</f>
        <v>na</v>
      </c>
      <c r="K23" s="351" t="str">
        <f>IFERROR('5l'!K23/'5l'!K23*100, "na")</f>
        <v>na</v>
      </c>
      <c r="L23" s="351" t="str">
        <f>IFERROR('5l'!L23/'5l'!L23*100, "na")</f>
        <v>na</v>
      </c>
      <c r="M23" s="300" t="str">
        <f>IFERROR('5l'!M23/'5l'!M23*100, "na")</f>
        <v>na</v>
      </c>
    </row>
    <row r="24" spans="1:13">
      <c r="A24" s="185">
        <v>1999</v>
      </c>
      <c r="B24" s="216" t="str">
        <f>IFERROR('5l'!B24/'5l'!J24*100, "na")</f>
        <v>na</v>
      </c>
      <c r="C24" s="143" t="str">
        <f>IFERROR('5l'!C24/'5l'!K24*100, "na")</f>
        <v>na</v>
      </c>
      <c r="D24" s="143" t="str">
        <f>IFERROR('5l'!D24/'5l'!L24*100, "na")</f>
        <v>na</v>
      </c>
      <c r="E24" s="217" t="str">
        <f>IFERROR('5l'!E24/'5l'!M24*100, "na")</f>
        <v>na</v>
      </c>
      <c r="F24" s="216" t="str">
        <f>IFERROR('5l'!F24/'5l'!N24*100, "na")</f>
        <v>na</v>
      </c>
      <c r="G24" s="143" t="str">
        <f>IFERROR('5l'!G24/'5l'!O24*100, "na")</f>
        <v>na</v>
      </c>
      <c r="H24" s="143" t="str">
        <f>IFERROR('5l'!H24/'5l'!P24*100, "na")</f>
        <v>na</v>
      </c>
      <c r="I24" s="217" t="str">
        <f>IFERROR('5l'!I24/'5l'!Q24*100, "na")</f>
        <v>na</v>
      </c>
      <c r="J24" s="350" t="str">
        <f>IFERROR('5l'!J24/'5l'!J24*100, "na")</f>
        <v>na</v>
      </c>
      <c r="K24" s="351" t="str">
        <f>IFERROR('5l'!K24/'5l'!K24*100, "na")</f>
        <v>na</v>
      </c>
      <c r="L24" s="351" t="str">
        <f>IFERROR('5l'!L24/'5l'!L24*100, "na")</f>
        <v>na</v>
      </c>
      <c r="M24" s="300" t="str">
        <f>IFERROR('5l'!M24/'5l'!M24*100, "na")</f>
        <v>na</v>
      </c>
    </row>
    <row r="25" spans="1:13">
      <c r="A25" s="185">
        <v>2000</v>
      </c>
      <c r="B25" s="216" t="str">
        <f>IFERROR('5l'!B25/'5l'!J25*100, "na")</f>
        <v>na</v>
      </c>
      <c r="C25" s="143" t="str">
        <f>IFERROR('5l'!C25/'5l'!K25*100, "na")</f>
        <v>na</v>
      </c>
      <c r="D25" s="143" t="str">
        <f>IFERROR('5l'!D25/'5l'!L25*100, "na")</f>
        <v>na</v>
      </c>
      <c r="E25" s="217" t="str">
        <f>IFERROR('5l'!E25/'5l'!M25*100, "na")</f>
        <v>na</v>
      </c>
      <c r="F25" s="216" t="str">
        <f>IFERROR('5l'!F25/'5l'!N25*100, "na")</f>
        <v>na</v>
      </c>
      <c r="G25" s="143" t="str">
        <f>IFERROR('5l'!G25/'5l'!O25*100, "na")</f>
        <v>na</v>
      </c>
      <c r="H25" s="143" t="str">
        <f>IFERROR('5l'!H25/'5l'!P25*100, "na")</f>
        <v>na</v>
      </c>
      <c r="I25" s="217" t="str">
        <f>IFERROR('5l'!I25/'5l'!Q25*100, "na")</f>
        <v>na</v>
      </c>
      <c r="J25" s="350" t="str">
        <f>IFERROR('5l'!J25/'5l'!J25*100, "na")</f>
        <v>na</v>
      </c>
      <c r="K25" s="351" t="str">
        <f>IFERROR('5l'!K25/'5l'!K25*100, "na")</f>
        <v>na</v>
      </c>
      <c r="L25" s="351" t="str">
        <f>IFERROR('5l'!L25/'5l'!L25*100, "na")</f>
        <v>na</v>
      </c>
      <c r="M25" s="300" t="str">
        <f>IFERROR('5l'!M25/'5l'!M25*100, "na")</f>
        <v>na</v>
      </c>
    </row>
    <row r="26" spans="1:13">
      <c r="A26" s="185">
        <v>2001</v>
      </c>
      <c r="B26" s="216" t="str">
        <f>IFERROR('5l'!B26/'5l'!J26*100, "na")</f>
        <v>na</v>
      </c>
      <c r="C26" s="143" t="str">
        <f>IFERROR('5l'!C26/'5l'!K26*100, "na")</f>
        <v>na</v>
      </c>
      <c r="D26" s="143" t="str">
        <f>IFERROR('5l'!D26/'5l'!L26*100, "na")</f>
        <v>na</v>
      </c>
      <c r="E26" s="217" t="str">
        <f>IFERROR('5l'!E26/'5l'!M26*100, "na")</f>
        <v>na</v>
      </c>
      <c r="F26" s="216" t="str">
        <f>IFERROR('5l'!F26/'5l'!N26*100, "na")</f>
        <v>na</v>
      </c>
      <c r="G26" s="143" t="str">
        <f>IFERROR('5l'!G26/'5l'!O26*100, "na")</f>
        <v>na</v>
      </c>
      <c r="H26" s="143" t="str">
        <f>IFERROR('5l'!H26/'5l'!P26*100, "na")</f>
        <v>na</v>
      </c>
      <c r="I26" s="217" t="str">
        <f>IFERROR('5l'!I26/'5l'!Q26*100, "na")</f>
        <v>na</v>
      </c>
      <c r="J26" s="350" t="str">
        <f>IFERROR('5l'!J26/'5l'!J26*100, "na")</f>
        <v>na</v>
      </c>
      <c r="K26" s="351" t="str">
        <f>IFERROR('5l'!K26/'5l'!K26*100, "na")</f>
        <v>na</v>
      </c>
      <c r="L26" s="351" t="str">
        <f>IFERROR('5l'!L26/'5l'!L26*100, "na")</f>
        <v>na</v>
      </c>
      <c r="M26" s="300" t="str">
        <f>IFERROR('5l'!M26/'5l'!M26*100, "na")</f>
        <v>na</v>
      </c>
    </row>
    <row r="27" spans="1:13">
      <c r="A27" s="185">
        <v>2002</v>
      </c>
      <c r="B27" s="216" t="str">
        <f>IFERROR('5l'!B27/'5l'!J27*100, "na")</f>
        <v>na</v>
      </c>
      <c r="C27" s="143" t="str">
        <f>IFERROR('5l'!C27/'5l'!K27*100, "na")</f>
        <v>na</v>
      </c>
      <c r="D27" s="143" t="str">
        <f>IFERROR('5l'!D27/'5l'!L27*100, "na")</f>
        <v>na</v>
      </c>
      <c r="E27" s="217" t="str">
        <f>IFERROR('5l'!E27/'5l'!M27*100, "na")</f>
        <v>na</v>
      </c>
      <c r="F27" s="216" t="str">
        <f>IFERROR('5l'!F27/'5l'!N27*100, "na")</f>
        <v>na</v>
      </c>
      <c r="G27" s="143" t="str">
        <f>IFERROR('5l'!G27/'5l'!O27*100, "na")</f>
        <v>na</v>
      </c>
      <c r="H27" s="143" t="str">
        <f>IFERROR('5l'!H27/'5l'!P27*100, "na")</f>
        <v>na</v>
      </c>
      <c r="I27" s="217" t="str">
        <f>IFERROR('5l'!I27/'5l'!Q27*100, "na")</f>
        <v>na</v>
      </c>
      <c r="J27" s="350" t="str">
        <f>IFERROR('5l'!J27/'5l'!J27*100, "na")</f>
        <v>na</v>
      </c>
      <c r="K27" s="351" t="str">
        <f>IFERROR('5l'!K27/'5l'!K27*100, "na")</f>
        <v>na</v>
      </c>
      <c r="L27" s="351" t="str">
        <f>IFERROR('5l'!L27/'5l'!L27*100, "na")</f>
        <v>na</v>
      </c>
      <c r="M27" s="300" t="str">
        <f>IFERROR('5l'!M27/'5l'!M27*100, "na")</f>
        <v>na</v>
      </c>
    </row>
    <row r="28" spans="1:13">
      <c r="A28" s="185">
        <v>2003</v>
      </c>
      <c r="B28" s="216" t="str">
        <f>IFERROR('5l'!B28/'5l'!J28*100, "na")</f>
        <v>na</v>
      </c>
      <c r="C28" s="143" t="str">
        <f>IFERROR('5l'!C28/'5l'!K28*100, "na")</f>
        <v>na</v>
      </c>
      <c r="D28" s="143" t="str">
        <f>IFERROR('5l'!D28/'5l'!L28*100, "na")</f>
        <v>na</v>
      </c>
      <c r="E28" s="217" t="str">
        <f>IFERROR('5l'!E28/'5l'!M28*100, "na")</f>
        <v>na</v>
      </c>
      <c r="F28" s="216" t="str">
        <f>IFERROR('5l'!F28/'5l'!N28*100, "na")</f>
        <v>na</v>
      </c>
      <c r="G28" s="143" t="str">
        <f>IFERROR('5l'!G28/'5l'!O28*100, "na")</f>
        <v>na</v>
      </c>
      <c r="H28" s="143" t="str">
        <f>IFERROR('5l'!H28/'5l'!P28*100, "na")</f>
        <v>na</v>
      </c>
      <c r="I28" s="217" t="str">
        <f>IFERROR('5l'!I28/'5l'!Q28*100, "na")</f>
        <v>na</v>
      </c>
      <c r="J28" s="350" t="str">
        <f>IFERROR('5l'!J28/'5l'!J28*100, "na")</f>
        <v>na</v>
      </c>
      <c r="K28" s="351" t="str">
        <f>IFERROR('5l'!K28/'5l'!K28*100, "na")</f>
        <v>na</v>
      </c>
      <c r="L28" s="351" t="str">
        <f>IFERROR('5l'!L28/'5l'!L28*100, "na")</f>
        <v>na</v>
      </c>
      <c r="M28" s="300" t="str">
        <f>IFERROR('5l'!M28/'5l'!M28*100, "na")</f>
        <v>na</v>
      </c>
    </row>
    <row r="29" spans="1:13">
      <c r="A29" s="185">
        <v>2004</v>
      </c>
      <c r="B29" s="216" t="str">
        <f>IFERROR('5l'!B29/'5l'!J29*100, "na")</f>
        <v>na</v>
      </c>
      <c r="C29" s="143" t="str">
        <f>IFERROR('5l'!C29/'5l'!K29*100, "na")</f>
        <v>na</v>
      </c>
      <c r="D29" s="143" t="str">
        <f>IFERROR('5l'!D29/'5l'!L29*100, "na")</f>
        <v>na</v>
      </c>
      <c r="E29" s="217" t="str">
        <f>IFERROR('5l'!E29/'5l'!M29*100, "na")</f>
        <v>na</v>
      </c>
      <c r="F29" s="216" t="str">
        <f>IFERROR('5l'!F29/'5l'!N29*100, "na")</f>
        <v>na</v>
      </c>
      <c r="G29" s="143" t="str">
        <f>IFERROR('5l'!G29/'5l'!O29*100, "na")</f>
        <v>na</v>
      </c>
      <c r="H29" s="143" t="str">
        <f>IFERROR('5l'!H29/'5l'!P29*100, "na")</f>
        <v>na</v>
      </c>
      <c r="I29" s="217" t="str">
        <f>IFERROR('5l'!I29/'5l'!Q29*100, "na")</f>
        <v>na</v>
      </c>
      <c r="J29" s="350" t="str">
        <f>IFERROR('5l'!J29/'5l'!J29*100, "na")</f>
        <v>na</v>
      </c>
      <c r="K29" s="351" t="str">
        <f>IFERROR('5l'!K29/'5l'!K29*100, "na")</f>
        <v>na</v>
      </c>
      <c r="L29" s="351" t="str">
        <f>IFERROR('5l'!L29/'5l'!L29*100, "na")</f>
        <v>na</v>
      </c>
      <c r="M29" s="300" t="str">
        <f>IFERROR('5l'!M29/'5l'!M29*100, "na")</f>
        <v>na</v>
      </c>
    </row>
    <row r="30" spans="1:13">
      <c r="A30" s="185">
        <v>2005</v>
      </c>
      <c r="B30" s="216" t="str">
        <f>IFERROR('5l'!B30/'5l'!J30*100, "na")</f>
        <v>na</v>
      </c>
      <c r="C30" s="143" t="str">
        <f>IFERROR('5l'!C30/'5l'!K30*100, "na")</f>
        <v>na</v>
      </c>
      <c r="D30" s="143" t="str">
        <f>IFERROR('5l'!D30/'5l'!L30*100, "na")</f>
        <v>na</v>
      </c>
      <c r="E30" s="217" t="str">
        <f>IFERROR('5l'!E30/'5l'!M30*100, "na")</f>
        <v>na</v>
      </c>
      <c r="F30" s="216" t="str">
        <f>IFERROR('5l'!F30/'5l'!N30*100, "na")</f>
        <v>na</v>
      </c>
      <c r="G30" s="143" t="str">
        <f>IFERROR('5l'!G30/'5l'!O30*100, "na")</f>
        <v>na</v>
      </c>
      <c r="H30" s="143" t="str">
        <f>IFERROR('5l'!H30/'5l'!P30*100, "na")</f>
        <v>na</v>
      </c>
      <c r="I30" s="217" t="str">
        <f>IFERROR('5l'!I30/'5l'!Q30*100, "na")</f>
        <v>na</v>
      </c>
      <c r="J30" s="350" t="str">
        <f>IFERROR('5l'!J30/'5l'!J30*100, "na")</f>
        <v>na</v>
      </c>
      <c r="K30" s="351" t="str">
        <f>IFERROR('5l'!K30/'5l'!K30*100, "na")</f>
        <v>na</v>
      </c>
      <c r="L30" s="351" t="str">
        <f>IFERROR('5l'!L30/'5l'!L30*100, "na")</f>
        <v>na</v>
      </c>
      <c r="M30" s="300" t="str">
        <f>IFERROR('5l'!M30/'5l'!M30*100, "na")</f>
        <v>na</v>
      </c>
    </row>
    <row r="31" spans="1:13">
      <c r="A31" s="185">
        <v>2006</v>
      </c>
      <c r="B31" s="216" t="str">
        <f>IFERROR('5l'!B31/'5l'!J31*100, "na")</f>
        <v>na</v>
      </c>
      <c r="C31" s="143" t="str">
        <f>IFERROR('5l'!C31/'5l'!K31*100, "na")</f>
        <v>na</v>
      </c>
      <c r="D31" s="143" t="str">
        <f>IFERROR('5l'!D31/'5l'!L31*100, "na")</f>
        <v>na</v>
      </c>
      <c r="E31" s="217" t="str">
        <f>IFERROR('5l'!E31/'5l'!M31*100, "na")</f>
        <v>na</v>
      </c>
      <c r="F31" s="216" t="str">
        <f>IFERROR('5l'!F31/'5l'!N31*100, "na")</f>
        <v>na</v>
      </c>
      <c r="G31" s="143" t="str">
        <f>IFERROR('5l'!G31/'5l'!O31*100, "na")</f>
        <v>na</v>
      </c>
      <c r="H31" s="143" t="str">
        <f>IFERROR('5l'!H31/'5l'!P31*100, "na")</f>
        <v>na</v>
      </c>
      <c r="I31" s="217" t="str">
        <f>IFERROR('5l'!I31/'5l'!Q31*100, "na")</f>
        <v>na</v>
      </c>
      <c r="J31" s="350" t="str">
        <f>IFERROR('5l'!J31/'5l'!J31*100, "na")</f>
        <v>na</v>
      </c>
      <c r="K31" s="351" t="str">
        <f>IFERROR('5l'!K31/'5l'!K31*100, "na")</f>
        <v>na</v>
      </c>
      <c r="L31" s="351" t="str">
        <f>IFERROR('5l'!L31/'5l'!L31*100, "na")</f>
        <v>na</v>
      </c>
      <c r="M31" s="300" t="str">
        <f>IFERROR('5l'!M31/'5l'!M31*100, "na")</f>
        <v>na</v>
      </c>
    </row>
    <row r="32" spans="1:13">
      <c r="A32" s="185">
        <v>2007</v>
      </c>
      <c r="B32" s="85">
        <f>IFERROR('5l'!B32/'5l'!J32*100, "na")</f>
        <v>45.421906782263719</v>
      </c>
      <c r="C32" s="86">
        <f>IFERROR('5l'!C32/'5l'!K32*100, "na")</f>
        <v>39.260331299020109</v>
      </c>
      <c r="D32" s="86">
        <f>IFERROR('5l'!D32/'5l'!L32*100, "na")</f>
        <v>304.19659733074423</v>
      </c>
      <c r="E32" s="87">
        <f>IFERROR('5l'!E32/'5l'!M32*100, "na")</f>
        <v>101.87473552351871</v>
      </c>
      <c r="F32" s="216" t="str">
        <f>IFERROR('5l'!F32/'5l'!N32*100, "na")</f>
        <v>na</v>
      </c>
      <c r="G32" s="143" t="str">
        <f>IFERROR('5l'!G32/'5l'!O32*100, "na")</f>
        <v>na</v>
      </c>
      <c r="H32" s="143" t="str">
        <f>IFERROR('5l'!H32/'5l'!P32*100, "na")</f>
        <v>na</v>
      </c>
      <c r="I32" s="217" t="str">
        <f>IFERROR('5l'!I32/'5l'!Q32*100, "na")</f>
        <v>na</v>
      </c>
      <c r="J32" s="341">
        <f>IFERROR('5l'!J32/'5l'!J32*100, "na")</f>
        <v>100</v>
      </c>
      <c r="K32" s="342">
        <f>IFERROR('5l'!K32/'5l'!K32*100, "na")</f>
        <v>100</v>
      </c>
      <c r="L32" s="342">
        <f>IFERROR('5l'!L32/'5l'!L32*100, "na")</f>
        <v>100</v>
      </c>
      <c r="M32" s="343">
        <f>IFERROR('5l'!M32/'5l'!M32*100, "na")</f>
        <v>100</v>
      </c>
    </row>
    <row r="33" spans="1:13">
      <c r="A33" s="185">
        <v>2008</v>
      </c>
      <c r="B33" s="85">
        <f>IFERROR('5l'!B33/'5l'!J33*100, "na")</f>
        <v>50.079518148466619</v>
      </c>
      <c r="C33" s="86">
        <f>IFERROR('5l'!C33/'5l'!K33*100, "na")</f>
        <v>41.00168601821926</v>
      </c>
      <c r="D33" s="86">
        <f>IFERROR('5l'!D33/'5l'!L33*100, "na")</f>
        <v>324.20426271352574</v>
      </c>
      <c r="E33" s="87">
        <f>IFERROR('5l'!E33/'5l'!M33*100, "na")</f>
        <v>101.45080408095409</v>
      </c>
      <c r="F33" s="216" t="str">
        <f>IFERROR('5l'!F33/'5l'!N33*100, "na")</f>
        <v>na</v>
      </c>
      <c r="G33" s="143" t="str">
        <f>IFERROR('5l'!G33/'5l'!O33*100, "na")</f>
        <v>na</v>
      </c>
      <c r="H33" s="143" t="str">
        <f>IFERROR('5l'!H33/'5l'!P33*100, "na")</f>
        <v>na</v>
      </c>
      <c r="I33" s="217" t="str">
        <f>IFERROR('5l'!I33/'5l'!Q33*100, "na")</f>
        <v>na</v>
      </c>
      <c r="J33" s="341">
        <f>IFERROR('5l'!J33/'5l'!J33*100, "na")</f>
        <v>100</v>
      </c>
      <c r="K33" s="342">
        <f>IFERROR('5l'!K33/'5l'!K33*100, "na")</f>
        <v>100</v>
      </c>
      <c r="L33" s="342">
        <f>IFERROR('5l'!L33/'5l'!L33*100, "na")</f>
        <v>100</v>
      </c>
      <c r="M33" s="343">
        <f>IFERROR('5l'!M33/'5l'!M33*100, "na")</f>
        <v>100</v>
      </c>
    </row>
    <row r="34" spans="1:13">
      <c r="A34" s="57">
        <f>A33+1</f>
        <v>2009</v>
      </c>
      <c r="B34" s="85">
        <f>IFERROR('5l'!B34/'5l'!J34*100, "na")</f>
        <v>43.395750574424937</v>
      </c>
      <c r="C34" s="86">
        <f>IFERROR('5l'!C34/'5l'!K34*100, "na")</f>
        <v>33.938391077554648</v>
      </c>
      <c r="D34" s="86">
        <f>IFERROR('5l'!D34/'5l'!L34*100, "na")</f>
        <v>274.79791269682516</v>
      </c>
      <c r="E34" s="87">
        <f>IFERROR('5l'!E34/'5l'!M34*100, "na")</f>
        <v>81.811011588701277</v>
      </c>
      <c r="F34" s="216" t="str">
        <f>IFERROR('5l'!F34/'5l'!N34*100, "na")</f>
        <v>na</v>
      </c>
      <c r="G34" s="143" t="str">
        <f>IFERROR('5l'!G34/'5l'!O34*100, "na")</f>
        <v>na</v>
      </c>
      <c r="H34" s="143" t="str">
        <f>IFERROR('5l'!H34/'5l'!P34*100, "na")</f>
        <v>na</v>
      </c>
      <c r="I34" s="217" t="str">
        <f>IFERROR('5l'!I34/'5l'!Q34*100, "na")</f>
        <v>na</v>
      </c>
      <c r="J34" s="341">
        <f>IFERROR('5l'!J34/'5l'!J34*100, "na")</f>
        <v>100</v>
      </c>
      <c r="K34" s="342">
        <f>IFERROR('5l'!K34/'5l'!K34*100, "na")</f>
        <v>100</v>
      </c>
      <c r="L34" s="342">
        <f>IFERROR('5l'!L34/'5l'!L34*100, "na")</f>
        <v>100</v>
      </c>
      <c r="M34" s="343">
        <f>IFERROR('5l'!M34/'5l'!M34*100, "na")</f>
        <v>100</v>
      </c>
    </row>
    <row r="35" spans="1:13">
      <c r="A35" s="58">
        <f t="shared" ref="A35" si="0">A34+1</f>
        <v>2010</v>
      </c>
      <c r="B35" s="88">
        <f>IFERROR('5l'!B35/'5l'!J35*100, "na")</f>
        <v>40.937402210541514</v>
      </c>
      <c r="C35" s="89">
        <f>IFERROR('5l'!C35/'5l'!K35*100, "na")</f>
        <v>32.303735975366862</v>
      </c>
      <c r="D35" s="89">
        <f>IFERROR('5l'!D35/'5l'!L35*100, "na")</f>
        <v>261.33973335680179</v>
      </c>
      <c r="E35" s="90">
        <f>IFERROR('5l'!E35/'5l'!M35*100, "na")</f>
        <v>78.476327165487376</v>
      </c>
      <c r="F35" s="234" t="str">
        <f>IFERROR('5l'!F35/'5l'!N35*100, "na")</f>
        <v>na</v>
      </c>
      <c r="G35" s="215" t="str">
        <f>IFERROR('5l'!G35/'5l'!O35*100, "na")</f>
        <v>na</v>
      </c>
      <c r="H35" s="215" t="str">
        <f>IFERROR('5l'!H35/'5l'!P35*100, "na")</f>
        <v>na</v>
      </c>
      <c r="I35" s="235" t="str">
        <f>IFERROR('5l'!I35/'5l'!Q35*100, "na")</f>
        <v>na</v>
      </c>
      <c r="J35" s="344">
        <f>IFERROR('5l'!J35/'5l'!J35*100, "na")</f>
        <v>100</v>
      </c>
      <c r="K35" s="345">
        <f>IFERROR('5l'!K35/'5l'!K35*100, "na")</f>
        <v>100</v>
      </c>
      <c r="L35" s="345">
        <f>IFERROR('5l'!L35/'5l'!L35*100, "na")</f>
        <v>100</v>
      </c>
      <c r="M35" s="346">
        <f>IFERROR('5l'!M35/'5l'!M35*100,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224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64"/>
  <dimension ref="A1:P46"/>
  <sheetViews>
    <sheetView zoomScaleNormal="100" workbookViewId="0">
      <selection sqref="A1:H2"/>
    </sheetView>
  </sheetViews>
  <sheetFormatPr defaultRowHeight="15"/>
  <cols>
    <col min="1" max="2" width="10.7109375" style="1" customWidth="1"/>
    <col min="3" max="3" width="9.28515625" style="1" bestFit="1" customWidth="1"/>
    <col min="4" max="5" width="18.28515625" style="1" customWidth="1"/>
    <col min="6" max="6" width="13.140625" style="1" customWidth="1"/>
    <col min="7" max="7" width="9.28515625" style="1" bestFit="1" customWidth="1"/>
    <col min="8" max="9" width="18.28515625" style="1" customWidth="1"/>
    <col min="10" max="11" width="15.28515625" style="1" bestFit="1" customWidth="1"/>
    <col min="12" max="12" width="20" style="1" customWidth="1"/>
    <col min="13" max="13" width="13.28515625" style="1" bestFit="1" customWidth="1"/>
    <col min="14" max="16384" width="9.140625" style="1"/>
  </cols>
  <sheetData>
    <row r="1" spans="1:15">
      <c r="A1" s="387" t="s">
        <v>144</v>
      </c>
      <c r="B1" s="387"/>
      <c r="C1" s="387"/>
      <c r="D1" s="387"/>
      <c r="E1" s="387"/>
      <c r="F1" s="387"/>
      <c r="G1" s="387"/>
      <c r="H1" s="387"/>
      <c r="I1" s="42"/>
    </row>
    <row r="2" spans="1:15">
      <c r="A2" s="387"/>
      <c r="B2" s="387"/>
      <c r="C2" s="387"/>
      <c r="D2" s="387"/>
      <c r="E2" s="387"/>
      <c r="F2" s="387"/>
      <c r="G2" s="387"/>
      <c r="H2" s="387"/>
      <c r="I2" s="42"/>
    </row>
    <row r="4" spans="1:15" s="18" customFormat="1"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5" s="18" customFormat="1" ht="30">
      <c r="A5" s="61"/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4" t="s">
        <v>39</v>
      </c>
      <c r="K5" s="4" t="s">
        <v>41</v>
      </c>
      <c r="L5" s="4" t="s">
        <v>40</v>
      </c>
      <c r="M5" s="5" t="s">
        <v>72</v>
      </c>
      <c r="N5" s="22"/>
      <c r="O5" s="22"/>
    </row>
    <row r="6" spans="1:15">
      <c r="A6" s="64" t="s">
        <v>6</v>
      </c>
      <c r="B6" s="37">
        <v>2.0166737550312375</v>
      </c>
      <c r="C6" s="34">
        <v>116.79855755385182</v>
      </c>
      <c r="D6" s="34">
        <v>46.010362694300518</v>
      </c>
      <c r="E6" s="34">
        <f>SUM(B6:D6)</f>
        <v>164.82559400318357</v>
      </c>
      <c r="F6" s="176">
        <v>0.37093524898953001</v>
      </c>
      <c r="G6" s="229">
        <v>3.5616542164903846</v>
      </c>
      <c r="H6" s="34">
        <v>224.65648556045034</v>
      </c>
      <c r="I6" s="34">
        <f>SUM(F6:H6)</f>
        <v>228.58907502593024</v>
      </c>
      <c r="J6" s="6" t="s">
        <v>37</v>
      </c>
      <c r="K6" s="7" t="s">
        <v>37</v>
      </c>
      <c r="L6" s="7" t="s">
        <v>37</v>
      </c>
      <c r="M6" s="8" t="s">
        <v>37</v>
      </c>
      <c r="N6" s="18"/>
      <c r="O6" s="18"/>
    </row>
    <row r="7" spans="1:15">
      <c r="A7" s="65" t="s">
        <v>7</v>
      </c>
      <c r="B7" s="37">
        <v>7.0546694171183311E-2</v>
      </c>
      <c r="C7" s="34">
        <v>17.615616589410404</v>
      </c>
      <c r="D7" s="34">
        <v>45.753766440813074</v>
      </c>
      <c r="E7" s="34">
        <f t="shared" ref="E7:E35" si="0">SUM(B7:D7)</f>
        <v>63.439929724394659</v>
      </c>
      <c r="F7" s="176">
        <v>0.15813683398666523</v>
      </c>
      <c r="G7" s="229">
        <v>3.0865119645930017</v>
      </c>
      <c r="H7" s="34">
        <v>189.21448849730788</v>
      </c>
      <c r="I7" s="34">
        <f t="shared" ref="I7:I35" si="1">SUM(F7:H7)</f>
        <v>192.45913729588756</v>
      </c>
      <c r="J7" s="9" t="s">
        <v>37</v>
      </c>
      <c r="K7" s="10" t="s">
        <v>37</v>
      </c>
      <c r="L7" s="10" t="s">
        <v>37</v>
      </c>
      <c r="M7" s="11" t="s">
        <v>37</v>
      </c>
      <c r="N7" s="18"/>
      <c r="O7" s="18"/>
    </row>
    <row r="8" spans="1:15">
      <c r="A8" s="65" t="s">
        <v>8</v>
      </c>
      <c r="B8" s="37">
        <v>1.1317559224766072</v>
      </c>
      <c r="C8" s="34">
        <v>30.715715109972578</v>
      </c>
      <c r="D8" s="34">
        <v>129.35105619768831</v>
      </c>
      <c r="E8" s="34">
        <f t="shared" si="0"/>
        <v>161.1985272301375</v>
      </c>
      <c r="F8" s="176">
        <v>5.1866026147114323E-2</v>
      </c>
      <c r="G8" s="229">
        <v>0.68190378579206956</v>
      </c>
      <c r="H8" s="34">
        <v>157.15633871757223</v>
      </c>
      <c r="I8" s="34">
        <f t="shared" si="1"/>
        <v>157.89010852951142</v>
      </c>
      <c r="J8" s="9" t="s">
        <v>37</v>
      </c>
      <c r="K8" s="10" t="s">
        <v>37</v>
      </c>
      <c r="L8" s="10" t="s">
        <v>37</v>
      </c>
      <c r="M8" s="11" t="s">
        <v>37</v>
      </c>
      <c r="N8" s="18"/>
      <c r="O8" s="18"/>
    </row>
    <row r="9" spans="1:15">
      <c r="A9" s="65" t="s">
        <v>9</v>
      </c>
      <c r="B9" s="37">
        <v>3.0109920596025255</v>
      </c>
      <c r="C9" s="34">
        <v>58.300260075892083</v>
      </c>
      <c r="D9" s="34">
        <v>340.38820247110397</v>
      </c>
      <c r="E9" s="34">
        <f t="shared" si="0"/>
        <v>401.69945460659858</v>
      </c>
      <c r="F9" s="176">
        <v>0.15664810712152133</v>
      </c>
      <c r="G9" s="229">
        <v>1.0821392574216622</v>
      </c>
      <c r="H9" s="34">
        <v>242.04444444444442</v>
      </c>
      <c r="I9" s="34">
        <f t="shared" si="1"/>
        <v>243.28323180898761</v>
      </c>
      <c r="J9" s="9" t="s">
        <v>37</v>
      </c>
      <c r="K9" s="10" t="s">
        <v>37</v>
      </c>
      <c r="L9" s="10" t="s">
        <v>37</v>
      </c>
      <c r="M9" s="11" t="s">
        <v>37</v>
      </c>
      <c r="N9" s="18"/>
      <c r="O9" s="18"/>
    </row>
    <row r="10" spans="1:15">
      <c r="A10" s="65" t="s">
        <v>10</v>
      </c>
      <c r="B10" s="37">
        <v>4.1444763315214335</v>
      </c>
      <c r="C10" s="34">
        <v>78.132237451708676</v>
      </c>
      <c r="D10" s="34">
        <v>354.43905938620964</v>
      </c>
      <c r="E10" s="34">
        <f t="shared" si="0"/>
        <v>436.71577316943973</v>
      </c>
      <c r="F10" s="176">
        <v>0.17118985848788967</v>
      </c>
      <c r="G10" s="229">
        <v>1.5546547812132272</v>
      </c>
      <c r="H10" s="34">
        <v>247.90073421439058</v>
      </c>
      <c r="I10" s="34">
        <f t="shared" si="1"/>
        <v>249.62657885409169</v>
      </c>
      <c r="J10" s="9" t="s">
        <v>37</v>
      </c>
      <c r="K10" s="10" t="s">
        <v>37</v>
      </c>
      <c r="L10" s="10" t="s">
        <v>37</v>
      </c>
      <c r="M10" s="11" t="s">
        <v>37</v>
      </c>
      <c r="N10" s="18"/>
      <c r="O10" s="18"/>
    </row>
    <row r="11" spans="1:15">
      <c r="A11" s="65" t="s">
        <v>11</v>
      </c>
      <c r="B11" s="37">
        <v>8.0070874896339479</v>
      </c>
      <c r="C11" s="34">
        <v>120.80878299693103</v>
      </c>
      <c r="D11" s="34">
        <v>524.65085691510558</v>
      </c>
      <c r="E11" s="34">
        <f t="shared" si="0"/>
        <v>653.4667274016706</v>
      </c>
      <c r="F11" s="176">
        <v>0.14754975016399499</v>
      </c>
      <c r="G11" s="229">
        <v>1.3846491054489347</v>
      </c>
      <c r="H11" s="34">
        <v>172.71600587371512</v>
      </c>
      <c r="I11" s="34">
        <f t="shared" si="1"/>
        <v>174.24820472932805</v>
      </c>
      <c r="J11" s="9" t="s">
        <v>37</v>
      </c>
      <c r="K11" s="10" t="s">
        <v>37</v>
      </c>
      <c r="L11" s="10" t="s">
        <v>37</v>
      </c>
      <c r="M11" s="11" t="s">
        <v>37</v>
      </c>
      <c r="N11" s="18"/>
      <c r="O11" s="18"/>
    </row>
    <row r="12" spans="1:15">
      <c r="A12" s="65" t="s">
        <v>12</v>
      </c>
      <c r="B12" s="37">
        <v>9.7050173616061954</v>
      </c>
      <c r="C12" s="34">
        <v>74.368454467300438</v>
      </c>
      <c r="D12" s="34">
        <v>178.78565165404541</v>
      </c>
      <c r="E12" s="34">
        <f t="shared" si="0"/>
        <v>262.85912348295204</v>
      </c>
      <c r="F12" s="176">
        <v>0.40365949015120844</v>
      </c>
      <c r="G12" s="229">
        <v>1.7780451512392133</v>
      </c>
      <c r="H12" s="34">
        <v>151.18081253059228</v>
      </c>
      <c r="I12" s="34">
        <f t="shared" si="1"/>
        <v>153.36251717198269</v>
      </c>
      <c r="J12" s="9">
        <v>2864.2419901895869</v>
      </c>
      <c r="K12" s="10">
        <v>21681.429271418339</v>
      </c>
      <c r="L12" s="10">
        <v>29134.004389531969</v>
      </c>
      <c r="M12" s="97">
        <f t="shared" ref="M12:M35" si="2">SUM(J12:L12)</f>
        <v>53679.6756511399</v>
      </c>
      <c r="N12" s="18"/>
      <c r="O12" s="18"/>
    </row>
    <row r="13" spans="1:15">
      <c r="A13" s="65" t="s">
        <v>13</v>
      </c>
      <c r="B13" s="37">
        <v>15.039306385363806</v>
      </c>
      <c r="C13" s="34">
        <v>120.47623586572647</v>
      </c>
      <c r="D13" s="34">
        <v>383.23977680350737</v>
      </c>
      <c r="E13" s="34">
        <f t="shared" si="0"/>
        <v>518.75531905459763</v>
      </c>
      <c r="F13" s="176">
        <v>1.8368338501284633</v>
      </c>
      <c r="G13" s="229">
        <v>8.3584390410990252</v>
      </c>
      <c r="H13" s="34">
        <v>259.00753793441021</v>
      </c>
      <c r="I13" s="34">
        <f t="shared" si="1"/>
        <v>269.2028108256377</v>
      </c>
      <c r="J13" s="9">
        <v>3276.8603975514507</v>
      </c>
      <c r="K13" s="10">
        <v>25845.275338283514</v>
      </c>
      <c r="L13" s="10">
        <v>32466.748738288083</v>
      </c>
      <c r="M13" s="97">
        <f t="shared" si="2"/>
        <v>61588.884474123042</v>
      </c>
      <c r="N13" s="18"/>
      <c r="O13" s="18"/>
    </row>
    <row r="14" spans="1:15">
      <c r="A14" s="65" t="s">
        <v>14</v>
      </c>
      <c r="B14" s="37">
        <v>19.822877951916102</v>
      </c>
      <c r="C14" s="34">
        <v>173.62643018001526</v>
      </c>
      <c r="D14" s="34">
        <v>565.6000797130331</v>
      </c>
      <c r="E14" s="34">
        <f t="shared" si="0"/>
        <v>759.04938784496449</v>
      </c>
      <c r="F14" s="176">
        <v>3.9539321316243639</v>
      </c>
      <c r="G14" s="229">
        <v>26.246627006264255</v>
      </c>
      <c r="H14" s="34">
        <v>273.74625550660795</v>
      </c>
      <c r="I14" s="34">
        <f t="shared" si="1"/>
        <v>303.94681464449656</v>
      </c>
      <c r="J14" s="9">
        <v>3977.4738861938031</v>
      </c>
      <c r="K14" s="10">
        <v>33306.17014059025</v>
      </c>
      <c r="L14" s="10">
        <v>32376.296527367729</v>
      </c>
      <c r="M14" s="97">
        <f t="shared" si="2"/>
        <v>69659.940554151777</v>
      </c>
      <c r="N14" s="18"/>
      <c r="O14" s="18"/>
    </row>
    <row r="15" spans="1:15">
      <c r="A15" s="65" t="s">
        <v>15</v>
      </c>
      <c r="B15" s="37">
        <v>23.017326348065389</v>
      </c>
      <c r="C15" s="34">
        <v>228.23355529787713</v>
      </c>
      <c r="D15" s="34">
        <v>702.00310880829011</v>
      </c>
      <c r="E15" s="34">
        <f t="shared" si="0"/>
        <v>953.25399045423262</v>
      </c>
      <c r="F15" s="176">
        <v>5.8101437103448283</v>
      </c>
      <c r="G15" s="229">
        <v>45.744514286365821</v>
      </c>
      <c r="H15" s="34">
        <v>171.95398923152229</v>
      </c>
      <c r="I15" s="34">
        <f t="shared" si="1"/>
        <v>223.50864722823292</v>
      </c>
      <c r="J15" s="9">
        <v>3917.7803602556655</v>
      </c>
      <c r="K15" s="10">
        <v>39254.19320794542</v>
      </c>
      <c r="L15" s="10">
        <v>33562.432736550094</v>
      </c>
      <c r="M15" s="97">
        <f t="shared" si="2"/>
        <v>76734.406304751174</v>
      </c>
      <c r="N15" s="18"/>
      <c r="O15" s="18"/>
    </row>
    <row r="16" spans="1:15">
      <c r="A16" s="65" t="s">
        <v>16</v>
      </c>
      <c r="B16" s="37">
        <v>24.838793819530334</v>
      </c>
      <c r="C16" s="34">
        <v>283.9946437838326</v>
      </c>
      <c r="D16" s="34">
        <v>657.37305699481863</v>
      </c>
      <c r="E16" s="34">
        <f t="shared" si="0"/>
        <v>966.20649459818151</v>
      </c>
      <c r="F16" s="176">
        <v>7.071736101742319</v>
      </c>
      <c r="G16" s="229">
        <v>66.017958636374431</v>
      </c>
      <c r="H16" s="34">
        <v>123.0437591776799</v>
      </c>
      <c r="I16" s="34">
        <f t="shared" si="1"/>
        <v>196.13345391579665</v>
      </c>
      <c r="J16" s="9">
        <v>4285.3668094536706</v>
      </c>
      <c r="K16" s="10">
        <v>44459.575590818284</v>
      </c>
      <c r="L16" s="10">
        <v>32294.236789625549</v>
      </c>
      <c r="M16" s="97">
        <f t="shared" si="2"/>
        <v>81039.179189897506</v>
      </c>
      <c r="N16" s="18"/>
      <c r="O16" s="18"/>
    </row>
    <row r="17" spans="1:15">
      <c r="A17" s="65" t="s">
        <v>17</v>
      </c>
      <c r="B17" s="37">
        <v>37.481968892546803</v>
      </c>
      <c r="C17" s="34">
        <v>340.84037887747974</v>
      </c>
      <c r="D17" s="34">
        <v>1791.6700677560782</v>
      </c>
      <c r="E17" s="34">
        <f t="shared" si="0"/>
        <v>2169.9924155261047</v>
      </c>
      <c r="F17" s="176">
        <v>13.153924895969599</v>
      </c>
      <c r="G17" s="229">
        <v>98.043496590606196</v>
      </c>
      <c r="H17" s="34">
        <v>80.259813999021048</v>
      </c>
      <c r="I17" s="34">
        <f t="shared" si="1"/>
        <v>191.45723548559684</v>
      </c>
      <c r="J17" s="9">
        <v>5809.1226031377109</v>
      </c>
      <c r="K17" s="10">
        <v>52233.161207643891</v>
      </c>
      <c r="L17" s="10">
        <v>34443.642420258686</v>
      </c>
      <c r="M17" s="97">
        <f t="shared" si="2"/>
        <v>92485.926231040285</v>
      </c>
      <c r="N17" s="18"/>
      <c r="O17" s="18"/>
    </row>
    <row r="18" spans="1:15">
      <c r="A18" s="65" t="s">
        <v>18</v>
      </c>
      <c r="B18" s="37">
        <v>59.956502778154011</v>
      </c>
      <c r="C18" s="34">
        <v>447.18962752758318</v>
      </c>
      <c r="D18" s="34">
        <v>1663.0445595854924</v>
      </c>
      <c r="E18" s="34">
        <f t="shared" si="0"/>
        <v>2170.1906898912293</v>
      </c>
      <c r="F18" s="176">
        <v>39.596994499167558</v>
      </c>
      <c r="G18" s="229">
        <v>309.48276143018319</v>
      </c>
      <c r="H18" s="34">
        <v>166.58972099853156</v>
      </c>
      <c r="I18" s="34">
        <f t="shared" si="1"/>
        <v>515.66947692788233</v>
      </c>
      <c r="J18" s="9">
        <v>7463.7852519492453</v>
      </c>
      <c r="K18" s="10">
        <v>58411.103991557051</v>
      </c>
      <c r="L18" s="10">
        <v>36648.997872079679</v>
      </c>
      <c r="M18" s="97">
        <f t="shared" si="2"/>
        <v>102523.88711558598</v>
      </c>
      <c r="N18" s="18"/>
      <c r="O18" s="18"/>
    </row>
    <row r="19" spans="1:15">
      <c r="A19" s="65" t="s">
        <v>19</v>
      </c>
      <c r="B19" s="37">
        <v>69.44822785889437</v>
      </c>
      <c r="C19" s="34">
        <v>638.89475841361332</v>
      </c>
      <c r="D19" s="34">
        <v>2353.120366679952</v>
      </c>
      <c r="E19" s="34">
        <f t="shared" si="0"/>
        <v>3061.4633529524599</v>
      </c>
      <c r="F19" s="176">
        <v>43.380885353446999</v>
      </c>
      <c r="G19" s="229">
        <v>390.70803444885274</v>
      </c>
      <c r="H19" s="34">
        <v>206.63396965247188</v>
      </c>
      <c r="I19" s="34">
        <f t="shared" si="1"/>
        <v>640.72288945477158</v>
      </c>
      <c r="J19" s="9">
        <v>9232.5986784319557</v>
      </c>
      <c r="K19" s="10">
        <v>64161.396102672341</v>
      </c>
      <c r="L19" s="10">
        <v>43405.87127753206</v>
      </c>
      <c r="M19" s="97">
        <f t="shared" si="2"/>
        <v>116799.86605863635</v>
      </c>
      <c r="N19" s="18"/>
      <c r="O19" s="18"/>
    </row>
    <row r="20" spans="1:15">
      <c r="A20" s="65" t="s">
        <v>20</v>
      </c>
      <c r="B20" s="37">
        <v>145.97475766863292</v>
      </c>
      <c r="C20" s="34">
        <v>1076.4533258838196</v>
      </c>
      <c r="D20" s="34">
        <v>4791.8907931446793</v>
      </c>
      <c r="E20" s="34">
        <f t="shared" si="0"/>
        <v>6014.3188766971316</v>
      </c>
      <c r="F20" s="176">
        <v>53.96042886385343</v>
      </c>
      <c r="G20" s="229">
        <v>336.31864510443756</v>
      </c>
      <c r="H20" s="34">
        <v>198.13666177190404</v>
      </c>
      <c r="I20" s="34">
        <f t="shared" si="1"/>
        <v>588.41573574019503</v>
      </c>
      <c r="J20" s="9">
        <v>13923.253111360349</v>
      </c>
      <c r="K20" s="10">
        <v>70583.053786136967</v>
      </c>
      <c r="L20" s="10">
        <v>49957.595338628998</v>
      </c>
      <c r="M20" s="97">
        <f t="shared" si="2"/>
        <v>134463.90223612631</v>
      </c>
      <c r="N20" s="18"/>
      <c r="O20" s="18"/>
    </row>
    <row r="21" spans="1:15">
      <c r="A21" s="65" t="s">
        <v>21</v>
      </c>
      <c r="B21" s="37">
        <v>234.72563953608943</v>
      </c>
      <c r="C21" s="34">
        <v>1443.9099040516658</v>
      </c>
      <c r="D21" s="34">
        <v>6172.4759665205256</v>
      </c>
      <c r="E21" s="34">
        <f t="shared" si="0"/>
        <v>7851.1115101082805</v>
      </c>
      <c r="F21" s="176">
        <v>68.736227641016001</v>
      </c>
      <c r="G21" s="229">
        <v>337.4143299435114</v>
      </c>
      <c r="H21" s="34">
        <v>200.21987273617231</v>
      </c>
      <c r="I21" s="34">
        <f t="shared" si="1"/>
        <v>606.37043032069971</v>
      </c>
      <c r="J21" s="9">
        <v>20154.419415429104</v>
      </c>
      <c r="K21" s="10">
        <v>82823.979495684296</v>
      </c>
      <c r="L21" s="10">
        <v>56677.16886328948</v>
      </c>
      <c r="M21" s="97">
        <f t="shared" si="2"/>
        <v>159655.56777440288</v>
      </c>
      <c r="N21" s="18"/>
      <c r="O21" s="18"/>
    </row>
    <row r="22" spans="1:15">
      <c r="A22" s="65" t="s">
        <v>22</v>
      </c>
      <c r="B22" s="37">
        <v>520.32861755770148</v>
      </c>
      <c r="C22" s="34">
        <v>2224.5244760031478</v>
      </c>
      <c r="D22" s="34">
        <v>8186.8273415703461</v>
      </c>
      <c r="E22" s="34">
        <f t="shared" si="0"/>
        <v>10931.680435131195</v>
      </c>
      <c r="F22" s="176">
        <v>92.811884133218228</v>
      </c>
      <c r="G22" s="229">
        <v>337.54511294245907</v>
      </c>
      <c r="H22" s="34">
        <v>166.68428781204113</v>
      </c>
      <c r="I22" s="34">
        <f t="shared" si="1"/>
        <v>597.04128488771846</v>
      </c>
      <c r="J22" s="9">
        <v>29508.499655419375</v>
      </c>
      <c r="K22" s="10">
        <v>107259.84697146736</v>
      </c>
      <c r="L22" s="10">
        <v>64501.75135640995</v>
      </c>
      <c r="M22" s="97">
        <f t="shared" si="2"/>
        <v>201270.09798329667</v>
      </c>
      <c r="N22" s="18"/>
      <c r="O22" s="18"/>
    </row>
    <row r="23" spans="1:15">
      <c r="A23" s="65" t="s">
        <v>23</v>
      </c>
      <c r="B23" s="37">
        <v>655.4460695923525</v>
      </c>
      <c r="C23" s="34">
        <v>2138.8776334454469</v>
      </c>
      <c r="D23" s="34">
        <v>7841.7761658031086</v>
      </c>
      <c r="E23" s="34">
        <f t="shared" si="0"/>
        <v>10636.099868840909</v>
      </c>
      <c r="F23" s="176">
        <v>153.15422028470505</v>
      </c>
      <c r="G23" s="229">
        <v>435.31158828356831</v>
      </c>
      <c r="H23" s="34">
        <v>217.17474302496331</v>
      </c>
      <c r="I23" s="34">
        <f t="shared" si="1"/>
        <v>805.64055159323664</v>
      </c>
      <c r="J23" s="9">
        <v>42654.689674742913</v>
      </c>
      <c r="K23" s="10">
        <v>129601.14582940711</v>
      </c>
      <c r="L23" s="10">
        <v>74472.941989104162</v>
      </c>
      <c r="M23" s="97">
        <f t="shared" si="2"/>
        <v>246728.77749325417</v>
      </c>
      <c r="N23" s="18"/>
      <c r="O23" s="18"/>
    </row>
    <row r="24" spans="1:15">
      <c r="A24" s="65" t="s">
        <v>24</v>
      </c>
      <c r="B24" s="37">
        <v>518.97313474264388</v>
      </c>
      <c r="C24" s="34">
        <v>1604.280016215766</v>
      </c>
      <c r="D24" s="34">
        <v>5504.4320446392985</v>
      </c>
      <c r="E24" s="34">
        <f t="shared" si="0"/>
        <v>7627.6851955977081</v>
      </c>
      <c r="F24" s="176">
        <v>169.80305962215041</v>
      </c>
      <c r="G24" s="229">
        <v>477.21619926963012</v>
      </c>
      <c r="H24" s="34">
        <v>244.33734703866861</v>
      </c>
      <c r="I24" s="34">
        <f t="shared" si="1"/>
        <v>891.35660593044918</v>
      </c>
      <c r="J24" s="9">
        <v>60365.863546072454</v>
      </c>
      <c r="K24" s="10">
        <v>159844.78534544495</v>
      </c>
      <c r="L24" s="10">
        <v>88576.026916520917</v>
      </c>
      <c r="M24" s="97">
        <f t="shared" si="2"/>
        <v>308786.67580803833</v>
      </c>
      <c r="N24" s="18"/>
      <c r="O24" s="18"/>
    </row>
    <row r="25" spans="1:15">
      <c r="A25" s="65" t="s">
        <v>25</v>
      </c>
      <c r="B25" s="37">
        <v>711.19230115103971</v>
      </c>
      <c r="C25" s="34">
        <v>2240.1912427419652</v>
      </c>
      <c r="D25" s="34">
        <v>8023.9860502192105</v>
      </c>
      <c r="E25" s="34">
        <f t="shared" si="0"/>
        <v>10975.369594112215</v>
      </c>
      <c r="F25" s="176">
        <v>93.825201554761009</v>
      </c>
      <c r="G25" s="229">
        <v>229.82015965934013</v>
      </c>
      <c r="H25" s="34">
        <v>149.01674008810573</v>
      </c>
      <c r="I25" s="34">
        <f t="shared" si="1"/>
        <v>472.66210130220691</v>
      </c>
      <c r="J25" s="9">
        <v>73039.741632096004</v>
      </c>
      <c r="K25" s="10">
        <v>181942.36930383323</v>
      </c>
      <c r="L25" s="10">
        <v>115171.7744181642</v>
      </c>
      <c r="M25" s="97">
        <f t="shared" si="2"/>
        <v>370153.88535409345</v>
      </c>
      <c r="N25" s="18"/>
      <c r="O25" s="18"/>
    </row>
    <row r="26" spans="1:15">
      <c r="A26" s="65" t="s">
        <v>26</v>
      </c>
      <c r="B26" s="37">
        <v>612.71994467871002</v>
      </c>
      <c r="C26" s="34">
        <v>1948.6450472843787</v>
      </c>
      <c r="D26" s="34">
        <v>7143.1530490235145</v>
      </c>
      <c r="E26" s="34">
        <f t="shared" si="0"/>
        <v>9704.5180409866043</v>
      </c>
      <c r="F26" s="176">
        <v>61.168146369091346</v>
      </c>
      <c r="G26" s="229">
        <v>128.56320720157515</v>
      </c>
      <c r="H26" s="34">
        <v>114.51629955947135</v>
      </c>
      <c r="I26" s="34">
        <f t="shared" si="1"/>
        <v>304.24765313013785</v>
      </c>
      <c r="J26" s="9">
        <v>74391.747631852762</v>
      </c>
      <c r="K26" s="10">
        <v>183250.61249104817</v>
      </c>
      <c r="L26" s="10">
        <v>106140.54078142582</v>
      </c>
      <c r="M26" s="97">
        <f t="shared" si="2"/>
        <v>363782.90090432676</v>
      </c>
      <c r="N26" s="18"/>
      <c r="O26" s="18"/>
    </row>
    <row r="27" spans="1:15">
      <c r="A27" s="65" t="s">
        <v>27</v>
      </c>
      <c r="B27" s="37">
        <v>167</v>
      </c>
      <c r="C27" s="34">
        <v>345</v>
      </c>
      <c r="D27" s="34">
        <v>1221</v>
      </c>
      <c r="E27" s="34">
        <f t="shared" si="0"/>
        <v>1733</v>
      </c>
      <c r="F27" s="176">
        <v>49</v>
      </c>
      <c r="G27" s="229">
        <v>94</v>
      </c>
      <c r="H27" s="34">
        <v>112</v>
      </c>
      <c r="I27" s="34">
        <f t="shared" si="1"/>
        <v>255</v>
      </c>
      <c r="J27" s="9">
        <v>77500</v>
      </c>
      <c r="K27" s="10">
        <v>183000</v>
      </c>
      <c r="L27" s="10">
        <v>83700</v>
      </c>
      <c r="M27" s="97">
        <f t="shared" si="2"/>
        <v>344200</v>
      </c>
      <c r="N27" s="18"/>
      <c r="O27" s="18"/>
    </row>
    <row r="28" spans="1:15">
      <c r="A28" s="65" t="s">
        <v>28</v>
      </c>
      <c r="B28" s="37">
        <v>153.98297010437818</v>
      </c>
      <c r="C28" s="34">
        <v>317.51881200905581</v>
      </c>
      <c r="D28" s="34">
        <v>1162.327939418095</v>
      </c>
      <c r="E28" s="34">
        <f t="shared" si="0"/>
        <v>1633.829721531529</v>
      </c>
      <c r="F28" s="176">
        <v>64.385756113437196</v>
      </c>
      <c r="G28" s="229">
        <v>118.44404238378833</v>
      </c>
      <c r="H28" s="34">
        <v>141.00323054331867</v>
      </c>
      <c r="I28" s="34">
        <f t="shared" si="1"/>
        <v>323.83302904054415</v>
      </c>
      <c r="J28" s="9">
        <v>84293.542153696457</v>
      </c>
      <c r="K28" s="10">
        <v>195799.63062078319</v>
      </c>
      <c r="L28" s="10">
        <v>84954.208491627578</v>
      </c>
      <c r="M28" s="97">
        <f t="shared" si="2"/>
        <v>365047.38126610726</v>
      </c>
      <c r="N28" s="18"/>
      <c r="O28" s="18"/>
    </row>
    <row r="29" spans="1:15">
      <c r="A29" s="65" t="s">
        <v>29</v>
      </c>
      <c r="B29" s="37">
        <v>149.55901820854706</v>
      </c>
      <c r="C29" s="34">
        <v>319.51827444937646</v>
      </c>
      <c r="D29" s="34">
        <v>1077.5361498605023</v>
      </c>
      <c r="E29" s="34">
        <f t="shared" si="0"/>
        <v>1546.6134425184259</v>
      </c>
      <c r="F29" s="176">
        <v>67.225340928213384</v>
      </c>
      <c r="G29" s="229">
        <v>128.05412755575819</v>
      </c>
      <c r="H29" s="34">
        <v>139.10093000489476</v>
      </c>
      <c r="I29" s="34">
        <f t="shared" si="1"/>
        <v>334.38039848886638</v>
      </c>
      <c r="J29" s="9">
        <v>93838.222774752372</v>
      </c>
      <c r="K29" s="10">
        <v>215892.31465078588</v>
      </c>
      <c r="L29" s="10">
        <v>91683.106986486033</v>
      </c>
      <c r="M29" s="97">
        <f t="shared" si="2"/>
        <v>401413.6444120243</v>
      </c>
      <c r="N29" s="18"/>
      <c r="O29" s="18"/>
    </row>
    <row r="30" spans="1:15">
      <c r="A30" s="65" t="s">
        <v>30</v>
      </c>
      <c r="B30" s="37">
        <v>134.49032341088554</v>
      </c>
      <c r="C30" s="34">
        <v>282.53661294495919</v>
      </c>
      <c r="D30" s="34">
        <v>884.81466719808679</v>
      </c>
      <c r="E30" s="34">
        <f t="shared" si="0"/>
        <v>1301.8416035539315</v>
      </c>
      <c r="F30" s="176">
        <v>77.323648497600885</v>
      </c>
      <c r="G30" s="229">
        <v>137.59151993748617</v>
      </c>
      <c r="H30" s="34">
        <v>137.05335291238376</v>
      </c>
      <c r="I30" s="34">
        <f t="shared" si="1"/>
        <v>351.96852134747081</v>
      </c>
      <c r="J30" s="9">
        <v>104725.48410199587</v>
      </c>
      <c r="K30" s="10">
        <v>229919.71655798875</v>
      </c>
      <c r="L30" s="10">
        <v>93249.701979745761</v>
      </c>
      <c r="M30" s="97">
        <f t="shared" si="2"/>
        <v>427894.90263973037</v>
      </c>
      <c r="N30" s="18"/>
      <c r="O30" s="18"/>
    </row>
    <row r="31" spans="1:15">
      <c r="A31" s="65" t="s">
        <v>31</v>
      </c>
      <c r="B31" s="37">
        <v>155.56656814874265</v>
      </c>
      <c r="C31" s="34">
        <v>265.25910903120752</v>
      </c>
      <c r="D31" s="34">
        <v>828.48736548425666</v>
      </c>
      <c r="E31" s="34">
        <f t="shared" si="0"/>
        <v>1249.3130426642069</v>
      </c>
      <c r="F31" s="176">
        <v>114.09988707668082</v>
      </c>
      <c r="G31" s="229">
        <v>156.67213470388643</v>
      </c>
      <c r="H31" s="34">
        <v>158.13215859030836</v>
      </c>
      <c r="I31" s="34">
        <f t="shared" si="1"/>
        <v>428.90418037087557</v>
      </c>
      <c r="J31" s="9">
        <v>129093.00974284827</v>
      </c>
      <c r="K31" s="10">
        <v>239557.95107609962</v>
      </c>
      <c r="L31" s="10">
        <v>104921.76717655054</v>
      </c>
      <c r="M31" s="97">
        <f t="shared" si="2"/>
        <v>473572.7279954984</v>
      </c>
      <c r="N31" s="18"/>
      <c r="O31" s="18"/>
    </row>
    <row r="32" spans="1:15">
      <c r="A32" s="65" t="s">
        <v>32</v>
      </c>
      <c r="B32" s="37">
        <v>299.74529911737113</v>
      </c>
      <c r="C32" s="34">
        <v>450.19289666804809</v>
      </c>
      <c r="D32" s="34">
        <v>1517.7579912315662</v>
      </c>
      <c r="E32" s="34">
        <f t="shared" si="0"/>
        <v>2267.6961870169853</v>
      </c>
      <c r="F32" s="176">
        <v>184.35115156953262</v>
      </c>
      <c r="G32" s="229">
        <v>217.24337025621375</v>
      </c>
      <c r="H32" s="34">
        <v>235.6604992657856</v>
      </c>
      <c r="I32" s="34">
        <f t="shared" si="1"/>
        <v>637.25502109153194</v>
      </c>
      <c r="J32" s="9">
        <v>147351.89789603124</v>
      </c>
      <c r="K32" s="10">
        <v>254038.29482492179</v>
      </c>
      <c r="L32" s="10">
        <v>116743.03189652291</v>
      </c>
      <c r="M32" s="97">
        <f t="shared" si="2"/>
        <v>518133.22461747593</v>
      </c>
      <c r="N32" s="18"/>
      <c r="O32" s="18"/>
    </row>
    <row r="33" spans="1:16">
      <c r="A33" s="65" t="s">
        <v>33</v>
      </c>
      <c r="B33" s="37">
        <v>353.20230804626692</v>
      </c>
      <c r="C33" s="34">
        <v>477.68829128691675</v>
      </c>
      <c r="D33" s="34">
        <v>1491.8063770426463</v>
      </c>
      <c r="E33" s="34">
        <f t="shared" si="0"/>
        <v>2322.6969763758298</v>
      </c>
      <c r="F33" s="176">
        <v>244.77128599852759</v>
      </c>
      <c r="G33" s="229">
        <v>256.31637400786462</v>
      </c>
      <c r="H33" s="34">
        <v>257.34508076358298</v>
      </c>
      <c r="I33" s="34">
        <f t="shared" si="1"/>
        <v>758.43274076997523</v>
      </c>
      <c r="J33" s="9">
        <v>159682.27639420022</v>
      </c>
      <c r="K33" s="10">
        <v>264476.64995665447</v>
      </c>
      <c r="L33" s="10">
        <v>110926.11548702639</v>
      </c>
      <c r="M33" s="97">
        <f t="shared" si="2"/>
        <v>535085.04183788109</v>
      </c>
      <c r="N33" s="18"/>
      <c r="O33" s="18"/>
    </row>
    <row r="34" spans="1:16">
      <c r="A34" s="65" t="s">
        <v>34</v>
      </c>
      <c r="B34" s="37">
        <v>306.8394509488341</v>
      </c>
      <c r="C34" s="34">
        <v>400.35918126437303</v>
      </c>
      <c r="D34" s="34">
        <v>1187.1823834196891</v>
      </c>
      <c r="E34" s="34">
        <f t="shared" si="0"/>
        <v>1894.3810156328964</v>
      </c>
      <c r="F34" s="176">
        <v>211.452791944692</v>
      </c>
      <c r="G34" s="229">
        <v>207.85108683999351</v>
      </c>
      <c r="H34" s="34">
        <v>198.70269211943221</v>
      </c>
      <c r="I34" s="34">
        <f t="shared" si="1"/>
        <v>618.00657090411767</v>
      </c>
      <c r="J34" s="9">
        <v>154872.23490939557</v>
      </c>
      <c r="K34" s="10">
        <v>262662.58339301194</v>
      </c>
      <c r="L34" s="10">
        <v>102570.94218964115</v>
      </c>
      <c r="M34" s="97">
        <f t="shared" si="2"/>
        <v>520105.76049204869</v>
      </c>
      <c r="N34" s="18"/>
      <c r="O34" s="18"/>
    </row>
    <row r="35" spans="1:16">
      <c r="A35" s="66" t="s">
        <v>35</v>
      </c>
      <c r="B35" s="39">
        <v>401.05448569098149</v>
      </c>
      <c r="C35" s="40">
        <v>416.74602867252332</v>
      </c>
      <c r="D35" s="40">
        <v>1338.5122359505779</v>
      </c>
      <c r="E35" s="40">
        <f t="shared" si="0"/>
        <v>2156.3127503140827</v>
      </c>
      <c r="F35" s="180">
        <v>277.73885422211362</v>
      </c>
      <c r="G35" s="230">
        <v>216.7027522156919</v>
      </c>
      <c r="H35" s="40">
        <v>224.0287812041116</v>
      </c>
      <c r="I35" s="40">
        <f t="shared" si="1"/>
        <v>718.47038764191711</v>
      </c>
      <c r="J35" s="12">
        <v>201707.56590949013</v>
      </c>
      <c r="K35" s="13">
        <v>270107.38381515961</v>
      </c>
      <c r="L35" s="13">
        <v>115645.4829042213</v>
      </c>
      <c r="M35" s="98">
        <f t="shared" si="2"/>
        <v>587460.43262887106</v>
      </c>
      <c r="N35" s="18"/>
      <c r="O35" s="18"/>
    </row>
    <row r="37" spans="1:16">
      <c r="A37" s="384" t="s">
        <v>52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  <c r="N37" s="144"/>
      <c r="O37" s="144"/>
    </row>
    <row r="38" spans="1:16">
      <c r="A38" s="27" t="s">
        <v>53</v>
      </c>
      <c r="B38" s="82">
        <f>(POWER(B15/B6,1/($A15-$A6))-1)*100</f>
        <v>31.066295763033501</v>
      </c>
      <c r="C38" s="83">
        <f t="shared" ref="C38:I38" si="3">(POWER(C15/C6,1/($A15-$A6))-1)*100</f>
        <v>7.7275767141863572</v>
      </c>
      <c r="D38" s="83">
        <f t="shared" si="3"/>
        <v>35.362433442859498</v>
      </c>
      <c r="E38" s="84">
        <f t="shared" si="3"/>
        <v>21.531010553158268</v>
      </c>
      <c r="F38" s="82">
        <f t="shared" si="3"/>
        <v>35.757996102891319</v>
      </c>
      <c r="G38" s="83">
        <f t="shared" si="3"/>
        <v>32.796758454158322</v>
      </c>
      <c r="H38" s="83">
        <f t="shared" si="3"/>
        <v>-2.9268204069761161</v>
      </c>
      <c r="I38" s="83">
        <f t="shared" si="3"/>
        <v>-0.24942016379554399</v>
      </c>
      <c r="J38" s="82" t="s">
        <v>37</v>
      </c>
      <c r="K38" s="83" t="s">
        <v>37</v>
      </c>
      <c r="L38" s="83" t="s">
        <v>37</v>
      </c>
      <c r="M38" s="84" t="s">
        <v>37</v>
      </c>
      <c r="N38" s="86"/>
      <c r="O38" s="86"/>
      <c r="P38" s="18"/>
    </row>
    <row r="39" spans="1:16">
      <c r="A39" s="28" t="s">
        <v>71</v>
      </c>
      <c r="B39" s="37">
        <f>(POWER(B$25/B15,1/($A$25-$A$15))-1)*100</f>
        <v>40.926678812670893</v>
      </c>
      <c r="C39" s="34">
        <f t="shared" ref="C39:I39" si="4">(POWER(C$25/C15,1/($A$25-$A$15))-1)*100</f>
        <v>25.6581206125575</v>
      </c>
      <c r="D39" s="34">
        <f t="shared" si="4"/>
        <v>27.586614305960786</v>
      </c>
      <c r="E39" s="38">
        <f t="shared" si="4"/>
        <v>27.679464400854691</v>
      </c>
      <c r="F39" s="37">
        <f t="shared" si="4"/>
        <v>32.072762893472692</v>
      </c>
      <c r="G39" s="34">
        <f t="shared" si="4"/>
        <v>17.518140278876771</v>
      </c>
      <c r="H39" s="34">
        <f t="shared" si="4"/>
        <v>-1.4214830286510938</v>
      </c>
      <c r="I39" s="34">
        <f t="shared" si="4"/>
        <v>7.7768894181662551</v>
      </c>
      <c r="J39" s="37">
        <f t="shared" ref="J39:M39" si="5">(POWER(J$25/J15,1/($A$25-$A$15))-1)*100</f>
        <v>33.983683820154845</v>
      </c>
      <c r="K39" s="34">
        <f t="shared" si="5"/>
        <v>16.574826837835843</v>
      </c>
      <c r="L39" s="34">
        <f t="shared" si="5"/>
        <v>13.122569830144704</v>
      </c>
      <c r="M39" s="38">
        <f t="shared" si="5"/>
        <v>17.041321712746303</v>
      </c>
      <c r="N39" s="18"/>
      <c r="O39" s="18"/>
      <c r="P39" s="18"/>
    </row>
    <row r="40" spans="1:16">
      <c r="A40" s="28" t="s">
        <v>69</v>
      </c>
      <c r="B40" s="37">
        <f>(POWER(B$35/B25,1/($A$35-$A$25))-1)*100</f>
        <v>-5.5674682905782591</v>
      </c>
      <c r="C40" s="34">
        <f t="shared" ref="C40:I40" si="6">(POWER(C$35/C25,1/($A$35-$A$25))-1)*100</f>
        <v>-15.480165597516249</v>
      </c>
      <c r="D40" s="34">
        <f t="shared" si="6"/>
        <v>-16.396738931975964</v>
      </c>
      <c r="E40" s="38">
        <f t="shared" si="6"/>
        <v>-15.01754759827978</v>
      </c>
      <c r="F40" s="37">
        <f t="shared" si="6"/>
        <v>11.463252942370271</v>
      </c>
      <c r="G40" s="34">
        <f t="shared" si="6"/>
        <v>-0.58598118861798998</v>
      </c>
      <c r="H40" s="34">
        <f t="shared" si="6"/>
        <v>4.161416139598817</v>
      </c>
      <c r="I40" s="34">
        <f t="shared" si="6"/>
        <v>4.2763471368574724</v>
      </c>
      <c r="J40" s="37">
        <f t="shared" ref="J40:M40" si="7">(POWER(J$35/J25,1/($A$35-$A$25))-1)*100</f>
        <v>10.692015704686231</v>
      </c>
      <c r="K40" s="34">
        <f t="shared" si="7"/>
        <v>4.0303982490452972</v>
      </c>
      <c r="L40" s="34">
        <f t="shared" si="7"/>
        <v>4.1054675882046254E-2</v>
      </c>
      <c r="M40" s="38">
        <f t="shared" si="7"/>
        <v>4.7272334001377869</v>
      </c>
      <c r="N40" s="18"/>
      <c r="O40" s="18"/>
      <c r="P40" s="18"/>
    </row>
    <row r="41" spans="1:16">
      <c r="A41" s="29" t="s">
        <v>70</v>
      </c>
      <c r="B41" s="39">
        <f>(POWER(B35/B6,1/($A$35-$A$6))-1)*100</f>
        <v>20.022026768914316</v>
      </c>
      <c r="C41" s="40">
        <f t="shared" ref="C41:I41" si="8">(POWER(C35/C6,1/($A$35-$A$6))-1)*100</f>
        <v>4.4839175872055659</v>
      </c>
      <c r="D41" s="40">
        <f t="shared" si="8"/>
        <v>12.324556732730718</v>
      </c>
      <c r="E41" s="41">
        <f t="shared" si="8"/>
        <v>9.2713860153726291</v>
      </c>
      <c r="F41" s="39">
        <f t="shared" si="8"/>
        <v>25.636295363157746</v>
      </c>
      <c r="G41" s="40">
        <f t="shared" si="8"/>
        <v>15.219125576411564</v>
      </c>
      <c r="H41" s="40">
        <f t="shared" si="8"/>
        <v>-9.6477194096222796E-3</v>
      </c>
      <c r="I41" s="40">
        <f t="shared" si="8"/>
        <v>4.0279684622840817</v>
      </c>
      <c r="J41" s="39" t="s">
        <v>37</v>
      </c>
      <c r="K41" s="40" t="s">
        <v>37</v>
      </c>
      <c r="L41" s="40" t="s">
        <v>37</v>
      </c>
      <c r="M41" s="41" t="s">
        <v>37</v>
      </c>
      <c r="N41" s="18"/>
      <c r="O41" s="18"/>
      <c r="P41" s="18"/>
    </row>
    <row r="42" spans="1:16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6">
      <c r="A43" s="1" t="s">
        <v>43</v>
      </c>
    </row>
    <row r="44" spans="1:16">
      <c r="A44" s="211" t="s">
        <v>73</v>
      </c>
    </row>
    <row r="46" spans="1:16">
      <c r="A46" s="1" t="s">
        <v>78</v>
      </c>
    </row>
  </sheetData>
  <mergeCells count="5">
    <mergeCell ref="J4:M4"/>
    <mergeCell ref="A1:H2"/>
    <mergeCell ref="A37:M37"/>
    <mergeCell ref="B4:E4"/>
    <mergeCell ref="F4:I4"/>
  </mergeCells>
  <hyperlinks>
    <hyperlink ref="A44" r:id="rId1"/>
  </hyperlinks>
  <pageMargins left="0.7" right="0.7" top="0.75" bottom="0.75" header="0.3" footer="0.3"/>
  <pageSetup scale="65" orientation="landscape" horizontalDpi="0" verticalDpi="0" r:id="rId2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65"/>
  <dimension ref="A1:S44"/>
  <sheetViews>
    <sheetView zoomScaleNormal="100" workbookViewId="0">
      <selection activeCell="B15" sqref="B15"/>
    </sheetView>
  </sheetViews>
  <sheetFormatPr defaultRowHeight="15"/>
  <cols>
    <col min="1" max="1" width="10.140625" customWidth="1"/>
    <col min="2" max="2" width="16.140625" customWidth="1"/>
    <col min="3" max="3" width="20.5703125" bestFit="1" customWidth="1"/>
    <col min="4" max="4" width="13.28515625" customWidth="1"/>
    <col min="5" max="5" width="19.140625" customWidth="1"/>
    <col min="6" max="6" width="18.42578125" customWidth="1"/>
    <col min="7" max="7" width="11.28515625" bestFit="1" customWidth="1"/>
  </cols>
  <sheetData>
    <row r="1" spans="1:19">
      <c r="A1" s="2" t="s">
        <v>147</v>
      </c>
      <c r="B1" s="2"/>
      <c r="C1" s="2"/>
      <c r="D1" s="2"/>
      <c r="E1" s="2"/>
      <c r="F1" s="2"/>
      <c r="G1" s="2"/>
    </row>
    <row r="2" spans="1:19">
      <c r="A2" s="1"/>
      <c r="B2" s="1"/>
      <c r="C2" s="1"/>
      <c r="D2" s="1"/>
      <c r="E2" s="1"/>
      <c r="F2" s="1"/>
      <c r="G2" s="1"/>
    </row>
    <row r="3" spans="1:19">
      <c r="A3" s="1"/>
      <c r="B3" s="1"/>
      <c r="C3" s="1"/>
      <c r="D3" s="1"/>
      <c r="E3" s="389" t="s">
        <v>76</v>
      </c>
      <c r="F3" s="391"/>
      <c r="G3" s="390"/>
    </row>
    <row r="4" spans="1:19" ht="45">
      <c r="A4" s="62"/>
      <c r="B4" s="258" t="s">
        <v>44</v>
      </c>
      <c r="C4" s="259" t="s">
        <v>45</v>
      </c>
      <c r="D4" s="257" t="s">
        <v>38</v>
      </c>
      <c r="E4" s="258" t="s">
        <v>44</v>
      </c>
      <c r="F4" s="259" t="s">
        <v>45</v>
      </c>
      <c r="G4" s="257" t="s">
        <v>38</v>
      </c>
    </row>
    <row r="5" spans="1:19">
      <c r="A5" s="64">
        <v>1981</v>
      </c>
      <c r="B5" s="7">
        <v>2107.5099469496022</v>
      </c>
      <c r="C5" s="7">
        <v>2352.8454771888892</v>
      </c>
      <c r="D5" s="8">
        <v>649705.63696584944</v>
      </c>
      <c r="E5" s="236">
        <f>B5/$D5*100</f>
        <v>0.32437919990840086</v>
      </c>
      <c r="F5" s="214">
        <f t="shared" ref="F5:G34" si="0">C5/$D5*100</f>
        <v>0.36214022833121307</v>
      </c>
      <c r="G5" s="84">
        <f t="shared" si="0"/>
        <v>100</v>
      </c>
    </row>
    <row r="6" spans="1:19">
      <c r="A6" s="65">
        <v>1982</v>
      </c>
      <c r="B6" s="10">
        <v>1402.0935960591135</v>
      </c>
      <c r="C6" s="10">
        <v>1245.0037309119189</v>
      </c>
      <c r="D6" s="11">
        <v>465058.94788347173</v>
      </c>
      <c r="E6" s="216">
        <f t="shared" ref="E6:E34" si="1">B6/$D6*100</f>
        <v>0.3014872850936805</v>
      </c>
      <c r="F6" s="143">
        <f t="shared" si="0"/>
        <v>0.26770880048175638</v>
      </c>
      <c r="G6" s="87">
        <f t="shared" si="0"/>
        <v>100</v>
      </c>
      <c r="M6" s="208"/>
      <c r="N6" s="208"/>
      <c r="O6" s="208"/>
      <c r="P6" s="208"/>
      <c r="Q6" s="208"/>
    </row>
    <row r="7" spans="1:19">
      <c r="A7" s="65">
        <v>1983</v>
      </c>
      <c r="B7" s="10">
        <v>2260.12457370216</v>
      </c>
      <c r="C7" s="10">
        <v>1578.3649147145065</v>
      </c>
      <c r="D7" s="11">
        <v>418850.99616089126</v>
      </c>
      <c r="E7" s="216">
        <f t="shared" si="1"/>
        <v>0.53960109786488097</v>
      </c>
      <c r="F7" s="143">
        <f t="shared" si="0"/>
        <v>0.37683207851515216</v>
      </c>
      <c r="G7" s="87">
        <f t="shared" si="0"/>
        <v>100</v>
      </c>
      <c r="M7" s="118"/>
      <c r="N7" s="118"/>
      <c r="O7" s="118"/>
      <c r="P7" s="118"/>
      <c r="Q7" s="118"/>
      <c r="R7" s="118"/>
      <c r="S7" s="118"/>
    </row>
    <row r="8" spans="1:19">
      <c r="A8" s="65">
        <v>1984</v>
      </c>
      <c r="B8" s="10">
        <v>2502.1089901477835</v>
      </c>
      <c r="C8" s="10">
        <v>1811.5206356212757</v>
      </c>
      <c r="D8" s="11">
        <v>596144.25639224157</v>
      </c>
      <c r="E8" s="216">
        <f t="shared" si="1"/>
        <v>0.41971535636191476</v>
      </c>
      <c r="F8" s="143">
        <f t="shared" si="0"/>
        <v>0.3038728657027201</v>
      </c>
      <c r="G8" s="87">
        <f t="shared" si="0"/>
        <v>100</v>
      </c>
      <c r="M8" s="118"/>
      <c r="N8" s="118"/>
      <c r="O8" s="118"/>
      <c r="P8" s="118"/>
      <c r="Q8" s="118"/>
      <c r="R8" s="118"/>
      <c r="S8" s="118"/>
    </row>
    <row r="9" spans="1:19">
      <c r="A9" s="65">
        <v>1985</v>
      </c>
      <c r="B9" s="10">
        <v>2801.6720348616905</v>
      </c>
      <c r="C9" s="10">
        <v>2109.2526615589959</v>
      </c>
      <c r="D9" s="11">
        <v>696245.23498858302</v>
      </c>
      <c r="E9" s="216">
        <f>B9/$D9*100</f>
        <v>0.40239730113307448</v>
      </c>
      <c r="F9" s="143">
        <f t="shared" si="0"/>
        <v>0.30294680028849075</v>
      </c>
      <c r="G9" s="87">
        <f t="shared" si="0"/>
        <v>100</v>
      </c>
      <c r="M9" s="208"/>
      <c r="N9" s="208"/>
      <c r="O9" s="208"/>
      <c r="P9" s="208"/>
      <c r="Q9" s="208"/>
      <c r="R9" s="208"/>
      <c r="S9" s="208"/>
    </row>
    <row r="10" spans="1:19">
      <c r="A10" s="65">
        <v>1986</v>
      </c>
      <c r="B10" s="10">
        <v>2874.2658203865103</v>
      </c>
      <c r="C10" s="10">
        <v>1455.638931803134</v>
      </c>
      <c r="D10" s="11">
        <v>510828.58505005896</v>
      </c>
      <c r="E10" s="216">
        <f t="shared" si="1"/>
        <v>0.5626673808993764</v>
      </c>
      <c r="F10" s="143">
        <f t="shared" si="0"/>
        <v>0.28495643634752504</v>
      </c>
      <c r="G10" s="87">
        <f t="shared" si="0"/>
        <v>100</v>
      </c>
      <c r="M10" s="208"/>
      <c r="N10" s="208"/>
      <c r="O10" s="208"/>
      <c r="P10" s="208"/>
      <c r="Q10" s="208"/>
      <c r="R10" s="208"/>
      <c r="S10" s="208"/>
    </row>
    <row r="11" spans="1:19">
      <c r="A11" s="65">
        <v>1987</v>
      </c>
      <c r="B11" s="10">
        <v>2646.12542629784</v>
      </c>
      <c r="C11" s="10">
        <v>1149.8549673676578</v>
      </c>
      <c r="D11" s="11">
        <v>461692.54761247587</v>
      </c>
      <c r="E11" s="216">
        <f t="shared" si="1"/>
        <v>0.5731358324888709</v>
      </c>
      <c r="F11" s="143">
        <f t="shared" si="0"/>
        <v>0.24905209610028073</v>
      </c>
      <c r="G11" s="87">
        <f t="shared" si="0"/>
        <v>100</v>
      </c>
      <c r="M11" s="208"/>
      <c r="N11" s="208"/>
      <c r="O11" s="208"/>
      <c r="P11" s="208"/>
      <c r="Q11" s="208"/>
      <c r="R11" s="208"/>
      <c r="S11" s="208"/>
    </row>
    <row r="12" spans="1:19">
      <c r="A12" s="65">
        <v>1988</v>
      </c>
      <c r="B12" s="10">
        <v>3381.7047176960973</v>
      </c>
      <c r="C12" s="10">
        <v>1660.3745625374404</v>
      </c>
      <c r="D12" s="11">
        <v>555839.87152786483</v>
      </c>
      <c r="E12" s="216">
        <f t="shared" si="1"/>
        <v>0.60839549138507043</v>
      </c>
      <c r="F12" s="143">
        <f t="shared" si="0"/>
        <v>0.29871454848560713</v>
      </c>
      <c r="G12" s="87">
        <f t="shared" si="0"/>
        <v>100</v>
      </c>
      <c r="M12" s="208"/>
      <c r="N12" s="208"/>
      <c r="O12" s="208"/>
      <c r="P12" s="208"/>
      <c r="Q12" s="208"/>
      <c r="R12" s="208"/>
      <c r="S12" s="208"/>
    </row>
    <row r="13" spans="1:19">
      <c r="A13" s="65">
        <v>1989</v>
      </c>
      <c r="B13" s="10">
        <v>3307.8509852216748</v>
      </c>
      <c r="C13" s="10">
        <v>1875.8631018066021</v>
      </c>
      <c r="D13" s="11">
        <v>685288.58680651395</v>
      </c>
      <c r="E13" s="216">
        <f t="shared" si="1"/>
        <v>0.48269459741573389</v>
      </c>
      <c r="F13" s="143">
        <f t="shared" si="0"/>
        <v>0.27373330563525611</v>
      </c>
      <c r="G13" s="87">
        <f t="shared" si="0"/>
        <v>100</v>
      </c>
    </row>
    <row r="14" spans="1:19">
      <c r="A14" s="65">
        <v>1990</v>
      </c>
      <c r="B14" s="10">
        <v>3529.4429708222815</v>
      </c>
      <c r="C14" s="10">
        <v>1794.8029973410685</v>
      </c>
      <c r="D14" s="11">
        <v>610387.46769377461</v>
      </c>
      <c r="E14" s="216">
        <f t="shared" si="1"/>
        <v>0.578229920767798</v>
      </c>
      <c r="F14" s="143">
        <f t="shared" si="0"/>
        <v>0.29404322538311084</v>
      </c>
      <c r="G14" s="87">
        <f t="shared" si="0"/>
        <v>100</v>
      </c>
    </row>
    <row r="15" spans="1:19">
      <c r="A15" s="65">
        <v>1991</v>
      </c>
      <c r="B15" s="10">
        <v>4013.8854679802957</v>
      </c>
      <c r="C15" s="10">
        <v>1944.7289045832415</v>
      </c>
      <c r="D15" s="11">
        <v>534593.88753669732</v>
      </c>
      <c r="E15" s="216">
        <f t="shared" si="1"/>
        <v>0.75082891173250865</v>
      </c>
      <c r="F15" s="143">
        <f t="shared" si="0"/>
        <v>0.36377686874501447</v>
      </c>
      <c r="G15" s="87">
        <f t="shared" si="0"/>
        <v>100</v>
      </c>
    </row>
    <row r="16" spans="1:19">
      <c r="A16" s="65">
        <v>1992</v>
      </c>
      <c r="B16" s="10">
        <v>7061.5763546798044</v>
      </c>
      <c r="C16" s="10">
        <v>3416.8174795850809</v>
      </c>
      <c r="D16" s="11">
        <v>603532.79552354896</v>
      </c>
      <c r="E16" s="216">
        <f t="shared" si="1"/>
        <v>1.1700402044521991</v>
      </c>
      <c r="F16" s="143">
        <f t="shared" si="0"/>
        <v>0.56613617436001651</v>
      </c>
      <c r="G16" s="87">
        <f t="shared" si="0"/>
        <v>100</v>
      </c>
      <c r="M16" s="208"/>
      <c r="N16" s="208"/>
      <c r="O16" s="208"/>
      <c r="P16" s="208"/>
      <c r="Q16" s="208"/>
    </row>
    <row r="17" spans="1:19">
      <c r="A17" s="65">
        <v>1993</v>
      </c>
      <c r="B17" s="10">
        <v>6194.8275862068967</v>
      </c>
      <c r="C17" s="10">
        <v>3708.761862723461</v>
      </c>
      <c r="D17" s="11">
        <v>879362.48714024038</v>
      </c>
      <c r="E17" s="216">
        <f t="shared" si="1"/>
        <v>0.70446802960096566</v>
      </c>
      <c r="F17" s="143">
        <f t="shared" si="0"/>
        <v>0.42175575112200447</v>
      </c>
      <c r="G17" s="87">
        <f t="shared" si="0"/>
        <v>100</v>
      </c>
      <c r="M17" s="208"/>
      <c r="N17" s="208"/>
      <c r="O17" s="208"/>
      <c r="P17" s="208"/>
      <c r="Q17" s="208"/>
    </row>
    <row r="18" spans="1:19">
      <c r="A18" s="65">
        <v>1994</v>
      </c>
      <c r="B18" s="10">
        <v>6048.0615289882535</v>
      </c>
      <c r="C18" s="10">
        <v>3495.7593719456445</v>
      </c>
      <c r="D18" s="11">
        <v>1025935.9659247734</v>
      </c>
      <c r="E18" s="216">
        <f t="shared" si="1"/>
        <v>0.58951647372422145</v>
      </c>
      <c r="F18" s="143">
        <f t="shared" si="0"/>
        <v>0.34073855367713768</v>
      </c>
      <c r="G18" s="87">
        <f t="shared" si="0"/>
        <v>100</v>
      </c>
      <c r="M18" s="208"/>
      <c r="N18" s="208"/>
      <c r="O18" s="208"/>
      <c r="P18" s="208"/>
      <c r="Q18" s="208"/>
    </row>
    <row r="19" spans="1:19">
      <c r="A19" s="65">
        <v>1995</v>
      </c>
      <c r="B19" s="10">
        <v>10466.899156877605</v>
      </c>
      <c r="C19" s="10">
        <v>5566.2179062752894</v>
      </c>
      <c r="D19" s="11">
        <v>1078668.7627029333</v>
      </c>
      <c r="E19" s="216">
        <f t="shared" si="1"/>
        <v>0.97035341328042168</v>
      </c>
      <c r="F19" s="143">
        <f t="shared" si="0"/>
        <v>0.51602661528154703</v>
      </c>
      <c r="G19" s="87">
        <f t="shared" si="0"/>
        <v>100</v>
      </c>
      <c r="M19" s="208"/>
      <c r="N19" s="208"/>
      <c r="O19" s="208"/>
      <c r="P19" s="208"/>
    </row>
    <row r="20" spans="1:19">
      <c r="A20" s="65">
        <v>1996</v>
      </c>
      <c r="B20" s="10">
        <v>13747.323796892762</v>
      </c>
      <c r="C20" s="10">
        <v>7653.1996510809131</v>
      </c>
      <c r="D20" s="11">
        <v>1317877.6503650916</v>
      </c>
      <c r="E20" s="216">
        <f t="shared" si="1"/>
        <v>1.0431411286991885</v>
      </c>
      <c r="F20" s="143">
        <f t="shared" si="0"/>
        <v>0.5807215600750758</v>
      </c>
      <c r="G20" s="87">
        <f t="shared" si="0"/>
        <v>100</v>
      </c>
      <c r="M20" s="208"/>
      <c r="N20" s="208"/>
      <c r="O20" s="208"/>
      <c r="P20" s="208"/>
      <c r="Q20" s="208"/>
      <c r="R20" s="208"/>
      <c r="S20" s="208"/>
    </row>
    <row r="21" spans="1:19">
      <c r="A21" s="65">
        <v>1997</v>
      </c>
      <c r="B21" s="10">
        <v>19572.257483895413</v>
      </c>
      <c r="C21" s="10">
        <v>10271.536820422276</v>
      </c>
      <c r="D21" s="11">
        <v>1468456.635635962</v>
      </c>
      <c r="E21" s="216">
        <f t="shared" si="1"/>
        <v>1.3328454520837125</v>
      </c>
      <c r="F21" s="143">
        <f t="shared" si="0"/>
        <v>0.69947838915746119</v>
      </c>
      <c r="G21" s="87">
        <f t="shared" si="0"/>
        <v>100</v>
      </c>
      <c r="M21" s="208"/>
      <c r="N21" s="208"/>
      <c r="O21" s="208"/>
      <c r="P21" s="208"/>
      <c r="Q21" s="208"/>
      <c r="R21" s="208"/>
      <c r="S21" s="208"/>
    </row>
    <row r="22" spans="1:19">
      <c r="A22" s="65">
        <v>1998</v>
      </c>
      <c r="B22" s="10">
        <v>25907.931508147027</v>
      </c>
      <c r="C22" s="10">
        <v>16624.452712005132</v>
      </c>
      <c r="D22" s="11">
        <v>1882158.8086216848</v>
      </c>
      <c r="E22" s="216">
        <f t="shared" si="1"/>
        <v>1.3765008239192922</v>
      </c>
      <c r="F22" s="143">
        <f t="shared" si="0"/>
        <v>0.88326514403847312</v>
      </c>
      <c r="G22" s="87">
        <f t="shared" si="0"/>
        <v>100</v>
      </c>
      <c r="M22" s="208"/>
      <c r="N22" s="208"/>
      <c r="O22" s="208"/>
      <c r="P22" s="208"/>
      <c r="Q22" s="208"/>
      <c r="R22" s="208"/>
      <c r="S22" s="208"/>
    </row>
    <row r="23" spans="1:19">
      <c r="A23" s="65">
        <v>1999</v>
      </c>
      <c r="B23" s="10">
        <v>24841.028798787422</v>
      </c>
      <c r="C23" s="10">
        <v>13143.314310937352</v>
      </c>
      <c r="D23" s="11">
        <v>1839803.511655333</v>
      </c>
      <c r="E23" s="216">
        <f t="shared" si="1"/>
        <v>1.3502000969895485</v>
      </c>
      <c r="F23" s="143">
        <f t="shared" si="0"/>
        <v>0.71438684770809413</v>
      </c>
      <c r="G23" s="87">
        <f t="shared" si="0"/>
        <v>100</v>
      </c>
      <c r="M23" s="208"/>
      <c r="N23" s="208"/>
      <c r="O23" s="208"/>
      <c r="P23" s="208"/>
      <c r="Q23" s="208"/>
      <c r="R23" s="208"/>
      <c r="S23" s="208"/>
    </row>
    <row r="24" spans="1:19">
      <c r="A24" s="65">
        <v>2000</v>
      </c>
      <c r="B24" s="10">
        <v>30405.030314513075</v>
      </c>
      <c r="C24" s="10">
        <v>12401.172872591986</v>
      </c>
      <c r="D24" s="11">
        <v>1649636.6396507162</v>
      </c>
      <c r="E24" s="216">
        <f t="shared" si="1"/>
        <v>1.8431350021996873</v>
      </c>
      <c r="F24" s="143">
        <f t="shared" si="0"/>
        <v>0.75175178427279188</v>
      </c>
      <c r="G24" s="87">
        <f t="shared" si="0"/>
        <v>100</v>
      </c>
      <c r="M24" s="208"/>
      <c r="N24" s="208"/>
      <c r="O24" s="208"/>
      <c r="P24" s="208"/>
      <c r="Q24" s="208"/>
    </row>
    <row r="25" spans="1:19">
      <c r="A25" s="65">
        <v>2001</v>
      </c>
      <c r="B25" s="10">
        <v>30232.956375521037</v>
      </c>
      <c r="C25" s="10">
        <v>12871.397042595456</v>
      </c>
      <c r="D25" s="11">
        <v>1634903.5580759291</v>
      </c>
      <c r="E25" s="216">
        <f t="shared" si="1"/>
        <v>1.8492195595378931</v>
      </c>
      <c r="F25" s="143">
        <f t="shared" si="0"/>
        <v>0.78728784820454067</v>
      </c>
      <c r="G25" s="87">
        <f t="shared" si="0"/>
        <v>100</v>
      </c>
      <c r="M25" s="208"/>
      <c r="N25" s="208"/>
      <c r="O25" s="208"/>
      <c r="P25" s="208"/>
      <c r="Q25" s="208"/>
      <c r="R25" s="208"/>
      <c r="S25" s="208"/>
    </row>
    <row r="26" spans="1:19">
      <c r="A26" s="65">
        <v>2002</v>
      </c>
      <c r="B26" s="10">
        <v>14200</v>
      </c>
      <c r="C26" s="10">
        <v>6600</v>
      </c>
      <c r="D26" s="11">
        <v>1616500</v>
      </c>
      <c r="E26" s="216">
        <f t="shared" si="1"/>
        <v>0.87844107639962876</v>
      </c>
      <c r="F26" s="143">
        <f t="shared" si="0"/>
        <v>0.40828951438292604</v>
      </c>
      <c r="G26" s="87">
        <f t="shared" si="0"/>
        <v>100</v>
      </c>
      <c r="M26" s="208"/>
      <c r="N26" s="208"/>
      <c r="O26" s="208"/>
      <c r="P26" s="208"/>
      <c r="Q26" s="208"/>
      <c r="R26" s="208"/>
      <c r="S26" s="208"/>
    </row>
    <row r="27" spans="1:19">
      <c r="A27" s="65">
        <v>2003</v>
      </c>
      <c r="B27" s="10">
        <v>10421.365810913227</v>
      </c>
      <c r="C27" s="10">
        <v>5058.3519878929292</v>
      </c>
      <c r="D27" s="11">
        <v>1850243.8975735826</v>
      </c>
      <c r="E27" s="216">
        <f t="shared" si="1"/>
        <v>0.56324281488401873</v>
      </c>
      <c r="F27" s="143">
        <f t="shared" si="0"/>
        <v>0.27338838920244368</v>
      </c>
      <c r="G27" s="87">
        <f t="shared" si="0"/>
        <v>100</v>
      </c>
      <c r="M27" s="208"/>
      <c r="N27" s="208"/>
      <c r="O27" s="208"/>
      <c r="P27" s="208"/>
      <c r="Q27" s="208"/>
      <c r="R27" s="208"/>
      <c r="S27" s="208"/>
    </row>
    <row r="28" spans="1:19">
      <c r="A28" s="65">
        <v>2004</v>
      </c>
      <c r="B28" s="10">
        <v>11759.186718453961</v>
      </c>
      <c r="C28" s="10">
        <v>5582.1168458555348</v>
      </c>
      <c r="D28" s="11">
        <v>2197134.6824580329</v>
      </c>
      <c r="E28" s="216">
        <f t="shared" si="1"/>
        <v>0.53520554804125309</v>
      </c>
      <c r="F28" s="143">
        <f t="shared" si="0"/>
        <v>0.25406348051502109</v>
      </c>
      <c r="G28" s="87">
        <f t="shared" si="0"/>
        <v>100</v>
      </c>
      <c r="M28" s="208"/>
      <c r="N28" s="208"/>
      <c r="O28" s="208"/>
      <c r="P28" s="208"/>
      <c r="Q28" s="208"/>
      <c r="R28" s="208"/>
      <c r="S28" s="208"/>
    </row>
    <row r="29" spans="1:19">
      <c r="A29" s="65">
        <v>2005</v>
      </c>
      <c r="B29" s="10">
        <v>9828.5335354300878</v>
      </c>
      <c r="C29" s="10">
        <v>4624.2288572899924</v>
      </c>
      <c r="D29" s="11">
        <v>2639951.8229493387</v>
      </c>
      <c r="E29" s="216">
        <f t="shared" si="1"/>
        <v>0.3722997310022767</v>
      </c>
      <c r="F29" s="143">
        <f t="shared" si="0"/>
        <v>0.17516338052426395</v>
      </c>
      <c r="G29" s="87">
        <f t="shared" si="0"/>
        <v>100</v>
      </c>
      <c r="M29" s="208"/>
      <c r="N29" s="208"/>
      <c r="O29" s="208"/>
      <c r="P29" s="208"/>
      <c r="Q29" s="208"/>
      <c r="R29" s="208"/>
      <c r="S29" s="208"/>
    </row>
    <row r="30" spans="1:19">
      <c r="A30" s="65">
        <v>2006</v>
      </c>
      <c r="B30" s="10">
        <v>8708.7533156498685</v>
      </c>
      <c r="C30" s="10">
        <v>4705.1864930478923</v>
      </c>
      <c r="D30" s="11">
        <v>3379248.5684891976</v>
      </c>
      <c r="E30" s="216">
        <f t="shared" si="1"/>
        <v>0.25771271746201846</v>
      </c>
      <c r="F30" s="143">
        <f t="shared" si="0"/>
        <v>0.13923765587778286</v>
      </c>
      <c r="G30" s="87">
        <f t="shared" si="0"/>
        <v>100</v>
      </c>
    </row>
    <row r="31" spans="1:19">
      <c r="A31" s="65">
        <v>2007</v>
      </c>
      <c r="B31" s="10">
        <v>16380.473190602503</v>
      </c>
      <c r="C31" s="10">
        <v>10276.757469706048</v>
      </c>
      <c r="D31" s="11">
        <v>3797133.7791383332</v>
      </c>
      <c r="E31" s="216">
        <f t="shared" si="1"/>
        <v>0.43139046826840138</v>
      </c>
      <c r="F31" s="143">
        <f t="shared" si="0"/>
        <v>0.27064512517749922</v>
      </c>
      <c r="G31" s="87">
        <f t="shared" si="0"/>
        <v>100</v>
      </c>
    </row>
    <row r="32" spans="1:19">
      <c r="A32" s="65">
        <v>2008</v>
      </c>
      <c r="B32" s="10">
        <v>16431.145793861313</v>
      </c>
      <c r="C32" s="10">
        <v>12474.973988712678</v>
      </c>
      <c r="D32" s="11">
        <v>4039785.4038591823</v>
      </c>
      <c r="E32" s="216">
        <f t="shared" si="1"/>
        <v>0.40673313434334263</v>
      </c>
      <c r="F32" s="143">
        <f t="shared" si="0"/>
        <v>0.30880288781665016</v>
      </c>
      <c r="G32" s="87">
        <f t="shared" si="0"/>
        <v>100</v>
      </c>
    </row>
    <row r="33" spans="1:7">
      <c r="A33" s="65">
        <v>2009</v>
      </c>
      <c r="B33" s="10">
        <v>9783.5141151951502</v>
      </c>
      <c r="C33" s="10">
        <v>7748.8675894105154</v>
      </c>
      <c r="D33" s="11">
        <v>2756166.436654706</v>
      </c>
      <c r="E33" s="216">
        <f t="shared" si="1"/>
        <v>0.35496819005857566</v>
      </c>
      <c r="F33" s="143">
        <f t="shared" si="0"/>
        <v>0.28114657686695055</v>
      </c>
      <c r="G33" s="87">
        <f t="shared" si="0"/>
        <v>100</v>
      </c>
    </row>
    <row r="34" spans="1:7">
      <c r="A34" s="66">
        <v>2010</v>
      </c>
      <c r="B34" s="13">
        <v>9928.1782872300118</v>
      </c>
      <c r="C34" s="13">
        <v>8421.7759140734215</v>
      </c>
      <c r="D34" s="14">
        <v>3040725.1198153212</v>
      </c>
      <c r="E34" s="234">
        <f t="shared" si="1"/>
        <v>0.32650693160429445</v>
      </c>
      <c r="F34" s="215">
        <f t="shared" si="0"/>
        <v>0.27696603876462594</v>
      </c>
      <c r="G34" s="90">
        <f t="shared" si="0"/>
        <v>100</v>
      </c>
    </row>
    <row r="35" spans="1:7">
      <c r="A35" s="18"/>
      <c r="B35" s="18"/>
      <c r="C35" s="18"/>
      <c r="D35" s="18"/>
      <c r="E35" s="18"/>
      <c r="F35" s="18"/>
      <c r="G35" s="18"/>
    </row>
    <row r="36" spans="1:7">
      <c r="A36" s="384" t="s">
        <v>52</v>
      </c>
      <c r="B36" s="385"/>
      <c r="C36" s="385"/>
      <c r="D36" s="386"/>
      <c r="E36" s="389" t="s">
        <v>77</v>
      </c>
      <c r="F36" s="390"/>
      <c r="G36" s="145"/>
    </row>
    <row r="37" spans="1:7">
      <c r="A37" s="15" t="s">
        <v>53</v>
      </c>
      <c r="B37" s="82">
        <f>(POWER(B14/B5,1/($A14-$A5))-1)*100</f>
        <v>5.8965563011569078</v>
      </c>
      <c r="C37" s="83">
        <f>(POWER(C14/C5,1/($A14-$A5))-1)*100</f>
        <v>-2.9633195709184545</v>
      </c>
      <c r="D37" s="84">
        <f>(POWER(D14/D5,1/($A14-$A5))-1)*100</f>
        <v>-0.69121609861768629</v>
      </c>
      <c r="E37" s="82">
        <f>E14-E5</f>
        <v>0.25385072085939714</v>
      </c>
      <c r="F37" s="84">
        <f>F14-F5</f>
        <v>-6.8097002948102225E-2</v>
      </c>
      <c r="G37" s="26"/>
    </row>
    <row r="38" spans="1:7">
      <c r="A38" s="16" t="s">
        <v>71</v>
      </c>
      <c r="B38" s="37">
        <f>(POWER(B$24/B14,1/($A$24-$A$14))-1)*100</f>
        <v>24.029195635119336</v>
      </c>
      <c r="C38" s="34">
        <f>(POWER(C$24/C14,1/($A$24-$A$14))-1)*100</f>
        <v>21.323406970419345</v>
      </c>
      <c r="D38" s="38">
        <f>(POWER(D$24/D14,1/($A$24-$A$14))-1)*100</f>
        <v>10.453191355389336</v>
      </c>
      <c r="E38" s="85">
        <f>E24-E14</f>
        <v>1.2649050814318894</v>
      </c>
      <c r="F38" s="87">
        <f>F24-F14</f>
        <v>0.45770855888968104</v>
      </c>
      <c r="G38" s="26"/>
    </row>
    <row r="39" spans="1:7">
      <c r="A39" s="16" t="s">
        <v>69</v>
      </c>
      <c r="B39" s="37">
        <f>(POWER(B$34/B24,1/($A$34-$A$24))-1)*100</f>
        <v>-10.588699320246842</v>
      </c>
      <c r="C39" s="34">
        <f>(POWER(C$34/C24,1/($A$34-$A$24))-1)*100</f>
        <v>-3.7957868219866242</v>
      </c>
      <c r="D39" s="38">
        <f>(POWER(D$34/D24,1/($A$34-$A$24))-1)*100</f>
        <v>6.3062716125010132</v>
      </c>
      <c r="E39" s="85">
        <f>E34-E24</f>
        <v>-1.516628070595393</v>
      </c>
      <c r="F39" s="87">
        <f>F34-F24</f>
        <v>-0.47478574550816594</v>
      </c>
      <c r="G39" s="26"/>
    </row>
    <row r="40" spans="1:7">
      <c r="A40" s="17" t="s">
        <v>70</v>
      </c>
      <c r="B40" s="39">
        <f>(POWER(B34/B5,1/($A$34-$A$5))-1)*100</f>
        <v>5.4897693031877859</v>
      </c>
      <c r="C40" s="40">
        <f>(POWER(C34/C5,1/($A$34-$A$5))-1)*100</f>
        <v>4.4953358296617285</v>
      </c>
      <c r="D40" s="41">
        <f>(POWER(D34/D5,1/($A$34-$A$5))-1)*100</f>
        <v>5.4659895809223924</v>
      </c>
      <c r="E40" s="88">
        <f>E34-E5</f>
        <v>2.1277316958935866E-3</v>
      </c>
      <c r="F40" s="90">
        <f>F34-F5</f>
        <v>-8.5174189566587122E-2</v>
      </c>
      <c r="G40" s="26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 t="s">
        <v>48</v>
      </c>
      <c r="B42" s="1"/>
      <c r="C42" s="1"/>
      <c r="D42" s="1"/>
      <c r="E42" s="1"/>
      <c r="F42" s="1"/>
      <c r="G42" s="1"/>
    </row>
    <row r="43" spans="1:7">
      <c r="A43" s="211" t="s">
        <v>73</v>
      </c>
      <c r="B43" s="211"/>
      <c r="C43" s="211"/>
      <c r="D43" s="211"/>
      <c r="E43" s="211"/>
      <c r="F43" s="211"/>
      <c r="G43" s="211"/>
    </row>
    <row r="44" spans="1:7">
      <c r="A44" s="1" t="s">
        <v>78</v>
      </c>
      <c r="B44" s="1"/>
      <c r="C44" s="1"/>
      <c r="D44" s="1"/>
      <c r="E44" s="1"/>
      <c r="F44" s="1"/>
      <c r="G44" s="1"/>
    </row>
  </sheetData>
  <mergeCells count="3">
    <mergeCell ref="E3:G3"/>
    <mergeCell ref="A36:D36"/>
    <mergeCell ref="E36:F36"/>
  </mergeCells>
  <hyperlinks>
    <hyperlink ref="A43" r:id="rId1"/>
  </hyperlinks>
  <pageMargins left="0.7" right="0.7" top="0.75" bottom="0.75" header="0.3" footer="0.3"/>
  <pageSetup scale="75" orientation="landscape" horizontalDpi="0" verticalDpi="0" r:id="rId2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66"/>
  <dimension ref="A1:M43"/>
  <sheetViews>
    <sheetView zoomScaleNormal="100" workbookViewId="0">
      <selection sqref="A1:F2"/>
    </sheetView>
  </sheetViews>
  <sheetFormatPr defaultRowHeight="15"/>
  <cols>
    <col min="1" max="1" width="10.7109375" customWidth="1"/>
    <col min="2" max="2" width="14.7109375" customWidth="1"/>
    <col min="4" max="4" width="17.28515625" customWidth="1"/>
    <col min="6" max="6" width="11.28515625" customWidth="1"/>
    <col min="8" max="8" width="19.28515625" customWidth="1"/>
    <col min="10" max="10" width="11" customWidth="1"/>
    <col min="12" max="12" width="17.7109375" customWidth="1"/>
  </cols>
  <sheetData>
    <row r="1" spans="1:13">
      <c r="A1" s="387" t="s">
        <v>148</v>
      </c>
      <c r="B1" s="387"/>
      <c r="C1" s="387"/>
      <c r="D1" s="387"/>
      <c r="E1" s="387"/>
      <c r="F1" s="387"/>
      <c r="G1" s="227"/>
      <c r="H1" s="227"/>
      <c r="I1" s="227"/>
      <c r="J1" s="227"/>
      <c r="K1" s="227"/>
      <c r="L1" s="227"/>
      <c r="M1" s="227"/>
    </row>
    <row r="2" spans="1:13" ht="30" customHeight="1">
      <c r="A2" s="387"/>
      <c r="B2" s="387"/>
      <c r="C2" s="387"/>
      <c r="D2" s="387"/>
      <c r="E2" s="387"/>
      <c r="F2" s="387"/>
      <c r="G2" s="227"/>
      <c r="H2" s="227"/>
      <c r="I2" s="227"/>
      <c r="J2" s="227"/>
      <c r="K2" s="227"/>
      <c r="L2" s="227"/>
      <c r="M2" s="227"/>
    </row>
    <row r="3" spans="1:1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>
      <c r="A4" s="233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233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190" t="str">
        <f>IFERROR('6a'!B6/'5h'!$B5*1000, "na")</f>
        <v>na</v>
      </c>
      <c r="C6" s="191" t="str">
        <f>IFERROR('6a'!C6/'5h'!$B5*1000, "na")</f>
        <v>na</v>
      </c>
      <c r="D6" s="191" t="str">
        <f>IFERROR('6a'!D6/'5h'!$B5*1000, "na")</f>
        <v>na</v>
      </c>
      <c r="E6" s="153" t="str">
        <f>IFERROR('6a'!E6/'5h'!$B5*1000, "na")</f>
        <v>na</v>
      </c>
      <c r="F6" s="190">
        <f>IFERROR('6a'!F6/'5h'!$C5*1000, "na")</f>
        <v>0.76957520537246893</v>
      </c>
      <c r="G6" s="191">
        <f>IFERROR('6a'!G6/'5h'!$C5*1000, "na")</f>
        <v>7.3893241006024581</v>
      </c>
      <c r="H6" s="191">
        <f>IFERROR('6a'!H6/'5h'!$C5*1000, "na")</f>
        <v>466.09229369388038</v>
      </c>
      <c r="I6" s="153">
        <f>IFERROR('6a'!I6/'5h'!$C5*1000, "na")</f>
        <v>474.25119299985528</v>
      </c>
      <c r="J6" s="190" t="str">
        <f>IFERROR('6a'!J6/'5h'!$D5*1000, "na")</f>
        <v>na</v>
      </c>
      <c r="K6" s="191" t="str">
        <f>IFERROR('6a'!K6/'5h'!$D5*1000, "na")</f>
        <v>na</v>
      </c>
      <c r="L6" s="191" t="str">
        <f>IFERROR('6a'!L6/'5h'!$D5*1000, "na")</f>
        <v>na</v>
      </c>
      <c r="M6" s="153" t="str">
        <f>IFERROR('6a'!M6/'5h'!$D5*1000, "na")</f>
        <v>na</v>
      </c>
    </row>
    <row r="7" spans="1:13">
      <c r="A7" s="185">
        <v>1982</v>
      </c>
      <c r="B7" s="112" t="str">
        <f>IFERROR('6a'!B7/'5h'!$B6*1000, "na")</f>
        <v>na</v>
      </c>
      <c r="C7" s="113" t="str">
        <f>IFERROR('6a'!C7/'5h'!$B6*1000, "na")</f>
        <v>na</v>
      </c>
      <c r="D7" s="113" t="str">
        <f>IFERROR('6a'!D7/'5h'!$B6*1000, "na")</f>
        <v>na</v>
      </c>
      <c r="E7" s="97" t="str">
        <f>IFERROR('6a'!E7/'5h'!$B6*1000, "na")</f>
        <v>na</v>
      </c>
      <c r="F7" s="112">
        <f>IFERROR('6a'!F7/'5h'!$C6*1000, "na")</f>
        <v>0.3781368579308112</v>
      </c>
      <c r="G7" s="113">
        <f>IFERROR('6a'!G7/'5h'!$C6*1000, "na")</f>
        <v>7.3804685906097598</v>
      </c>
      <c r="H7" s="113">
        <f>IFERROR('6a'!H7/'5h'!$C6*1000, "na")</f>
        <v>452.44975728672375</v>
      </c>
      <c r="I7" s="97">
        <f>IFERROR('6a'!I7/'5h'!$C6*1000, "na")</f>
        <v>460.20836273526436</v>
      </c>
      <c r="J7" s="112" t="str">
        <f>IFERROR('6a'!J7/'5h'!$D6*1000, "na")</f>
        <v>na</v>
      </c>
      <c r="K7" s="113" t="str">
        <f>IFERROR('6a'!K7/'5h'!$D6*1000, "na")</f>
        <v>na</v>
      </c>
      <c r="L7" s="113" t="str">
        <f>IFERROR('6a'!L7/'5h'!$D6*1000, "na")</f>
        <v>na</v>
      </c>
      <c r="M7" s="97" t="str">
        <f>IFERROR('6a'!M7/'5h'!$D6*1000, "na")</f>
        <v>na</v>
      </c>
    </row>
    <row r="8" spans="1:13">
      <c r="A8" s="185">
        <v>1983</v>
      </c>
      <c r="B8" s="112" t="str">
        <f>IFERROR('6a'!B8/'5h'!$B7*1000, "na")</f>
        <v>na</v>
      </c>
      <c r="C8" s="113" t="str">
        <f>IFERROR('6a'!C8/'5h'!$B7*1000, "na")</f>
        <v>na</v>
      </c>
      <c r="D8" s="113" t="str">
        <f>IFERROR('6a'!D8/'5h'!$B7*1000, "na")</f>
        <v>na</v>
      </c>
      <c r="E8" s="97" t="str">
        <f>IFERROR('6a'!E8/'5h'!$B7*1000, "na")</f>
        <v>na</v>
      </c>
      <c r="F8" s="112">
        <f>IFERROR('6a'!F8/'5h'!$C7*1000, "na")</f>
        <v>0.14167174582658923</v>
      </c>
      <c r="G8" s="113">
        <f>IFERROR('6a'!G8/'5h'!$C7*1000, "na")</f>
        <v>1.8626161862662374</v>
      </c>
      <c r="H8" s="113">
        <f>IFERROR('6a'!H8/'5h'!$C7*1000, "na")</f>
        <v>429.2716162730735</v>
      </c>
      <c r="I8" s="97">
        <f>IFERROR('6a'!I8/'5h'!$C7*1000, "na")</f>
        <v>431.2759042051664</v>
      </c>
      <c r="J8" s="112" t="str">
        <f>IFERROR('6a'!J8/'5h'!$D7*1000, "na")</f>
        <v>na</v>
      </c>
      <c r="K8" s="113" t="str">
        <f>IFERROR('6a'!K8/'5h'!$D7*1000, "na")</f>
        <v>na</v>
      </c>
      <c r="L8" s="113" t="str">
        <f>IFERROR('6a'!L8/'5h'!$D7*1000, "na")</f>
        <v>na</v>
      </c>
      <c r="M8" s="97" t="str">
        <f>IFERROR('6a'!M8/'5h'!$D7*1000, "na")</f>
        <v>na</v>
      </c>
    </row>
    <row r="9" spans="1:13">
      <c r="A9" s="185">
        <v>1984</v>
      </c>
      <c r="B9" s="112" t="str">
        <f>IFERROR('6a'!B9/'5h'!$B8*1000, "na")</f>
        <v>na</v>
      </c>
      <c r="C9" s="113" t="str">
        <f>IFERROR('6a'!C9/'5h'!$B8*1000, "na")</f>
        <v>na</v>
      </c>
      <c r="D9" s="113" t="str">
        <f>IFERROR('6a'!D9/'5h'!$B8*1000, "na")</f>
        <v>na</v>
      </c>
      <c r="E9" s="97" t="str">
        <f>IFERROR('6a'!E9/'5h'!$B8*1000, "na")</f>
        <v>na</v>
      </c>
      <c r="F9" s="112">
        <f>IFERROR('6a'!F9/'5h'!$C8*1000, "na")</f>
        <v>0.42811726461197414</v>
      </c>
      <c r="G9" s="113">
        <f>IFERROR('6a'!G9/'5h'!$C8*1000, "na")</f>
        <v>2.9574726904117576</v>
      </c>
      <c r="H9" s="113">
        <f>IFERROR('6a'!H9/'5h'!$C8*1000, "na")</f>
        <v>661.50435759618597</v>
      </c>
      <c r="I9" s="97">
        <f>IFERROR('6a'!I9/'5h'!$C8*1000, "na")</f>
        <v>664.88994755120962</v>
      </c>
      <c r="J9" s="112" t="str">
        <f>IFERROR('6a'!J9/'5h'!$D8*1000, "na")</f>
        <v>na</v>
      </c>
      <c r="K9" s="113" t="str">
        <f>IFERROR('6a'!K9/'5h'!$D8*1000, "na")</f>
        <v>na</v>
      </c>
      <c r="L9" s="113" t="str">
        <f>IFERROR('6a'!L9/'5h'!$D8*1000, "na")</f>
        <v>na</v>
      </c>
      <c r="M9" s="97" t="str">
        <f>IFERROR('6a'!M9/'5h'!$D8*1000, "na")</f>
        <v>na</v>
      </c>
    </row>
    <row r="10" spans="1:13">
      <c r="A10" s="185">
        <v>1985</v>
      </c>
      <c r="B10" s="112" t="str">
        <f>IFERROR('6a'!B10/'5h'!$B9*1000, "na")</f>
        <v>na</v>
      </c>
      <c r="C10" s="113" t="str">
        <f>IFERROR('6a'!C10/'5h'!$B9*1000, "na")</f>
        <v>na</v>
      </c>
      <c r="D10" s="113" t="str">
        <f>IFERROR('6a'!D10/'5h'!$B9*1000, "na")</f>
        <v>na</v>
      </c>
      <c r="E10" s="97" t="str">
        <f>IFERROR('6a'!E10/'5h'!$B9*1000, "na")</f>
        <v>na</v>
      </c>
      <c r="F10" s="112">
        <f>IFERROR('6a'!F10/'5h'!$C9*1000, "na")</f>
        <v>0.48967350826055389</v>
      </c>
      <c r="G10" s="113">
        <f>IFERROR('6a'!G10/'5h'!$C9*1000, "na")</f>
        <v>4.4469530355069429</v>
      </c>
      <c r="H10" s="113">
        <f>IFERROR('6a'!H10/'5h'!$C9*1000, "na")</f>
        <v>709.09820999539625</v>
      </c>
      <c r="I10" s="97">
        <f>IFERROR('6a'!I10/'5h'!$C9*1000, "na")</f>
        <v>714.03483653916373</v>
      </c>
      <c r="J10" s="112" t="str">
        <f>IFERROR('6a'!J10/'5h'!$D9*1000, "na")</f>
        <v>na</v>
      </c>
      <c r="K10" s="113" t="str">
        <f>IFERROR('6a'!K10/'5h'!$D9*1000, "na")</f>
        <v>na</v>
      </c>
      <c r="L10" s="113" t="str">
        <f>IFERROR('6a'!L10/'5h'!$D9*1000, "na")</f>
        <v>na</v>
      </c>
      <c r="M10" s="97" t="str">
        <f>IFERROR('6a'!M10/'5h'!$D9*1000, "na")</f>
        <v>na</v>
      </c>
    </row>
    <row r="11" spans="1:13">
      <c r="A11" s="185">
        <v>1986</v>
      </c>
      <c r="B11" s="112" t="str">
        <f>IFERROR('6a'!B11/'5h'!$B10*1000, "na")</f>
        <v>na</v>
      </c>
      <c r="C11" s="113" t="str">
        <f>IFERROR('6a'!C11/'5h'!$B10*1000, "na")</f>
        <v>na</v>
      </c>
      <c r="D11" s="113" t="str">
        <f>IFERROR('6a'!D11/'5h'!$B10*1000, "na")</f>
        <v>na</v>
      </c>
      <c r="E11" s="97" t="str">
        <f>IFERROR('6a'!E11/'5h'!$B10*1000, "na")</f>
        <v>na</v>
      </c>
      <c r="F11" s="112">
        <f>IFERROR('6a'!F11/'5h'!$C10*1000, "na")</f>
        <v>0.45695184318363269</v>
      </c>
      <c r="G11" s="113">
        <f>IFERROR('6a'!G11/'5h'!$C10*1000, "na")</f>
        <v>4.2881669416194947</v>
      </c>
      <c r="H11" s="113">
        <f>IFERROR('6a'!H11/'5h'!$C10*1000, "na")</f>
        <v>534.89007703225502</v>
      </c>
      <c r="I11" s="97">
        <f>IFERROR('6a'!I11/'5h'!$C10*1000, "na")</f>
        <v>539.63519581705805</v>
      </c>
      <c r="J11" s="112" t="str">
        <f>IFERROR('6a'!J11/'5h'!$D10*1000, "na")</f>
        <v>na</v>
      </c>
      <c r="K11" s="113" t="str">
        <f>IFERROR('6a'!K11/'5h'!$D10*1000, "na")</f>
        <v>na</v>
      </c>
      <c r="L11" s="113" t="str">
        <f>IFERROR('6a'!L11/'5h'!$D10*1000, "na")</f>
        <v>na</v>
      </c>
      <c r="M11" s="97" t="str">
        <f>IFERROR('6a'!M11/'5h'!$D10*1000, "na")</f>
        <v>na</v>
      </c>
    </row>
    <row r="12" spans="1:13">
      <c r="A12" s="185">
        <v>1987</v>
      </c>
      <c r="B12" s="112" t="str">
        <f>IFERROR('6a'!B12/'5h'!$B11*1000, "na")</f>
        <v>na</v>
      </c>
      <c r="C12" s="113" t="str">
        <f>IFERROR('6a'!C12/'5h'!$B11*1000, "na")</f>
        <v>na</v>
      </c>
      <c r="D12" s="113" t="str">
        <f>IFERROR('6a'!D12/'5h'!$B11*1000, "na")</f>
        <v>na</v>
      </c>
      <c r="E12" s="97" t="str">
        <f>IFERROR('6a'!E12/'5h'!$B11*1000, "na")</f>
        <v>na</v>
      </c>
      <c r="F12" s="112">
        <f>IFERROR('6a'!F12/'5h'!$C11*1000, "na")</f>
        <v>1.3428459419534546</v>
      </c>
      <c r="G12" s="113">
        <f>IFERROR('6a'!G12/'5h'!$C11*1000, "na")</f>
        <v>5.9149871964045682</v>
      </c>
      <c r="H12" s="113">
        <f>IFERROR('6a'!H12/'5h'!$C11*1000, "na")</f>
        <v>502.93018140582922</v>
      </c>
      <c r="I12" s="97">
        <f>IFERROR('6a'!I12/'5h'!$C11*1000, "na")</f>
        <v>510.18801454418718</v>
      </c>
      <c r="J12" s="112">
        <f>IFERROR('6a'!J12/'5h'!$D11*1000, "na")</f>
        <v>33.723943745462101</v>
      </c>
      <c r="K12" s="113">
        <f>IFERROR('6a'!K12/'5h'!$D11*1000, "na")</f>
        <v>255.2798623771763</v>
      </c>
      <c r="L12" s="113">
        <f>IFERROR('6a'!L12/'5h'!$D11*1000, "na")</f>
        <v>343.02741474982304</v>
      </c>
      <c r="M12" s="97">
        <f>IFERROR('6a'!M12/'5h'!$D11*1000, "na")</f>
        <v>632.03122087246152</v>
      </c>
    </row>
    <row r="13" spans="1:13">
      <c r="A13" s="185">
        <v>1988</v>
      </c>
      <c r="B13" s="112" t="str">
        <f>IFERROR('6a'!B13/'5h'!$B12*1000, "na")</f>
        <v>na</v>
      </c>
      <c r="C13" s="113" t="str">
        <f>IFERROR('6a'!C13/'5h'!$B12*1000, "na")</f>
        <v>na</v>
      </c>
      <c r="D13" s="113" t="str">
        <f>IFERROR('6a'!D13/'5h'!$B12*1000, "na")</f>
        <v>na</v>
      </c>
      <c r="E13" s="97" t="str">
        <f>IFERROR('6a'!E13/'5h'!$B12*1000, "na")</f>
        <v>na</v>
      </c>
      <c r="F13" s="112">
        <f>IFERROR('6a'!F13/'5h'!$C12*1000, "na")</f>
        <v>6.3273642787752786</v>
      </c>
      <c r="G13" s="113">
        <f>IFERROR('6a'!G13/'5h'!$C12*1000, "na")</f>
        <v>28.792418329655614</v>
      </c>
      <c r="H13" s="113">
        <f>IFERROR('6a'!H13/'5h'!$C12*1000, "na")</f>
        <v>892.20646894388631</v>
      </c>
      <c r="I13" s="97">
        <f>IFERROR('6a'!I13/'5h'!$C12*1000, "na")</f>
        <v>927.32625155231722</v>
      </c>
      <c r="J13" s="112">
        <f>IFERROR('6a'!J13/'5h'!$D12*1000, "na")</f>
        <v>37.319322114108957</v>
      </c>
      <c r="K13" s="113">
        <f>IFERROR('6a'!K13/'5h'!$D12*1000, "na")</f>
        <v>294.34520805279266</v>
      </c>
      <c r="L13" s="113">
        <f>IFERROR('6a'!L13/'5h'!$D12*1000, "na")</f>
        <v>369.75546931061751</v>
      </c>
      <c r="M13" s="97">
        <f>IFERROR('6a'!M13/'5h'!$D12*1000, "na")</f>
        <v>701.41999947751913</v>
      </c>
    </row>
    <row r="14" spans="1:13">
      <c r="A14" s="185">
        <v>1989</v>
      </c>
      <c r="B14" s="112" t="str">
        <f>IFERROR('6a'!B14/'5h'!$B13*1000, "na")</f>
        <v>na</v>
      </c>
      <c r="C14" s="113" t="str">
        <f>IFERROR('6a'!C14/'5h'!$B13*1000, "na")</f>
        <v>na</v>
      </c>
      <c r="D14" s="113" t="str">
        <f>IFERROR('6a'!D14/'5h'!$B13*1000, "na")</f>
        <v>na</v>
      </c>
      <c r="E14" s="97" t="str">
        <f>IFERROR('6a'!E14/'5h'!$B13*1000, "na")</f>
        <v>na</v>
      </c>
      <c r="F14" s="112">
        <f>IFERROR('6a'!F14/'5h'!$C13*1000, "na")</f>
        <v>13.88318866441139</v>
      </c>
      <c r="G14" s="113">
        <f>IFERROR('6a'!G14/'5h'!$C13*1000, "na")</f>
        <v>92.158100443343585</v>
      </c>
      <c r="H14" s="113">
        <f>IFERROR('6a'!H14/'5h'!$C13*1000, "na")</f>
        <v>961.18769489679755</v>
      </c>
      <c r="I14" s="97">
        <f>IFERROR('6a'!I14/'5h'!$C13*1000, "na")</f>
        <v>1067.2289840045526</v>
      </c>
      <c r="J14" s="112">
        <f>IFERROR('6a'!J14/'5h'!$D13*1000, "na")</f>
        <v>44.151474532327668</v>
      </c>
      <c r="K14" s="113">
        <f>IFERROR('6a'!K14/'5h'!$D13*1000, "na")</f>
        <v>369.71116965367088</v>
      </c>
      <c r="L14" s="113">
        <f>IFERROR('6a'!L14/'5h'!$D13*1000, "na")</f>
        <v>359.38921850397651</v>
      </c>
      <c r="M14" s="97">
        <f>IFERROR('6a'!M14/'5h'!$D13*1000, "na")</f>
        <v>773.25186268997504</v>
      </c>
    </row>
    <row r="15" spans="1:13">
      <c r="A15" s="185">
        <v>1990</v>
      </c>
      <c r="B15" s="112">
        <f>IFERROR('6a'!B15/'5h'!$B14*1000, "na")</f>
        <v>43.494569818717657</v>
      </c>
      <c r="C15" s="113">
        <f>IFERROR('6a'!C15/'5h'!$B14*1000, "na")</f>
        <v>431.28033880929161</v>
      </c>
      <c r="D15" s="113">
        <f>IFERROR('6a'!D15/'5h'!$B14*1000, "na")</f>
        <v>1326.5364867881519</v>
      </c>
      <c r="E15" s="97">
        <f>IFERROR('6a'!E15/'5h'!$B14*1000, "na")</f>
        <v>1801.3113954161613</v>
      </c>
      <c r="F15" s="112">
        <f>IFERROR('6a'!F15/'5h'!$C14*1000, "na")</f>
        <v>21.376540508994953</v>
      </c>
      <c r="G15" s="113">
        <f>IFERROR('6a'!G15/'5h'!$C14*1000, "na")</f>
        <v>168.30211290053649</v>
      </c>
      <c r="H15" s="113">
        <f>IFERROR('6a'!H15/'5h'!$C14*1000, "na")</f>
        <v>632.64896700339318</v>
      </c>
      <c r="I15" s="97">
        <f>IFERROR('6a'!I15/'5h'!$C14*1000, "na")</f>
        <v>822.3276204129246</v>
      </c>
      <c r="J15" s="112">
        <f>IFERROR('6a'!J15/'5h'!$D14*1000, "na")</f>
        <v>43.018494820094709</v>
      </c>
      <c r="K15" s="113">
        <f>IFERROR('6a'!K15/'5h'!$D14*1000, "na")</f>
        <v>431.02373076187433</v>
      </c>
      <c r="L15" s="113">
        <f>IFERROR('6a'!L15/'5h'!$D14*1000, "na")</f>
        <v>368.52636086338384</v>
      </c>
      <c r="M15" s="97">
        <f>IFERROR('6a'!M15/'5h'!$D14*1000, "na")</f>
        <v>842.56858644535282</v>
      </c>
    </row>
    <row r="16" spans="1:13">
      <c r="A16" s="185">
        <v>1991</v>
      </c>
      <c r="B16" s="112">
        <f>IFERROR('6a'!B16/'5h'!$B15*1000, "na")</f>
        <v>47.275968442197055</v>
      </c>
      <c r="C16" s="113">
        <f>IFERROR('6a'!C16/'5h'!$B15*1000, "na")</f>
        <v>540.53034599130694</v>
      </c>
      <c r="D16" s="113">
        <f>IFERROR('6a'!D16/'5h'!$B15*1000, "na")</f>
        <v>1251.1858717069256</v>
      </c>
      <c r="E16" s="97">
        <f>IFERROR('6a'!E16/'5h'!$B15*1000, "na")</f>
        <v>1838.9921861404293</v>
      </c>
      <c r="F16" s="112">
        <f>IFERROR('6a'!F16/'5h'!$C15*1000, "na")</f>
        <v>27.66719914609671</v>
      </c>
      <c r="G16" s="113">
        <f>IFERROR('6a'!G16/'5h'!$C15*1000, "na")</f>
        <v>258.28622314700482</v>
      </c>
      <c r="H16" s="113">
        <f>IFERROR('6a'!H16/'5h'!$C15*1000, "na")</f>
        <v>481.39185906760531</v>
      </c>
      <c r="I16" s="97">
        <f>IFERROR('6a'!I16/'5h'!$C15*1000, "na")</f>
        <v>767.34528136070674</v>
      </c>
      <c r="J16" s="112">
        <f>IFERROR('6a'!J16/'5h'!$D15*1000, "na")</f>
        <v>47.705827844612216</v>
      </c>
      <c r="K16" s="113">
        <f>IFERROR('6a'!K16/'5h'!$D15*1000, "na")</f>
        <v>494.93566210041615</v>
      </c>
      <c r="L16" s="113">
        <f>IFERROR('6a'!L16/'5h'!$D15*1000, "na")</f>
        <v>359.50791826276088</v>
      </c>
      <c r="M16" s="97">
        <f>IFERROR('6a'!M16/'5h'!$D15*1000, "na")</f>
        <v>902.14940820778929</v>
      </c>
    </row>
    <row r="17" spans="1:13">
      <c r="A17" s="185">
        <v>1992</v>
      </c>
      <c r="B17" s="112">
        <f>IFERROR('6a'!B17/'5h'!$B16*1000, "na")</f>
        <v>72.136198792430335</v>
      </c>
      <c r="C17" s="113">
        <f>IFERROR('6a'!C17/'5h'!$B16*1000, "na")</f>
        <v>655.96685696204713</v>
      </c>
      <c r="D17" s="113">
        <f>IFERROR('6a'!D17/'5h'!$B16*1000, "na")</f>
        <v>3448.1718009162396</v>
      </c>
      <c r="E17" s="97">
        <f>IFERROR('6a'!E17/'5h'!$B16*1000, "na")</f>
        <v>4176.2748566707169</v>
      </c>
      <c r="F17" s="112">
        <f>IFERROR('6a'!F17/'5h'!$C16*1000, "na")</f>
        <v>53.018641257434908</v>
      </c>
      <c r="G17" s="113">
        <f>IFERROR('6a'!G17/'5h'!$C16*1000, "na")</f>
        <v>395.17733410159695</v>
      </c>
      <c r="H17" s="113">
        <f>IFERROR('6a'!H17/'5h'!$C16*1000, "na")</f>
        <v>323.49783957686839</v>
      </c>
      <c r="I17" s="97">
        <f>IFERROR('6a'!I17/'5h'!$C16*1000, "na")</f>
        <v>771.69381493590015</v>
      </c>
      <c r="J17" s="112">
        <f>IFERROR('6a'!J17/'5h'!$D16*1000, "na")</f>
        <v>64.588865945493794</v>
      </c>
      <c r="K17" s="113">
        <f>IFERROR('6a'!K17/'5h'!$D16*1000, "na")</f>
        <v>580.75562828156421</v>
      </c>
      <c r="L17" s="113">
        <f>IFERROR('6a'!L17/'5h'!$D16*1000, "na")</f>
        <v>382.96244630040786</v>
      </c>
      <c r="M17" s="97">
        <f>IFERROR('6a'!M17/'5h'!$D16*1000, "na")</f>
        <v>1028.3069405274659</v>
      </c>
    </row>
    <row r="18" spans="1:13">
      <c r="A18" s="185">
        <v>1993</v>
      </c>
      <c r="B18" s="112">
        <f>IFERROR('6a'!B18/'5h'!$B17*1000, "na")</f>
        <v>116.05981954733645</v>
      </c>
      <c r="C18" s="113">
        <f>IFERROR('6a'!C18/'5h'!$B17*1000, "na")</f>
        <v>865.64000682846142</v>
      </c>
      <c r="D18" s="113">
        <f>IFERROR('6a'!D18/'5h'!$B17*1000, "na")</f>
        <v>3219.2113038820989</v>
      </c>
      <c r="E18" s="97">
        <f>IFERROR('6a'!E18/'5h'!$B17*1000, "na")</f>
        <v>4200.9111302578967</v>
      </c>
      <c r="F18" s="112">
        <f>IFERROR('6a'!F18/'5h'!$C17*1000, "na")</f>
        <v>163.48882947633177</v>
      </c>
      <c r="G18" s="113">
        <f>IFERROR('6a'!G18/'5h'!$C17*1000, "na")</f>
        <v>1277.7983543773048</v>
      </c>
      <c r="H18" s="113">
        <f>IFERROR('6a'!H18/'5h'!$C17*1000, "na")</f>
        <v>687.81883153811555</v>
      </c>
      <c r="I18" s="97">
        <f>IFERROR('6a'!I18/'5h'!$C17*1000, "na")</f>
        <v>2129.106015391752</v>
      </c>
      <c r="J18" s="112">
        <f>IFERROR('6a'!J18/'5h'!$D17*1000, "na")</f>
        <v>81.256167350163253</v>
      </c>
      <c r="K18" s="113">
        <f>IFERROR('6a'!K18/'5h'!$D17*1000, "na")</f>
        <v>635.90554669377877</v>
      </c>
      <c r="L18" s="113">
        <f>IFERROR('6a'!L18/'5h'!$D17*1000, "na")</f>
        <v>398.98751153535113</v>
      </c>
      <c r="M18" s="97">
        <f>IFERROR('6a'!M18/'5h'!$D17*1000, "na")</f>
        <v>1116.1492255792932</v>
      </c>
    </row>
    <row r="19" spans="1:13">
      <c r="A19" s="185">
        <v>1994</v>
      </c>
      <c r="B19" s="112">
        <f>IFERROR('6a'!B19/'5h'!$B18*1000, "na")</f>
        <v>135.85334088203123</v>
      </c>
      <c r="C19" s="113">
        <f>IFERROR('6a'!C19/'5h'!$B18*1000, "na")</f>
        <v>1249.7941283521388</v>
      </c>
      <c r="D19" s="113">
        <f>IFERROR('6a'!D19/'5h'!$B18*1000, "na")</f>
        <v>4603.1306077463851</v>
      </c>
      <c r="E19" s="97">
        <f>IFERROR('6a'!E19/'5h'!$B18*1000, "na")</f>
        <v>5988.7780769805549</v>
      </c>
      <c r="F19" s="112">
        <f>IFERROR('6a'!F19/'5h'!$C18*1000, "na")</f>
        <v>184.91425981861468</v>
      </c>
      <c r="G19" s="113">
        <f>IFERROR('6a'!G19/'5h'!$C18*1000, "na")</f>
        <v>1665.4221417257152</v>
      </c>
      <c r="H19" s="113">
        <f>IFERROR('6a'!H19/'5h'!$C18*1000, "na")</f>
        <v>880.79270951607793</v>
      </c>
      <c r="I19" s="97">
        <f>IFERROR('6a'!I19/'5h'!$C18*1000, "na")</f>
        <v>2731.1291110604075</v>
      </c>
      <c r="J19" s="112">
        <f>IFERROR('6a'!J19/'5h'!$D18*1000, "na")</f>
        <v>97.168883960932433</v>
      </c>
      <c r="K19" s="113">
        <f>IFERROR('6a'!K19/'5h'!$D18*1000, "na")</f>
        <v>675.269387289218</v>
      </c>
      <c r="L19" s="113">
        <f>IFERROR('6a'!L19/'5h'!$D18*1000, "na")</f>
        <v>456.82696890557446</v>
      </c>
      <c r="M19" s="97">
        <f>IFERROR('6a'!M19/'5h'!$D18*1000, "na")</f>
        <v>1229.265240155725</v>
      </c>
    </row>
    <row r="20" spans="1:13">
      <c r="A20" s="185">
        <v>1995</v>
      </c>
      <c r="B20" s="112">
        <f>IFERROR('6a'!B20/'5h'!$B19*1000, "na")</f>
        <v>285.72080185678789</v>
      </c>
      <c r="C20" s="113">
        <f>IFERROR('6a'!C20/'5h'!$B19*1000, "na")</f>
        <v>2106.9746053705608</v>
      </c>
      <c r="D20" s="113">
        <f>IFERROR('6a'!D20/'5h'!$B19*1000, "na")</f>
        <v>9379.3125722150708</v>
      </c>
      <c r="E20" s="97">
        <f>IFERROR('6a'!E20/'5h'!$B19*1000, "na")</f>
        <v>11772.007979442418</v>
      </c>
      <c r="F20" s="112">
        <f>IFERROR('6a'!F20/'5h'!$C19*1000, "na")</f>
        <v>232.08786608109003</v>
      </c>
      <c r="G20" s="113">
        <f>IFERROR('6a'!G20/'5h'!$C19*1000, "na")</f>
        <v>1446.5318069008067</v>
      </c>
      <c r="H20" s="113">
        <f>IFERROR('6a'!H20/'5h'!$C19*1000, "na")</f>
        <v>852.20069579313576</v>
      </c>
      <c r="I20" s="97">
        <f>IFERROR('6a'!I20/'5h'!$C19*1000, "na")</f>
        <v>2530.8203687750324</v>
      </c>
      <c r="J20" s="112">
        <f>IFERROR('6a'!J20/'5h'!$D19*1000, "na")</f>
        <v>142.2699955179109</v>
      </c>
      <c r="K20" s="113">
        <f>IFERROR('6a'!K20/'5h'!$D19*1000, "na")</f>
        <v>721.22877214670177</v>
      </c>
      <c r="L20" s="113">
        <f>IFERROR('6a'!L20/'5h'!$D19*1000, "na")</f>
        <v>510.47458579296989</v>
      </c>
      <c r="M20" s="97">
        <f>IFERROR('6a'!M20/'5h'!$D19*1000, "na")</f>
        <v>1373.9733534575823</v>
      </c>
    </row>
    <row r="21" spans="1:13">
      <c r="A21" s="185">
        <v>1996</v>
      </c>
      <c r="B21" s="112">
        <f>IFERROR('6a'!B21/'5h'!$B20*1000, "na")</f>
        <v>446.50112143064376</v>
      </c>
      <c r="C21" s="113">
        <f>IFERROR('6a'!C21/'5h'!$B20*1000, "na")</f>
        <v>2746.6423892936382</v>
      </c>
      <c r="D21" s="113">
        <f>IFERROR('6a'!D21/'5h'!$B20*1000, "na")</f>
        <v>11741.441823322286</v>
      </c>
      <c r="E21" s="97">
        <f>IFERROR('6a'!E21/'5h'!$B20*1000, "na")</f>
        <v>14934.585334046567</v>
      </c>
      <c r="F21" s="112">
        <f>IFERROR('6a'!F21/'5h'!$C20*1000, "na")</f>
        <v>305.22303570611012</v>
      </c>
      <c r="G21" s="113">
        <f>IFERROR('6a'!G21/'5h'!$C20*1000, "na")</f>
        <v>1498.2874331417026</v>
      </c>
      <c r="H21" s="113">
        <f>IFERROR('6a'!H21/'5h'!$C20*1000, "na")</f>
        <v>889.0758114394863</v>
      </c>
      <c r="I21" s="97">
        <f>IFERROR('6a'!I21/'5h'!$C20*1000, "na")</f>
        <v>2692.5862802872989</v>
      </c>
      <c r="J21" s="112">
        <f>IFERROR('6a'!J21/'5h'!$D20*1000, "na")</f>
        <v>201.20415912536916</v>
      </c>
      <c r="K21" s="113">
        <f>IFERROR('6a'!K21/'5h'!$D20*1000, "na")</f>
        <v>826.84243124803379</v>
      </c>
      <c r="L21" s="113">
        <f>IFERROR('6a'!L21/'5h'!$D20*1000, "na")</f>
        <v>565.81546050464192</v>
      </c>
      <c r="M21" s="97">
        <f>IFERROR('6a'!M21/'5h'!$D20*1000, "na")</f>
        <v>1593.862050878045</v>
      </c>
    </row>
    <row r="22" spans="1:13">
      <c r="A22" s="185">
        <v>1997</v>
      </c>
      <c r="B22" s="112">
        <f>IFERROR('6a'!B22/'5h'!$B21*1000, "na")</f>
        <v>960.01589955295469</v>
      </c>
      <c r="C22" s="113">
        <f>IFERROR('6a'!C22/'5h'!$B21*1000, "na")</f>
        <v>4104.2887011128187</v>
      </c>
      <c r="D22" s="113">
        <f>IFERROR('6a'!D22/'5h'!$B21*1000, "na")</f>
        <v>15104.847493672227</v>
      </c>
      <c r="E22" s="97">
        <f>IFERROR('6a'!E22/'5h'!$B21*1000, "na")</f>
        <v>20169.152094337998</v>
      </c>
      <c r="F22" s="112">
        <f>IFERROR('6a'!F22/'5h'!$C21*1000, "na")</f>
        <v>419.96327662089692</v>
      </c>
      <c r="G22" s="113">
        <f>IFERROR('6a'!G22/'5h'!$C21*1000, "na")</f>
        <v>1527.3534522283217</v>
      </c>
      <c r="H22" s="113">
        <f>IFERROR('6a'!H22/'5h'!$C21*1000, "na")</f>
        <v>754.2275466608196</v>
      </c>
      <c r="I22" s="97">
        <f>IFERROR('6a'!I22/'5h'!$C21*1000, "na")</f>
        <v>2701.5442755100385</v>
      </c>
      <c r="J22" s="112">
        <f>IFERROR('6a'!J22/'5h'!$D21*1000, "na")</f>
        <v>286.17632747974915</v>
      </c>
      <c r="K22" s="113">
        <f>IFERROR('6a'!K22/'5h'!$D21*1000, "na")</f>
        <v>1040.2165291618649</v>
      </c>
      <c r="L22" s="113">
        <f>IFERROR('6a'!L22/'5h'!$D21*1000, "na")</f>
        <v>625.5443189162371</v>
      </c>
      <c r="M22" s="97">
        <f>IFERROR('6a'!M22/'5h'!$D21*1000, "na")</f>
        <v>1951.9371755578507</v>
      </c>
    </row>
    <row r="23" spans="1:13">
      <c r="A23" s="185">
        <v>1998</v>
      </c>
      <c r="B23" s="112">
        <f>IFERROR('6a'!B23/'5h'!$B22*1000, "na")</f>
        <v>1164.8232976583481</v>
      </c>
      <c r="C23" s="113">
        <f>IFERROR('6a'!C23/'5h'!$B22*1000, "na")</f>
        <v>3801.0976247475505</v>
      </c>
      <c r="D23" s="113">
        <f>IFERROR('6a'!D23/'5h'!$B22*1000, "na")</f>
        <v>13935.980390622193</v>
      </c>
      <c r="E23" s="97">
        <f>IFERROR('6a'!E23/'5h'!$B22*1000, "na")</f>
        <v>18901.901313028095</v>
      </c>
      <c r="F23" s="112">
        <f>IFERROR('6a'!F23/'5h'!$C22*1000, "na")</f>
        <v>680.68542348757796</v>
      </c>
      <c r="G23" s="113">
        <f>IFERROR('6a'!G23/'5h'!$C22*1000, "na")</f>
        <v>1934.7181701491925</v>
      </c>
      <c r="H23" s="113">
        <f>IFERROR('6a'!H23/'5h'!$C22*1000, "na")</f>
        <v>965.22108011094804</v>
      </c>
      <c r="I23" s="97">
        <f>IFERROR('6a'!I23/'5h'!$C22*1000, "na")</f>
        <v>3580.6246737477181</v>
      </c>
      <c r="J23" s="112">
        <f>IFERROR('6a'!J23/'5h'!$D22*1000, "na")</f>
        <v>402.32302727518993</v>
      </c>
      <c r="K23" s="113">
        <f>IFERROR('6a'!K23/'5h'!$D22*1000, "na")</f>
        <v>1222.410143550873</v>
      </c>
      <c r="L23" s="113">
        <f>IFERROR('6a'!L23/'5h'!$D22*1000, "na")</f>
        <v>702.43576262348176</v>
      </c>
      <c r="M23" s="97">
        <f>IFERROR('6a'!M23/'5h'!$D22*1000, "na")</f>
        <v>2327.1689334495445</v>
      </c>
    </row>
    <row r="24" spans="1:13">
      <c r="A24" s="185">
        <v>1999</v>
      </c>
      <c r="B24" s="112">
        <f>IFERROR('6a'!B24/'5h'!$B23*1000, "na")</f>
        <v>885.16652693611456</v>
      </c>
      <c r="C24" s="113">
        <f>IFERROR('6a'!C24/'5h'!$B23*1000, "na")</f>
        <v>2736.2783834483471</v>
      </c>
      <c r="D24" s="113">
        <f>IFERROR('6a'!D24/'5h'!$B23*1000, "na")</f>
        <v>9388.4223855352175</v>
      </c>
      <c r="E24" s="97">
        <f>IFERROR('6a'!E24/'5h'!$B23*1000, "na")</f>
        <v>13009.867295919679</v>
      </c>
      <c r="F24" s="112">
        <f>IFERROR('6a'!F24/'5h'!$C23*1000, "na")</f>
        <v>742.1462396073008</v>
      </c>
      <c r="G24" s="113">
        <f>IFERROR('6a'!G24/'5h'!$C23*1000, "na")</f>
        <v>2085.7351366679636</v>
      </c>
      <c r="H24" s="113">
        <f>IFERROR('6a'!H24/'5h'!$C23*1000, "na")</f>
        <v>1067.9079853088663</v>
      </c>
      <c r="I24" s="97">
        <f>IFERROR('6a'!I24/'5h'!$C23*1000, "na")</f>
        <v>3895.7893615841308</v>
      </c>
      <c r="J24" s="112">
        <f>IFERROR('6a'!J24/'5h'!$D23*1000, "na")</f>
        <v>555.41526549944297</v>
      </c>
      <c r="K24" s="113">
        <f>IFERROR('6a'!K24/'5h'!$D23*1000, "na")</f>
        <v>1470.7026235710666</v>
      </c>
      <c r="L24" s="113">
        <f>IFERROR('6a'!L24/'5h'!$D23*1000, "na")</f>
        <v>814.97181712935355</v>
      </c>
      <c r="M24" s="97">
        <f>IFERROR('6a'!M24/'5h'!$D23*1000, "na")</f>
        <v>2841.089706199863</v>
      </c>
    </row>
    <row r="25" spans="1:13">
      <c r="A25" s="185">
        <v>2000</v>
      </c>
      <c r="B25" s="112">
        <f>IFERROR('6a'!B25/'5h'!$B24*1000, "na")</f>
        <v>1157.539552654687</v>
      </c>
      <c r="C25" s="113">
        <f>IFERROR('6a'!C25/'5h'!$B24*1000, "na")</f>
        <v>3646.1446008170005</v>
      </c>
      <c r="D25" s="113">
        <f>IFERROR('6a'!D25/'5h'!$B24*1000, "na")</f>
        <v>13059.873128611996</v>
      </c>
      <c r="E25" s="97">
        <f>IFERROR('6a'!E25/'5h'!$B24*1000, "na")</f>
        <v>17863.557282083682</v>
      </c>
      <c r="F25" s="112">
        <f>IFERROR('6a'!F25/'5h'!$C24*1000, "na")</f>
        <v>404.9426048975443</v>
      </c>
      <c r="G25" s="113">
        <f>IFERROR('6a'!G25/'5h'!$C24*1000, "na")</f>
        <v>991.88674863763549</v>
      </c>
      <c r="H25" s="113">
        <f>IFERROR('6a'!H25/'5h'!$C24*1000, "na")</f>
        <v>643.14518812302867</v>
      </c>
      <c r="I25" s="97">
        <f>IFERROR('6a'!I25/'5h'!$C24*1000, "na")</f>
        <v>2039.9745416582084</v>
      </c>
      <c r="J25" s="112">
        <f>IFERROR('6a'!J25/'5h'!$D24*1000, "na")</f>
        <v>658.04533206086774</v>
      </c>
      <c r="K25" s="113">
        <f>IFERROR('6a'!K25/'5h'!$D24*1000, "na")</f>
        <v>1639.1942817589372</v>
      </c>
      <c r="L25" s="113">
        <f>IFERROR('6a'!L25/'5h'!$D24*1000, "na")</f>
        <v>1037.6302934201019</v>
      </c>
      <c r="M25" s="97">
        <f>IFERROR('6a'!M25/'5h'!$D24*1000, "na")</f>
        <v>3334.8699072399068</v>
      </c>
    </row>
    <row r="26" spans="1:13">
      <c r="A26" s="185">
        <v>2001</v>
      </c>
      <c r="B26" s="112">
        <f>IFERROR('6a'!B26/'5h'!$B25*1000, "na")</f>
        <v>995.80683354251596</v>
      </c>
      <c r="C26" s="113">
        <f>IFERROR('6a'!C26/'5h'!$B25*1000, "na")</f>
        <v>3166.9836620906531</v>
      </c>
      <c r="D26" s="113">
        <f>IFERROR('6a'!D26/'5h'!$B25*1000, "na")</f>
        <v>11609.219972409419</v>
      </c>
      <c r="E26" s="97">
        <f>IFERROR('6a'!E26/'5h'!$B25*1000, "na")</f>
        <v>15772.01046804259</v>
      </c>
      <c r="F26" s="112">
        <f>IFERROR('6a'!F26/'5h'!$C25*1000, "na")</f>
        <v>269.81978989453614</v>
      </c>
      <c r="G26" s="113">
        <f>IFERROR('6a'!G26/'5h'!$C25*1000, "na")</f>
        <v>567.10722188608361</v>
      </c>
      <c r="H26" s="113">
        <f>IFERROR('6a'!H26/'5h'!$C25*1000, "na")</f>
        <v>505.14468266198219</v>
      </c>
      <c r="I26" s="97">
        <f>IFERROR('6a'!I26/'5h'!$C25*1000, "na")</f>
        <v>1342.0716944426019</v>
      </c>
      <c r="J26" s="112">
        <f>IFERROR('6a'!J26/'5h'!$D25*1000, "na")</f>
        <v>671.96361267345412</v>
      </c>
      <c r="K26" s="113">
        <f>IFERROR('6a'!K26/'5h'!$D25*1000, "na")</f>
        <v>1655.2607985967425</v>
      </c>
      <c r="L26" s="113">
        <f>IFERROR('6a'!L26/'5h'!$D25*1000, "na")</f>
        <v>958.74318731641642</v>
      </c>
      <c r="M26" s="97">
        <f>IFERROR('6a'!M26/'5h'!$D25*1000, "na")</f>
        <v>3285.9675985866129</v>
      </c>
    </row>
    <row r="27" spans="1:13">
      <c r="A27" s="185">
        <v>2002</v>
      </c>
      <c r="B27" s="112">
        <f>IFERROR('6a'!B27/'5h'!$B26*1000, "na")</f>
        <v>296.36202307009762</v>
      </c>
      <c r="C27" s="113">
        <f>IFERROR('6a'!C27/'5h'!$B26*1000, "na")</f>
        <v>612.24489795918373</v>
      </c>
      <c r="D27" s="113">
        <f>IFERROR('6a'!D27/'5h'!$B26*1000, "na")</f>
        <v>2166.8145519077198</v>
      </c>
      <c r="E27" s="97">
        <f>IFERROR('6a'!E27/'5h'!$B26*1000, "na")</f>
        <v>3075.421472937001</v>
      </c>
      <c r="F27" s="112">
        <f>IFERROR('6a'!F27/'5h'!$C26*1000, "na")</f>
        <v>224.97704315886133</v>
      </c>
      <c r="G27" s="113">
        <f>IFERROR('6a'!G27/'5h'!$C26*1000, "na")</f>
        <v>431.58861340679522</v>
      </c>
      <c r="H27" s="113">
        <f>IFERROR('6a'!H27/'5h'!$C26*1000, "na")</f>
        <v>514.23324150596875</v>
      </c>
      <c r="I27" s="97">
        <f>IFERROR('6a'!I27/'5h'!$C26*1000, "na")</f>
        <v>1170.7988980716252</v>
      </c>
      <c r="J27" s="112">
        <f>IFERROR('6a'!J27/'5h'!$D26*1000, "na")</f>
        <v>712.13290697247032</v>
      </c>
      <c r="K27" s="113">
        <f>IFERROR('6a'!K27/'5h'!$D26*1000, "na")</f>
        <v>1681.552541625317</v>
      </c>
      <c r="L27" s="113">
        <f>IFERROR('6a'!L27/'5h'!$D26*1000, "na")</f>
        <v>769.10353953026799</v>
      </c>
      <c r="M27" s="97">
        <f>IFERROR('6a'!M27/'5h'!$D26*1000, "na")</f>
        <v>3162.7889881280553</v>
      </c>
    </row>
    <row r="28" spans="1:13">
      <c r="A28" s="185">
        <v>2003</v>
      </c>
      <c r="B28" s="112">
        <f>IFERROR('6a'!B28/'5h'!$B27*1000, "na")</f>
        <v>291.46880580045087</v>
      </c>
      <c r="C28" s="113">
        <f>IFERROR('6a'!C28/'5h'!$B27*1000, "na")</f>
        <v>601.01989780249062</v>
      </c>
      <c r="D28" s="113">
        <f>IFERROR('6a'!D28/'5h'!$B27*1000, "na")</f>
        <v>2200.1286000721088</v>
      </c>
      <c r="E28" s="97">
        <f>IFERROR('6a'!E28/'5h'!$B27*1000, "na")</f>
        <v>3092.6173036750506</v>
      </c>
      <c r="F28" s="112">
        <f>IFERROR('6a'!F28/'5h'!$C27*1000, "na")</f>
        <v>295.75450672226549</v>
      </c>
      <c r="G28" s="113">
        <f>IFERROR('6a'!G28/'5h'!$C27*1000, "na")</f>
        <v>544.07001554335477</v>
      </c>
      <c r="H28" s="113">
        <f>IFERROR('6a'!H28/'5h'!$C27*1000, "na")</f>
        <v>647.69513340982394</v>
      </c>
      <c r="I28" s="97">
        <f>IFERROR('6a'!I28/'5h'!$C27*1000, "na")</f>
        <v>1487.519655675444</v>
      </c>
      <c r="J28" s="112">
        <f>IFERROR('6a'!J28/'5h'!$D27*1000, "na")</f>
        <v>777.50094223819792</v>
      </c>
      <c r="K28" s="113">
        <f>IFERROR('6a'!K28/'5h'!$D27*1000, "na")</f>
        <v>1806.003086452029</v>
      </c>
      <c r="L28" s="113">
        <f>IFERROR('6a'!L28/'5h'!$D27*1000, "na")</f>
        <v>783.59475069756843</v>
      </c>
      <c r="M28" s="97">
        <f>IFERROR('6a'!M28/'5h'!$D27*1000, "na")</f>
        <v>3367.0987793877957</v>
      </c>
    </row>
    <row r="29" spans="1:13">
      <c r="A29" s="185">
        <v>2004</v>
      </c>
      <c r="B29" s="112">
        <f>IFERROR('6a'!B29/'5h'!$B28*1000, "na")</f>
        <v>290.68808203799233</v>
      </c>
      <c r="C29" s="113">
        <f>IFERROR('6a'!C29/'5h'!$B28*1000, "na")</f>
        <v>621.02677249635849</v>
      </c>
      <c r="D29" s="113">
        <f>IFERROR('6a'!D29/'5h'!$B28*1000, "na")</f>
        <v>2094.3365400592857</v>
      </c>
      <c r="E29" s="97">
        <f>IFERROR('6a'!E29/'5h'!$B28*1000, "na")</f>
        <v>3006.0513945936364</v>
      </c>
      <c r="F29" s="112">
        <f>IFERROR('6a'!F29/'5h'!$C28*1000, "na")</f>
        <v>297.85264035539825</v>
      </c>
      <c r="G29" s="113">
        <f>IFERROR('6a'!G29/'5h'!$C28*1000, "na")</f>
        <v>567.36432235603979</v>
      </c>
      <c r="H29" s="113">
        <f>IFERROR('6a'!H29/'5h'!$C28*1000, "na")</f>
        <v>616.30894995522715</v>
      </c>
      <c r="I29" s="97">
        <f>IFERROR('6a'!I29/'5h'!$C28*1000, "na")</f>
        <v>1481.5259126666656</v>
      </c>
      <c r="J29" s="112">
        <f>IFERROR('6a'!J29/'5h'!$D28*1000, "na")</f>
        <v>854.51966757200694</v>
      </c>
      <c r="K29" s="113">
        <f>IFERROR('6a'!K29/'5h'!$D28*1000, "na")</f>
        <v>1965.9817022491293</v>
      </c>
      <c r="L29" s="113">
        <f>IFERROR('6a'!L29/'5h'!$D28*1000, "na")</f>
        <v>834.89452152262947</v>
      </c>
      <c r="M29" s="97">
        <f>IFERROR('6a'!M29/'5h'!$D28*1000, "na")</f>
        <v>3655.3958913437659</v>
      </c>
    </row>
    <row r="30" spans="1:13">
      <c r="A30" s="185">
        <v>2005</v>
      </c>
      <c r="B30" s="112">
        <f>IFERROR('6a'!B30/'5h'!$B29*1000, "na")</f>
        <v>268.55096527732735</v>
      </c>
      <c r="C30" s="113">
        <f>IFERROR('6a'!C30/'5h'!$B29*1000, "na")</f>
        <v>564.17055300511026</v>
      </c>
      <c r="D30" s="113">
        <f>IFERROR('6a'!D30/'5h'!$B29*1000, "na")</f>
        <v>1766.802450475413</v>
      </c>
      <c r="E30" s="97">
        <f>IFERROR('6a'!E30/'5h'!$B29*1000, "na")</f>
        <v>2599.5239687578505</v>
      </c>
      <c r="F30" s="112">
        <f>IFERROR('6a'!F30/'5h'!$C29*1000, "na")</f>
        <v>339.43656056892394</v>
      </c>
      <c r="G30" s="113">
        <f>IFERROR('6a'!G30/'5h'!$C29*1000, "na")</f>
        <v>604.00140446657667</v>
      </c>
      <c r="H30" s="113">
        <f>IFERROR('6a'!H30/'5h'!$C29*1000, "na")</f>
        <v>601.63895044944582</v>
      </c>
      <c r="I30" s="97">
        <f>IFERROR('6a'!I30/'5h'!$C29*1000, "na")</f>
        <v>1545.0769154849463</v>
      </c>
      <c r="J30" s="112">
        <f>IFERROR('6a'!J30/'5h'!$D29*1000, "na")</f>
        <v>935.89294007985654</v>
      </c>
      <c r="K30" s="113">
        <f>IFERROR('6a'!K30/'5h'!$D29*1000, "na")</f>
        <v>2054.7075180116781</v>
      </c>
      <c r="L30" s="113">
        <f>IFERROR('6a'!L30/'5h'!$D29*1000, "na")</f>
        <v>833.33811722844496</v>
      </c>
      <c r="M30" s="97">
        <f>IFERROR('6a'!M30/'5h'!$D29*1000, "na")</f>
        <v>3823.9385753199795</v>
      </c>
    </row>
    <row r="31" spans="1:13">
      <c r="A31" s="185">
        <v>2006</v>
      </c>
      <c r="B31" s="112">
        <f>IFERROR('6a'!B31/'5h'!$B30*1000, "na")</f>
        <v>319.43853829310603</v>
      </c>
      <c r="C31" s="113">
        <f>IFERROR('6a'!C31/'5h'!$B30*1000, "na")</f>
        <v>544.67989534128856</v>
      </c>
      <c r="D31" s="113">
        <f>IFERROR('6a'!D31/'5h'!$B30*1000, "na")</f>
        <v>1701.2060892900547</v>
      </c>
      <c r="E31" s="97">
        <f>IFERROR('6a'!E31/'5h'!$B30*1000, "na")</f>
        <v>2565.3245229244494</v>
      </c>
      <c r="F31" s="112">
        <f>IFERROR('6a'!F31/'5h'!$C30*1000, "na")</f>
        <v>501.53796517222338</v>
      </c>
      <c r="G31" s="113">
        <f>IFERROR('6a'!G31/'5h'!$C30*1000, "na")</f>
        <v>688.66872397312716</v>
      </c>
      <c r="H31" s="113">
        <f>IFERROR('6a'!H31/'5h'!$C30*1000, "na")</f>
        <v>695.08641138597079</v>
      </c>
      <c r="I31" s="97">
        <f>IFERROR('6a'!I31/'5h'!$C30*1000, "na")</f>
        <v>1885.2931005313212</v>
      </c>
      <c r="J31" s="112">
        <f>IFERROR('6a'!J31/'5h'!$D30*1000, "na")</f>
        <v>1131.2734722849129</v>
      </c>
      <c r="K31" s="113">
        <f>IFERROR('6a'!K31/'5h'!$D30*1000, "na")</f>
        <v>2099.3046460622331</v>
      </c>
      <c r="L31" s="113">
        <f>IFERROR('6a'!L31/'5h'!$D30*1000, "na")</f>
        <v>919.45498914716586</v>
      </c>
      <c r="M31" s="97">
        <f>IFERROR('6a'!M31/'5h'!$D30*1000, "na")</f>
        <v>4150.0331074943115</v>
      </c>
    </row>
    <row r="32" spans="1:13">
      <c r="A32" s="185">
        <v>2007</v>
      </c>
      <c r="B32" s="112">
        <f>IFERROR('6a'!B32/'5h'!$B31*1000, "na")</f>
        <v>609.48617144646425</v>
      </c>
      <c r="C32" s="113">
        <f>IFERROR('6a'!C32/'5h'!$B31*1000, "na")</f>
        <v>915.39832588053696</v>
      </c>
      <c r="D32" s="113">
        <f>IFERROR('6a'!D32/'5h'!$B31*1000, "na")</f>
        <v>3086.1284896941161</v>
      </c>
      <c r="E32" s="97">
        <f>IFERROR('6a'!E32/'5h'!$B31*1000, "na")</f>
        <v>4611.0129870211167</v>
      </c>
      <c r="F32" s="112">
        <f>IFERROR('6a'!F32/'5h'!$C31*1000, "na")</f>
        <v>788.83676324147461</v>
      </c>
      <c r="G32" s="113">
        <f>IFERROR('6a'!G32/'5h'!$C31*1000, "na")</f>
        <v>929.58224328717904</v>
      </c>
      <c r="H32" s="113">
        <f>IFERROR('6a'!H32/'5h'!$C31*1000, "na")</f>
        <v>1008.3889570636954</v>
      </c>
      <c r="I32" s="97">
        <f>IFERROR('6a'!I32/'5h'!$C31*1000, "na")</f>
        <v>2726.8079635923491</v>
      </c>
      <c r="J32" s="112">
        <f>IFERROR('6a'!J32/'5h'!$D31*1000, "na")</f>
        <v>1277.1008658002361</v>
      </c>
      <c r="K32" s="113">
        <f>IFERROR('6a'!K32/'5h'!$D31*1000, "na")</f>
        <v>2201.7532919476666</v>
      </c>
      <c r="L32" s="113">
        <f>IFERROR('6a'!L32/'5h'!$D31*1000, "na")</f>
        <v>1011.8134156398241</v>
      </c>
      <c r="M32" s="97">
        <f>IFERROR('6a'!M32/'5h'!$D31*1000, "na")</f>
        <v>4490.6675733877264</v>
      </c>
    </row>
    <row r="33" spans="1:13">
      <c r="A33" s="185">
        <v>2008</v>
      </c>
      <c r="B33" s="112">
        <f>IFERROR('6a'!B33/'5h'!$B32*1000, "na")</f>
        <v>719.79276145560823</v>
      </c>
      <c r="C33" s="113">
        <f>IFERROR('6a'!C33/'5h'!$B32*1000, "na")</f>
        <v>973.48337331753976</v>
      </c>
      <c r="D33" s="113">
        <f>IFERROR('6a'!D33/'5h'!$B32*1000, "na")</f>
        <v>3040.1597249697297</v>
      </c>
      <c r="E33" s="97">
        <f>IFERROR('6a'!E33/'5h'!$B32*1000, "na")</f>
        <v>4733.4358597428773</v>
      </c>
      <c r="F33" s="112">
        <f>IFERROR('6a'!F33/'5h'!$C32*1000, "na")</f>
        <v>1059.6159567035825</v>
      </c>
      <c r="G33" s="113">
        <f>IFERROR('6a'!G33/'5h'!$C32*1000, "na")</f>
        <v>1109.5946926747386</v>
      </c>
      <c r="H33" s="113">
        <f>IFERROR('6a'!H33/'5h'!$C32*1000, "na")</f>
        <v>1114.0479686735193</v>
      </c>
      <c r="I33" s="97">
        <f>IFERROR('6a'!I33/'5h'!$C32*1000, "na")</f>
        <v>3283.258618051841</v>
      </c>
      <c r="J33" s="112">
        <f>IFERROR('6a'!J33/'5h'!$D32*1000, "na")</f>
        <v>1397.277556148443</v>
      </c>
      <c r="K33" s="113">
        <f>IFERROR('6a'!K33/'5h'!$D32*1000, "na")</f>
        <v>2314.2661505994388</v>
      </c>
      <c r="L33" s="113">
        <f>IFERROR('6a'!L33/'5h'!$D32*1000, "na")</f>
        <v>970.64354955790009</v>
      </c>
      <c r="M33" s="97">
        <f>IFERROR('6a'!M33/'5h'!$D32*1000, "na")</f>
        <v>4682.1872563057814</v>
      </c>
    </row>
    <row r="34" spans="1:13">
      <c r="A34" s="57">
        <f>A33+1</f>
        <v>2009</v>
      </c>
      <c r="B34" s="112">
        <f>IFERROR('6a'!B34/'5h'!$B33*1000, "na")</f>
        <v>663.00659236999593</v>
      </c>
      <c r="C34" s="113">
        <f>IFERROR('6a'!C34/'5h'!$B33*1000, "na")</f>
        <v>865.0803398106591</v>
      </c>
      <c r="D34" s="113">
        <f>IFERROR('6a'!D34/'5h'!$B33*1000, "na")</f>
        <v>2565.2169045369251</v>
      </c>
      <c r="E34" s="97">
        <f>IFERROR('6a'!E34/'5h'!$B33*1000, "na")</f>
        <v>4093.3038367175805</v>
      </c>
      <c r="F34" s="112">
        <f>IFERROR('6a'!F34/'5h'!$C33*1000, "na")</f>
        <v>969.07787325706693</v>
      </c>
      <c r="G34" s="113">
        <f>IFERROR('6a'!G34/'5h'!$C33*1000, "na")</f>
        <v>952.5714337304928</v>
      </c>
      <c r="H34" s="113">
        <f>IFERROR('6a'!H34/'5h'!$C33*1000, "na")</f>
        <v>910.64478514863538</v>
      </c>
      <c r="I34" s="97">
        <f>IFERROR('6a'!I34/'5h'!$C33*1000, "na")</f>
        <v>2832.2940921361946</v>
      </c>
      <c r="J34" s="112">
        <f>IFERROR('6a'!J34/'5h'!$D33*1000, "na")</f>
        <v>1430.6639591822375</v>
      </c>
      <c r="K34" s="113">
        <f>IFERROR('6a'!K34/'5h'!$D33*1000, "na")</f>
        <v>2426.3993588387461</v>
      </c>
      <c r="L34" s="113">
        <f>IFERROR('6a'!L34/'5h'!$D33*1000, "na")</f>
        <v>947.52006604627309</v>
      </c>
      <c r="M34" s="97">
        <f>IFERROR('6a'!M34/'5h'!$D33*1000, "na")</f>
        <v>4804.5833840672567</v>
      </c>
    </row>
    <row r="35" spans="1:13">
      <c r="A35" s="58">
        <f t="shared" ref="A35" si="0">A34+1</f>
        <v>2010</v>
      </c>
      <c r="B35" s="114">
        <f>IFERROR('6a'!B35/'5h'!$B34*1000, "na")</f>
        <v>863.96916348768093</v>
      </c>
      <c r="C35" s="115">
        <f>IFERROR('6a'!C35/'5h'!$B34*1000, "na")</f>
        <v>897.77257361594855</v>
      </c>
      <c r="D35" s="115">
        <f>IFERROR('6a'!D35/'5h'!$B34*1000, "na")</f>
        <v>2883.481766373498</v>
      </c>
      <c r="E35" s="98">
        <f>IFERROR('6a'!E35/'5h'!$B34*1000, "na")</f>
        <v>4645.2235034771284</v>
      </c>
      <c r="F35" s="114">
        <f>IFERROR('6a'!F35/'5h'!$C34*1000, "na")</f>
        <v>1292.4097451005753</v>
      </c>
      <c r="G35" s="115">
        <f>IFERROR('6a'!G35/'5h'!$C34*1000, "na")</f>
        <v>1008.3887957919586</v>
      </c>
      <c r="H35" s="115">
        <f>IFERROR('6a'!H35/'5h'!$C34*1000, "na")</f>
        <v>1042.479205230859</v>
      </c>
      <c r="I35" s="98">
        <f>IFERROR('6a'!I35/'5h'!$C34*1000, "na")</f>
        <v>3343.2777461233927</v>
      </c>
      <c r="J35" s="114">
        <f>IFERROR('6a'!J35/'5h'!$D34*1000, "na")</f>
        <v>1879.1988401901501</v>
      </c>
      <c r="K35" s="115">
        <f>IFERROR('6a'!K35/'5h'!$D34*1000, "na")</f>
        <v>2516.4424552126447</v>
      </c>
      <c r="L35" s="115">
        <f>IFERROR('6a'!L35/'5h'!$D34*1000, "na")</f>
        <v>1077.4055815256743</v>
      </c>
      <c r="M35" s="98">
        <f>IFERROR('6a'!M35/'5h'!$D34*1000, "na")</f>
        <v>5473.0468769284689</v>
      </c>
    </row>
    <row r="36" spans="1:13">
      <c r="A36" s="23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M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>
        <f>IFERROR((POWER(F15/F6,1/($A15-$A6))-1)*100, "na")</f>
        <v>44.680364765439194</v>
      </c>
      <c r="G38" s="83">
        <f t="shared" si="1"/>
        <v>41.524506875115527</v>
      </c>
      <c r="H38" s="83">
        <f t="shared" si="1"/>
        <v>3.453081480484288</v>
      </c>
      <c r="I38" s="84">
        <f t="shared" si="1"/>
        <v>6.3064474325925879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>
        <f>IFERROR((POWER(B$25/B15,1/($A$25-$A$15))-1)*100,"na")</f>
        <v>38.83855339932083</v>
      </c>
      <c r="C39" s="86">
        <f t="shared" ref="C39:M39" si="2">IFERROR((POWER(C$25/C15,1/($A$25-$A$15))-1)*100,"na")</f>
        <v>23.796231030999458</v>
      </c>
      <c r="D39" s="86">
        <f t="shared" si="2"/>
        <v>25.696150030635678</v>
      </c>
      <c r="E39" s="87">
        <f t="shared" si="2"/>
        <v>25.787624355913685</v>
      </c>
      <c r="F39" s="85">
        <f t="shared" si="2"/>
        <v>34.197864525195286</v>
      </c>
      <c r="G39" s="86">
        <f t="shared" si="2"/>
        <v>19.409052426032215</v>
      </c>
      <c r="H39" s="86">
        <f t="shared" si="2"/>
        <v>0.16468328360799145</v>
      </c>
      <c r="I39" s="87">
        <f t="shared" si="2"/>
        <v>9.5110610864705514</v>
      </c>
      <c r="J39" s="85">
        <f t="shared" si="2"/>
        <v>31.359068531965018</v>
      </c>
      <c r="K39" s="86">
        <f t="shared" si="2"/>
        <v>14.291234806231756</v>
      </c>
      <c r="L39" s="86">
        <f t="shared" si="2"/>
        <v>10.906604290534293</v>
      </c>
      <c r="M39" s="87">
        <f t="shared" si="2"/>
        <v>14.748591482029894</v>
      </c>
    </row>
    <row r="40" spans="1:13">
      <c r="A40" s="28" t="s">
        <v>69</v>
      </c>
      <c r="B40" s="37">
        <f>IFERROR((POWER(B$35/B25,1/($A$35-$A$25))-1)*100,"na")</f>
        <v>-2.882780424297815</v>
      </c>
      <c r="C40" s="86">
        <f t="shared" ref="C40:M40" si="3">IFERROR((POWER(C$35/C25,1/($A$35-$A$25))-1)*100,"na")</f>
        <v>-13.077292670434272</v>
      </c>
      <c r="D40" s="86">
        <f t="shared" si="3"/>
        <v>-14.019923903216059</v>
      </c>
      <c r="E40" s="87">
        <f t="shared" si="3"/>
        <v>-12.601522583598435</v>
      </c>
      <c r="F40" s="85">
        <f t="shared" si="3"/>
        <v>12.305409350750685</v>
      </c>
      <c r="G40" s="86">
        <f t="shared" si="3"/>
        <v>0.16513768522417038</v>
      </c>
      <c r="H40" s="86">
        <f t="shared" si="3"/>
        <v>4.9484037951026183</v>
      </c>
      <c r="I40" s="87">
        <f t="shared" si="3"/>
        <v>5.0642031491811679</v>
      </c>
      <c r="J40" s="85">
        <f t="shared" si="3"/>
        <v>11.063586132502024</v>
      </c>
      <c r="K40" s="86">
        <f t="shared" si="3"/>
        <v>4.3796069913124125</v>
      </c>
      <c r="L40" s="86">
        <f t="shared" si="3"/>
        <v>0.37687200876206361</v>
      </c>
      <c r="M40" s="87">
        <f t="shared" si="3"/>
        <v>5.0787812753004591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M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>
        <f t="shared" si="4"/>
        <v>29.184985232861838</v>
      </c>
      <c r="G41" s="89">
        <f t="shared" si="4"/>
        <v>18.473574798647043</v>
      </c>
      <c r="H41" s="89">
        <f t="shared" si="4"/>
        <v>2.8146535637554759</v>
      </c>
      <c r="I41" s="90">
        <f t="shared" si="4"/>
        <v>6.9663151938629042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269" t="s">
        <v>225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</row>
  </sheetData>
  <mergeCells count="5">
    <mergeCell ref="A1:F2"/>
    <mergeCell ref="B4:E4"/>
    <mergeCell ref="F4:I4"/>
    <mergeCell ref="J4:M4"/>
    <mergeCell ref="A37:M37"/>
  </mergeCells>
  <pageMargins left="0.7" right="0.7" top="0.75" bottom="0.75" header="0.3" footer="0.3"/>
  <pageSetup scale="77" orientation="landscape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67"/>
  <dimension ref="A1:M43"/>
  <sheetViews>
    <sheetView zoomScaleNormal="100" workbookViewId="0">
      <selection activeCell="P25" sqref="P25"/>
    </sheetView>
  </sheetViews>
  <sheetFormatPr defaultRowHeight="15"/>
  <cols>
    <col min="1" max="1" width="10.42578125" customWidth="1"/>
    <col min="2" max="2" width="12.28515625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1.140625" customWidth="1"/>
    <col min="12" max="12" width="18.28515625" customWidth="1"/>
  </cols>
  <sheetData>
    <row r="1" spans="1:13">
      <c r="A1" s="387" t="s">
        <v>251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IFERROR('6c'!B6/'6c'!J6*100, "na")</f>
        <v>na</v>
      </c>
      <c r="C6" s="83" t="str">
        <f>IFERROR('6c'!C6/'6c'!K6*100, "na")</f>
        <v>na</v>
      </c>
      <c r="D6" s="83" t="str">
        <f>IFERROR('6c'!D6/'6c'!L6*100, "na")</f>
        <v>na</v>
      </c>
      <c r="E6" s="84" t="str">
        <f>IFERROR('6c'!E6/'6c'!M6*100, "na")</f>
        <v>na</v>
      </c>
      <c r="F6" s="82" t="str">
        <f>IFERROR('6c'!F6/'6c'!J6*100,"na")</f>
        <v>na</v>
      </c>
      <c r="G6" s="83" t="str">
        <f>IFERROR('6c'!G6/'6c'!K6*100,"na")</f>
        <v>na</v>
      </c>
      <c r="H6" s="83" t="str">
        <f>IFERROR('6c'!H6/'6c'!L6*100,"na")</f>
        <v>na</v>
      </c>
      <c r="I6" s="84" t="str">
        <f>IFERROR('6c'!I6/'6c'!M6*100,"na")</f>
        <v>na</v>
      </c>
      <c r="J6" s="347" t="str">
        <f>IFERROR('6c'!J6/'6c'!J6*100, "na")</f>
        <v>na</v>
      </c>
      <c r="K6" s="348" t="str">
        <f>IFERROR('6c'!K6/'6c'!K6*100, "na")</f>
        <v>na</v>
      </c>
      <c r="L6" s="348" t="str">
        <f>IFERROR('6c'!L6/'6c'!L6*100, "na")</f>
        <v>na</v>
      </c>
      <c r="M6" s="349" t="str">
        <f>IFERROR('6c'!M6/'6c'!M6*100, "na")</f>
        <v>na</v>
      </c>
    </row>
    <row r="7" spans="1:13">
      <c r="A7" s="185">
        <v>1982</v>
      </c>
      <c r="B7" s="85" t="str">
        <f>IFERROR('6c'!B7/'6c'!J7*100, "na")</f>
        <v>na</v>
      </c>
      <c r="C7" s="86" t="str">
        <f>IFERROR('6c'!C7/'6c'!K7*100, "na")</f>
        <v>na</v>
      </c>
      <c r="D7" s="86" t="str">
        <f>IFERROR('6c'!D7/'6c'!L7*100, "na")</f>
        <v>na</v>
      </c>
      <c r="E7" s="87" t="str">
        <f>IFERROR('6c'!E7/'6c'!M7*100, "na")</f>
        <v>na</v>
      </c>
      <c r="F7" s="85" t="str">
        <f>IFERROR('6c'!F7/'6c'!J7*100,"na")</f>
        <v>na</v>
      </c>
      <c r="G7" s="86" t="str">
        <f>IFERROR('6c'!G7/'6c'!K7*100,"na")</f>
        <v>na</v>
      </c>
      <c r="H7" s="86" t="str">
        <f>IFERROR('6c'!H7/'6c'!L7*100,"na")</f>
        <v>na</v>
      </c>
      <c r="I7" s="87" t="str">
        <f>IFERROR('6c'!I7/'6c'!M7*100,"na")</f>
        <v>na</v>
      </c>
      <c r="J7" s="350" t="str">
        <f>IFERROR('6c'!J7/'6c'!J7*100, "na")</f>
        <v>na</v>
      </c>
      <c r="K7" s="351" t="str">
        <f>IFERROR('6c'!K7/'6c'!K7*100, "na")</f>
        <v>na</v>
      </c>
      <c r="L7" s="351" t="str">
        <f>IFERROR('6c'!L7/'6c'!L7*100, "na")</f>
        <v>na</v>
      </c>
      <c r="M7" s="300" t="str">
        <f>IFERROR('6c'!M7/'6c'!M7*100, "na")</f>
        <v>na</v>
      </c>
    </row>
    <row r="8" spans="1:13">
      <c r="A8" s="185">
        <v>1983</v>
      </c>
      <c r="B8" s="85" t="str">
        <f>IFERROR('6c'!B8/'6c'!J8*100, "na")</f>
        <v>na</v>
      </c>
      <c r="C8" s="86" t="str">
        <f>IFERROR('6c'!C8/'6c'!K8*100, "na")</f>
        <v>na</v>
      </c>
      <c r="D8" s="86" t="str">
        <f>IFERROR('6c'!D8/'6c'!L8*100, "na")</f>
        <v>na</v>
      </c>
      <c r="E8" s="87" t="str">
        <f>IFERROR('6c'!E8/'6c'!M8*100, "na")</f>
        <v>na</v>
      </c>
      <c r="F8" s="85" t="str">
        <f>IFERROR('6c'!F8/'6c'!J8*100,"na")</f>
        <v>na</v>
      </c>
      <c r="G8" s="86" t="str">
        <f>IFERROR('6c'!G8/'6c'!K8*100,"na")</f>
        <v>na</v>
      </c>
      <c r="H8" s="86" t="str">
        <f>IFERROR('6c'!H8/'6c'!L8*100,"na")</f>
        <v>na</v>
      </c>
      <c r="I8" s="87" t="str">
        <f>IFERROR('6c'!I8/'6c'!M8*100,"na")</f>
        <v>na</v>
      </c>
      <c r="J8" s="350" t="str">
        <f>IFERROR('6c'!J8/'6c'!J8*100, "na")</f>
        <v>na</v>
      </c>
      <c r="K8" s="351" t="str">
        <f>IFERROR('6c'!K8/'6c'!K8*100, "na")</f>
        <v>na</v>
      </c>
      <c r="L8" s="351" t="str">
        <f>IFERROR('6c'!L8/'6c'!L8*100, "na")</f>
        <v>na</v>
      </c>
      <c r="M8" s="300" t="str">
        <f>IFERROR('6c'!M8/'6c'!M8*100, "na")</f>
        <v>na</v>
      </c>
    </row>
    <row r="9" spans="1:13">
      <c r="A9" s="185">
        <v>1984</v>
      </c>
      <c r="B9" s="85" t="str">
        <f>IFERROR('6c'!B9/'6c'!J9*100, "na")</f>
        <v>na</v>
      </c>
      <c r="C9" s="86" t="str">
        <f>IFERROR('6c'!C9/'6c'!K9*100, "na")</f>
        <v>na</v>
      </c>
      <c r="D9" s="86" t="str">
        <f>IFERROR('6c'!D9/'6c'!L9*100, "na")</f>
        <v>na</v>
      </c>
      <c r="E9" s="87" t="str">
        <f>IFERROR('6c'!E9/'6c'!M9*100, "na")</f>
        <v>na</v>
      </c>
      <c r="F9" s="85" t="str">
        <f>IFERROR('6c'!F9/'6c'!J9*100,"na")</f>
        <v>na</v>
      </c>
      <c r="G9" s="86" t="str">
        <f>IFERROR('6c'!G9/'6c'!K9*100,"na")</f>
        <v>na</v>
      </c>
      <c r="H9" s="86" t="str">
        <f>IFERROR('6c'!H9/'6c'!L9*100,"na")</f>
        <v>na</v>
      </c>
      <c r="I9" s="87" t="str">
        <f>IFERROR('6c'!I9/'6c'!M9*100,"na")</f>
        <v>na</v>
      </c>
      <c r="J9" s="350" t="str">
        <f>IFERROR('6c'!J9/'6c'!J9*100, "na")</f>
        <v>na</v>
      </c>
      <c r="K9" s="351" t="str">
        <f>IFERROR('6c'!K9/'6c'!K9*100, "na")</f>
        <v>na</v>
      </c>
      <c r="L9" s="351" t="str">
        <f>IFERROR('6c'!L9/'6c'!L9*100, "na")</f>
        <v>na</v>
      </c>
      <c r="M9" s="300" t="str">
        <f>IFERROR('6c'!M9/'6c'!M9*100, "na")</f>
        <v>na</v>
      </c>
    </row>
    <row r="10" spans="1:13">
      <c r="A10" s="185">
        <v>1985</v>
      </c>
      <c r="B10" s="85" t="str">
        <f>IFERROR('6c'!B10/'6c'!J10*100, "na")</f>
        <v>na</v>
      </c>
      <c r="C10" s="86" t="str">
        <f>IFERROR('6c'!C10/'6c'!K10*100, "na")</f>
        <v>na</v>
      </c>
      <c r="D10" s="86" t="str">
        <f>IFERROR('6c'!D10/'6c'!L10*100, "na")</f>
        <v>na</v>
      </c>
      <c r="E10" s="87" t="str">
        <f>IFERROR('6c'!E10/'6c'!M10*100, "na")</f>
        <v>na</v>
      </c>
      <c r="F10" s="85" t="str">
        <f>IFERROR('6c'!F10/'6c'!J10*100,"na")</f>
        <v>na</v>
      </c>
      <c r="G10" s="86" t="str">
        <f>IFERROR('6c'!G10/'6c'!K10*100,"na")</f>
        <v>na</v>
      </c>
      <c r="H10" s="86" t="str">
        <f>IFERROR('6c'!H10/'6c'!L10*100,"na")</f>
        <v>na</v>
      </c>
      <c r="I10" s="87" t="str">
        <f>IFERROR('6c'!I10/'6c'!M10*100,"na")</f>
        <v>na</v>
      </c>
      <c r="J10" s="350" t="str">
        <f>IFERROR('6c'!J10/'6c'!J10*100, "na")</f>
        <v>na</v>
      </c>
      <c r="K10" s="351" t="str">
        <f>IFERROR('6c'!K10/'6c'!K10*100, "na")</f>
        <v>na</v>
      </c>
      <c r="L10" s="351" t="str">
        <f>IFERROR('6c'!L10/'6c'!L10*100, "na")</f>
        <v>na</v>
      </c>
      <c r="M10" s="300" t="str">
        <f>IFERROR('6c'!M10/'6c'!M10*100, "na")</f>
        <v>na</v>
      </c>
    </row>
    <row r="11" spans="1:13">
      <c r="A11" s="185">
        <v>1986</v>
      </c>
      <c r="B11" s="85" t="str">
        <f>IFERROR('6c'!B11/'6c'!J11*100, "na")</f>
        <v>na</v>
      </c>
      <c r="C11" s="86" t="str">
        <f>IFERROR('6c'!C11/'6c'!K11*100, "na")</f>
        <v>na</v>
      </c>
      <c r="D11" s="86" t="str">
        <f>IFERROR('6c'!D11/'6c'!L11*100, "na")</f>
        <v>na</v>
      </c>
      <c r="E11" s="87" t="str">
        <f>IFERROR('6c'!E11/'6c'!M11*100, "na")</f>
        <v>na</v>
      </c>
      <c r="F11" s="85" t="str">
        <f>IFERROR('6c'!F11/'6c'!J11*100,"na")</f>
        <v>na</v>
      </c>
      <c r="G11" s="86" t="str">
        <f>IFERROR('6c'!G11/'6c'!K11*100,"na")</f>
        <v>na</v>
      </c>
      <c r="H11" s="86" t="str">
        <f>IFERROR('6c'!H11/'6c'!L11*100,"na")</f>
        <v>na</v>
      </c>
      <c r="I11" s="87" t="str">
        <f>IFERROR('6c'!I11/'6c'!M11*100,"na")</f>
        <v>na</v>
      </c>
      <c r="J11" s="350" t="str">
        <f>IFERROR('6c'!J11/'6c'!J11*100, "na")</f>
        <v>na</v>
      </c>
      <c r="K11" s="351" t="str">
        <f>IFERROR('6c'!K11/'6c'!K11*100, "na")</f>
        <v>na</v>
      </c>
      <c r="L11" s="351" t="str">
        <f>IFERROR('6c'!L11/'6c'!L11*100, "na")</f>
        <v>na</v>
      </c>
      <c r="M11" s="300" t="str">
        <f>IFERROR('6c'!M11/'6c'!M11*100, "na")</f>
        <v>na</v>
      </c>
    </row>
    <row r="12" spans="1:13">
      <c r="A12" s="185">
        <v>1987</v>
      </c>
      <c r="B12" s="85" t="str">
        <f>IFERROR('6c'!B12/'6c'!J12*100, "na")</f>
        <v>na</v>
      </c>
      <c r="C12" s="86" t="str">
        <f>IFERROR('6c'!C12/'6c'!K12*100, "na")</f>
        <v>na</v>
      </c>
      <c r="D12" s="86" t="str">
        <f>IFERROR('6c'!D12/'6c'!L12*100, "na")</f>
        <v>na</v>
      </c>
      <c r="E12" s="87" t="str">
        <f>IFERROR('6c'!E12/'6c'!M12*100, "na")</f>
        <v>na</v>
      </c>
      <c r="F12" s="85">
        <f>IFERROR('6c'!F12/'6c'!J12*100,"na")</f>
        <v>3.9818769479893588</v>
      </c>
      <c r="G12" s="86">
        <f>IFERROR('6c'!G12/'6c'!K12*100,"na")</f>
        <v>2.3170598500500472</v>
      </c>
      <c r="H12" s="86">
        <f>IFERROR('6c'!H12/'6c'!L12*100,"na")</f>
        <v>146.61515662607508</v>
      </c>
      <c r="I12" s="87">
        <f>IFERROR('6c'!I12/'6c'!M12*100,"na")</f>
        <v>80.721963994107611</v>
      </c>
      <c r="J12" s="341">
        <f>IFERROR('6c'!J12/'6c'!J12*100, "na")</f>
        <v>100</v>
      </c>
      <c r="K12" s="342">
        <f>IFERROR('6c'!K12/'6c'!K12*100, "na")</f>
        <v>100</v>
      </c>
      <c r="L12" s="342">
        <f>IFERROR('6c'!L12/'6c'!L12*100, "na")</f>
        <v>100</v>
      </c>
      <c r="M12" s="343">
        <f>IFERROR('6c'!M12/'6c'!M12*100, "na")</f>
        <v>100</v>
      </c>
    </row>
    <row r="13" spans="1:13">
      <c r="A13" s="185">
        <v>1988</v>
      </c>
      <c r="B13" s="85" t="str">
        <f>IFERROR('6c'!B13/'6c'!J13*100, "na")</f>
        <v>na</v>
      </c>
      <c r="C13" s="86" t="str">
        <f>IFERROR('6c'!C13/'6c'!K13*100, "na")</f>
        <v>na</v>
      </c>
      <c r="D13" s="86" t="str">
        <f>IFERROR('6c'!D13/'6c'!L13*100, "na")</f>
        <v>na</v>
      </c>
      <c r="E13" s="87" t="str">
        <f>IFERROR('6c'!E13/'6c'!M13*100, "na")</f>
        <v>na</v>
      </c>
      <c r="F13" s="85">
        <f>IFERROR('6c'!F13/'6c'!J13*100,"na")</f>
        <v>16.95466026802012</v>
      </c>
      <c r="G13" s="86">
        <f>IFERROR('6c'!G13/'6c'!K13*100,"na")</f>
        <v>9.7818539395047708</v>
      </c>
      <c r="H13" s="86">
        <f>IFERROR('6c'!H13/'6c'!L13*100,"na")</f>
        <v>241.29635475232894</v>
      </c>
      <c r="I13" s="87">
        <f>IFERROR('6c'!I13/'6c'!M13*100,"na")</f>
        <v>132.20698757421707</v>
      </c>
      <c r="J13" s="341">
        <f>IFERROR('6c'!J13/'6c'!J13*100, "na")</f>
        <v>100</v>
      </c>
      <c r="K13" s="342">
        <f>IFERROR('6c'!K13/'6c'!K13*100, "na")</f>
        <v>100</v>
      </c>
      <c r="L13" s="342">
        <f>IFERROR('6c'!L13/'6c'!L13*100, "na")</f>
        <v>100</v>
      </c>
      <c r="M13" s="343">
        <f>IFERROR('6c'!M13/'6c'!M13*100, "na")</f>
        <v>100</v>
      </c>
    </row>
    <row r="14" spans="1:13">
      <c r="A14" s="185">
        <v>1989</v>
      </c>
      <c r="B14" s="85" t="str">
        <f>IFERROR('6c'!B14/'6c'!J14*100, "na")</f>
        <v>na</v>
      </c>
      <c r="C14" s="86" t="str">
        <f>IFERROR('6c'!C14/'6c'!K14*100, "na")</f>
        <v>na</v>
      </c>
      <c r="D14" s="86" t="str">
        <f>IFERROR('6c'!D14/'6c'!L14*100, "na")</f>
        <v>na</v>
      </c>
      <c r="E14" s="87" t="str">
        <f>IFERROR('6c'!E14/'6c'!M14*100, "na")</f>
        <v>na</v>
      </c>
      <c r="F14" s="85">
        <f>IFERROR('6c'!F14/'6c'!J14*100,"na")</f>
        <v>31.4444507493088</v>
      </c>
      <c r="G14" s="86">
        <f>IFERROR('6c'!G14/'6c'!K14*100,"na")</f>
        <v>24.927053334545786</v>
      </c>
      <c r="H14" s="86">
        <f>IFERROR('6c'!H14/'6c'!L14*100,"na")</f>
        <v>267.45034224953031</v>
      </c>
      <c r="I14" s="87">
        <f>IFERROR('6c'!I14/'6c'!M14*100,"na")</f>
        <v>138.01828815412031</v>
      </c>
      <c r="J14" s="341">
        <f>IFERROR('6c'!J14/'6c'!J14*100, "na")</f>
        <v>100</v>
      </c>
      <c r="K14" s="342">
        <f>IFERROR('6c'!K14/'6c'!K14*100, "na")</f>
        <v>100</v>
      </c>
      <c r="L14" s="342">
        <f>IFERROR('6c'!L14/'6c'!L14*100, "na")</f>
        <v>100</v>
      </c>
      <c r="M14" s="343">
        <f>IFERROR('6c'!M14/'6c'!M14*100, "na")</f>
        <v>100</v>
      </c>
    </row>
    <row r="15" spans="1:13">
      <c r="A15" s="185">
        <v>1990</v>
      </c>
      <c r="B15" s="85">
        <f>IFERROR('6c'!B15/'6c'!J15*100, "na")</f>
        <v>101.10667516521421</v>
      </c>
      <c r="C15" s="86">
        <f>IFERROR('6c'!C15/'6c'!K15*100, "na")</f>
        <v>100.05953455206833</v>
      </c>
      <c r="D15" s="86">
        <f>IFERROR('6c'!D15/'6c'!L15*100, "na")</f>
        <v>359.9570146570631</v>
      </c>
      <c r="E15" s="87">
        <f>IFERROR('6c'!E15/'6c'!M15*100, "na")</f>
        <v>213.78810276034312</v>
      </c>
      <c r="F15" s="85">
        <f>IFERROR('6c'!F15/'6c'!J15*100,"na")</f>
        <v>49.691511984304917</v>
      </c>
      <c r="G15" s="86">
        <f>IFERROR('6c'!G15/'6c'!K15*100,"na")</f>
        <v>39.047064207589429</v>
      </c>
      <c r="H15" s="86">
        <f>IFERROR('6c'!H15/'6c'!L15*100,"na")</f>
        <v>171.66993577371852</v>
      </c>
      <c r="I15" s="87">
        <f>IFERROR('6c'!I15/'6c'!M15*100,"na")</f>
        <v>97.597707016609618</v>
      </c>
      <c r="J15" s="341">
        <f>IFERROR('6c'!J15/'6c'!J15*100, "na")</f>
        <v>100</v>
      </c>
      <c r="K15" s="342">
        <f>IFERROR('6c'!K15/'6c'!K15*100, "na")</f>
        <v>100</v>
      </c>
      <c r="L15" s="342">
        <f>IFERROR('6c'!L15/'6c'!L15*100, "na")</f>
        <v>100</v>
      </c>
      <c r="M15" s="343">
        <f>IFERROR('6c'!M15/'6c'!M15*100, "na")</f>
        <v>100</v>
      </c>
    </row>
    <row r="16" spans="1:13">
      <c r="A16" s="185">
        <v>1991</v>
      </c>
      <c r="B16" s="85">
        <f>IFERROR('6c'!B16/'6c'!J16*100, "na")</f>
        <v>99.098937337770749</v>
      </c>
      <c r="C16" s="86">
        <f>IFERROR('6c'!C16/'6c'!K16*100, "na")</f>
        <v>109.21224461728931</v>
      </c>
      <c r="D16" s="86">
        <f>IFERROR('6c'!D16/'6c'!L16*100, "na")</f>
        <v>348.02734742338714</v>
      </c>
      <c r="E16" s="87">
        <f>IFERROR('6c'!E16/'6c'!M16*100, "na")</f>
        <v>203.84563459325133</v>
      </c>
      <c r="F16" s="85">
        <f>IFERROR('6c'!F16/'6c'!J16*100,"na")</f>
        <v>57.995428223600939</v>
      </c>
      <c r="G16" s="86">
        <f>IFERROR('6c'!G16/'6c'!K16*100,"na")</f>
        <v>52.185817859817476</v>
      </c>
      <c r="H16" s="86">
        <f>IFERROR('6c'!H16/'6c'!L16*100,"na")</f>
        <v>133.90299201025124</v>
      </c>
      <c r="I16" s="87">
        <f>IFERROR('6c'!I16/'6c'!M16*100,"na")</f>
        <v>85.057449950016093</v>
      </c>
      <c r="J16" s="341">
        <f>IFERROR('6c'!J16/'6c'!J16*100, "na")</f>
        <v>100</v>
      </c>
      <c r="K16" s="342">
        <f>IFERROR('6c'!K16/'6c'!K16*100, "na")</f>
        <v>100</v>
      </c>
      <c r="L16" s="342">
        <f>IFERROR('6c'!L16/'6c'!L16*100, "na")</f>
        <v>100</v>
      </c>
      <c r="M16" s="343">
        <f>IFERROR('6c'!M16/'6c'!M16*100, "na")</f>
        <v>100</v>
      </c>
    </row>
    <row r="17" spans="1:13">
      <c r="A17" s="185">
        <v>1992</v>
      </c>
      <c r="B17" s="85">
        <f>IFERROR('6c'!B17/'6c'!J17*100, "na")</f>
        <v>111.68519176866442</v>
      </c>
      <c r="C17" s="86">
        <f>IFERROR('6c'!C17/'6c'!K17*100, "na")</f>
        <v>112.95058110810399</v>
      </c>
      <c r="D17" s="86">
        <f>IFERROR('6c'!D17/'6c'!L17*100, "na")</f>
        <v>900.39423818892794</v>
      </c>
      <c r="E17" s="87">
        <f>IFERROR('6c'!E17/'6c'!M17*100, "na")</f>
        <v>406.13115521018591</v>
      </c>
      <c r="F17" s="85">
        <f>IFERROR('6c'!F17/'6c'!J17*100,"na")</f>
        <v>82.086347981673896</v>
      </c>
      <c r="G17" s="86">
        <f>IFERROR('6c'!G17/'6c'!K17*100,"na")</f>
        <v>68.045373106570324</v>
      </c>
      <c r="H17" s="86">
        <f>IFERROR('6c'!H17/'6c'!L17*100,"na")</f>
        <v>84.472470526028147</v>
      </c>
      <c r="I17" s="87">
        <f>IFERROR('6c'!I17/'6c'!M17*100,"na")</f>
        <v>75.045084742894261</v>
      </c>
      <c r="J17" s="341">
        <f>IFERROR('6c'!J17/'6c'!J17*100, "na")</f>
        <v>100</v>
      </c>
      <c r="K17" s="342">
        <f>IFERROR('6c'!K17/'6c'!K17*100, "na")</f>
        <v>100</v>
      </c>
      <c r="L17" s="342">
        <f>IFERROR('6c'!L17/'6c'!L17*100, "na")</f>
        <v>100</v>
      </c>
      <c r="M17" s="343">
        <f>IFERROR('6c'!M17/'6c'!M17*100, "na")</f>
        <v>100</v>
      </c>
    </row>
    <row r="18" spans="1:13">
      <c r="A18" s="185">
        <v>1993</v>
      </c>
      <c r="B18" s="85">
        <f>IFERROR('6c'!B18/'6c'!J18*100, "na")</f>
        <v>142.8320130423962</v>
      </c>
      <c r="C18" s="86">
        <f>IFERROR('6c'!C18/'6c'!K18*100, "na")</f>
        <v>136.12713575610806</v>
      </c>
      <c r="D18" s="86">
        <f>IFERROR('6c'!D18/'6c'!L18*100, "na")</f>
        <v>806.84512943630557</v>
      </c>
      <c r="E18" s="87">
        <f>IFERROR('6c'!E18/'6c'!M18*100, "na")</f>
        <v>376.37540160255719</v>
      </c>
      <c r="F18" s="85">
        <f>IFERROR('6c'!F18/'6c'!J18*100,"na")</f>
        <v>201.20174850457465</v>
      </c>
      <c r="G18" s="86">
        <f>IFERROR('6c'!G18/'6c'!K18*100,"na")</f>
        <v>200.94153306585804</v>
      </c>
      <c r="H18" s="86">
        <f>IFERROR('6c'!H18/'6c'!L18*100,"na")</f>
        <v>172.39106780342757</v>
      </c>
      <c r="I18" s="87">
        <f>IFERROR('6c'!I18/'6c'!M18*100,"na")</f>
        <v>190.75460221609021</v>
      </c>
      <c r="J18" s="341">
        <f>IFERROR('6c'!J18/'6c'!J18*100, "na")</f>
        <v>100</v>
      </c>
      <c r="K18" s="342">
        <f>IFERROR('6c'!K18/'6c'!K18*100, "na")</f>
        <v>100</v>
      </c>
      <c r="L18" s="342">
        <f>IFERROR('6c'!L18/'6c'!L18*100, "na")</f>
        <v>100</v>
      </c>
      <c r="M18" s="343">
        <f>IFERROR('6c'!M18/'6c'!M18*100, "na")</f>
        <v>100</v>
      </c>
    </row>
    <row r="19" spans="1:13">
      <c r="A19" s="185">
        <v>1994</v>
      </c>
      <c r="B19" s="85">
        <f>IFERROR('6c'!B19/'6c'!J19*100, "na")</f>
        <v>139.81156862587022</v>
      </c>
      <c r="C19" s="86">
        <f>IFERROR('6c'!C19/'6c'!K19*100, "na")</f>
        <v>185.08082135475982</v>
      </c>
      <c r="D19" s="86">
        <f>IFERROR('6c'!D19/'6c'!L19*100, "na")</f>
        <v>1007.6310990951688</v>
      </c>
      <c r="E19" s="87">
        <f>IFERROR('6c'!E19/'6c'!M19*100, "na")</f>
        <v>487.18355334133491</v>
      </c>
      <c r="F19" s="85">
        <f>IFERROR('6c'!F19/'6c'!J19*100,"na")</f>
        <v>190.30192823142954</v>
      </c>
      <c r="G19" s="86">
        <f>IFERROR('6c'!G19/'6c'!K19*100,"na")</f>
        <v>246.63077774210049</v>
      </c>
      <c r="H19" s="86">
        <f>IFERROR('6c'!H19/'6c'!L19*100,"na")</f>
        <v>192.80663565599093</v>
      </c>
      <c r="I19" s="87">
        <f>IFERROR('6c'!I19/'6c'!M19*100,"na")</f>
        <v>222.17573733024651</v>
      </c>
      <c r="J19" s="341">
        <f>IFERROR('6c'!J19/'6c'!J19*100, "na")</f>
        <v>100</v>
      </c>
      <c r="K19" s="342">
        <f>IFERROR('6c'!K19/'6c'!K19*100, "na")</f>
        <v>100</v>
      </c>
      <c r="L19" s="342">
        <f>IFERROR('6c'!L19/'6c'!L19*100, "na")</f>
        <v>100</v>
      </c>
      <c r="M19" s="343">
        <f>IFERROR('6c'!M19/'6c'!M19*100, "na")</f>
        <v>100</v>
      </c>
    </row>
    <row r="20" spans="1:13">
      <c r="A20" s="185">
        <v>1995</v>
      </c>
      <c r="B20" s="85">
        <f>IFERROR('6c'!B20/'6c'!J20*100, "na")</f>
        <v>200.82997881364059</v>
      </c>
      <c r="C20" s="86">
        <f>IFERROR('6c'!C20/'6c'!K20*100, "na")</f>
        <v>292.13679303160006</v>
      </c>
      <c r="D20" s="86">
        <f>IFERROR('6c'!D20/'6c'!L20*100, "na")</f>
        <v>1837.3711117557932</v>
      </c>
      <c r="E20" s="87">
        <f>IFERROR('6c'!E20/'6c'!M20*100, "na")</f>
        <v>856.78575569303041</v>
      </c>
      <c r="F20" s="85">
        <f>IFERROR('6c'!F20/'6c'!J20*100,"na")</f>
        <v>163.13198382850277</v>
      </c>
      <c r="G20" s="86">
        <f>IFERROR('6c'!G20/'6c'!K20*100,"na")</f>
        <v>200.56490572267052</v>
      </c>
      <c r="H20" s="86">
        <f>IFERROR('6c'!H20/'6c'!L20*100,"na")</f>
        <v>166.94282526706584</v>
      </c>
      <c r="I20" s="87">
        <f>IFERROR('6c'!I20/'6c'!M20*100,"na")</f>
        <v>184.19719439290893</v>
      </c>
      <c r="J20" s="341">
        <f>IFERROR('6c'!J20/'6c'!J20*100, "na")</f>
        <v>100</v>
      </c>
      <c r="K20" s="342">
        <f>IFERROR('6c'!K20/'6c'!K20*100, "na")</f>
        <v>100</v>
      </c>
      <c r="L20" s="342">
        <f>IFERROR('6c'!L20/'6c'!L20*100, "na")</f>
        <v>100</v>
      </c>
      <c r="M20" s="343">
        <f>IFERROR('6c'!M20/'6c'!M20*100, "na")</f>
        <v>100</v>
      </c>
    </row>
    <row r="21" spans="1:13">
      <c r="A21" s="185">
        <v>1996</v>
      </c>
      <c r="B21" s="85">
        <f>IFERROR('6c'!B21/'6c'!J21*100, "na")</f>
        <v>221.91445911037627</v>
      </c>
      <c r="C21" s="86">
        <f>IFERROR('6c'!C21/'6c'!K21*100, "na")</f>
        <v>332.18449918539659</v>
      </c>
      <c r="D21" s="86">
        <f>IFERROR('6c'!D21/'6c'!L21*100, "na")</f>
        <v>2075.1362666637419</v>
      </c>
      <c r="E21" s="87">
        <f>IFERROR('6c'!E21/'6c'!M21*100, "na")</f>
        <v>937.00614339987783</v>
      </c>
      <c r="F21" s="85">
        <f>IFERROR('6c'!F21/'6c'!J21*100,"na")</f>
        <v>151.69817414953505</v>
      </c>
      <c r="G21" s="86">
        <f>IFERROR('6c'!G21/'6c'!K21*100,"na")</f>
        <v>181.20591983652696</v>
      </c>
      <c r="H21" s="86">
        <f>IFERROR('6c'!H21/'6c'!L21*100,"na")</f>
        <v>157.13176353409176</v>
      </c>
      <c r="I21" s="87">
        <f>IFERROR('6c'!I21/'6c'!M21*100,"na")</f>
        <v>168.93471293854924</v>
      </c>
      <c r="J21" s="341">
        <f>IFERROR('6c'!J21/'6c'!J21*100, "na")</f>
        <v>100</v>
      </c>
      <c r="K21" s="342">
        <f>IFERROR('6c'!K21/'6c'!K21*100, "na")</f>
        <v>100</v>
      </c>
      <c r="L21" s="342">
        <f>IFERROR('6c'!L21/'6c'!L21*100, "na")</f>
        <v>100</v>
      </c>
      <c r="M21" s="343">
        <f>IFERROR('6c'!M21/'6c'!M21*100, "na")</f>
        <v>100</v>
      </c>
    </row>
    <row r="22" spans="1:13">
      <c r="A22" s="185">
        <v>1997</v>
      </c>
      <c r="B22" s="85">
        <f>IFERROR('6c'!B22/'6c'!J22*100, "na")</f>
        <v>335.46307201838312</v>
      </c>
      <c r="C22" s="86">
        <f>IFERROR('6c'!C22/'6c'!K22*100, "na")</f>
        <v>394.56099629754709</v>
      </c>
      <c r="D22" s="86">
        <f>IFERROR('6c'!D22/'6c'!L22*100, "na")</f>
        <v>2414.6726358000583</v>
      </c>
      <c r="E22" s="87">
        <f>IFERROR('6c'!E22/'6c'!M22*100, "na")</f>
        <v>1033.2889985854074</v>
      </c>
      <c r="F22" s="85">
        <f>IFERROR('6c'!F22/'6c'!J22*100,"na")</f>
        <v>146.74983088900498</v>
      </c>
      <c r="G22" s="86">
        <f>IFERROR('6c'!G22/'6c'!K22*100,"na")</f>
        <v>146.83033862757</v>
      </c>
      <c r="H22" s="86">
        <f>IFERROR('6c'!H22/'6c'!L22*100,"na")</f>
        <v>120.57140059516928</v>
      </c>
      <c r="I22" s="87">
        <f>IFERROR('6c'!I22/'6c'!M22*100,"na")</f>
        <v>138.40323906623456</v>
      </c>
      <c r="J22" s="341">
        <f>IFERROR('6c'!J22/'6c'!J22*100, "na")</f>
        <v>100</v>
      </c>
      <c r="K22" s="342">
        <f>IFERROR('6c'!K22/'6c'!K22*100, "na")</f>
        <v>100</v>
      </c>
      <c r="L22" s="342">
        <f>IFERROR('6c'!L22/'6c'!L22*100, "na")</f>
        <v>100</v>
      </c>
      <c r="M22" s="343">
        <f>IFERROR('6c'!M22/'6c'!M22*100, "na")</f>
        <v>100</v>
      </c>
    </row>
    <row r="23" spans="1:13">
      <c r="A23" s="185">
        <v>1998</v>
      </c>
      <c r="B23" s="85">
        <f>IFERROR('6c'!B23/'6c'!J23*100, "na")</f>
        <v>289.52439176731639</v>
      </c>
      <c r="C23" s="86">
        <f>IFERROR('6c'!C23/'6c'!K23*100, "na")</f>
        <v>310.95108665460447</v>
      </c>
      <c r="D23" s="86">
        <f>IFERROR('6c'!D23/'6c'!L23*100, "na")</f>
        <v>1983.9508652824857</v>
      </c>
      <c r="E23" s="87">
        <f>IFERROR('6c'!E23/'6c'!M23*100, "na")</f>
        <v>812.22729649497137</v>
      </c>
      <c r="F23" s="85">
        <f>IFERROR('6c'!F23/'6c'!J23*100,"na")</f>
        <v>169.18878049254374</v>
      </c>
      <c r="G23" s="86">
        <f>IFERROR('6c'!G23/'6c'!K23*100,"na")</f>
        <v>158.27078827480912</v>
      </c>
      <c r="H23" s="86">
        <f>IFERROR('6c'!H23/'6c'!L23*100,"na")</f>
        <v>137.41058349677508</v>
      </c>
      <c r="I23" s="87">
        <f>IFERROR('6c'!I23/'6c'!M23*100,"na")</f>
        <v>153.86182851969349</v>
      </c>
      <c r="J23" s="341">
        <f>IFERROR('6c'!J23/'6c'!J23*100, "na")</f>
        <v>100</v>
      </c>
      <c r="K23" s="342">
        <f>IFERROR('6c'!K23/'6c'!K23*100, "na")</f>
        <v>100</v>
      </c>
      <c r="L23" s="342">
        <f>IFERROR('6c'!L23/'6c'!L23*100, "na")</f>
        <v>100</v>
      </c>
      <c r="M23" s="343">
        <f>IFERROR('6c'!M23/'6c'!M23*100, "na")</f>
        <v>100</v>
      </c>
    </row>
    <row r="24" spans="1:13">
      <c r="A24" s="185">
        <v>1999</v>
      </c>
      <c r="B24" s="85">
        <f>IFERROR('6c'!B24/'6c'!J24*100, "na")</f>
        <v>159.37021935112844</v>
      </c>
      <c r="C24" s="86">
        <f>IFERROR('6c'!C24/'6c'!K24*100, "na")</f>
        <v>186.0524581648117</v>
      </c>
      <c r="D24" s="86">
        <f>IFERROR('6c'!D24/'6c'!L24*100, "na")</f>
        <v>1151.9935031133809</v>
      </c>
      <c r="E24" s="87">
        <f>IFERROR('6c'!E24/'6c'!M24*100, "na")</f>
        <v>457.91821594120654</v>
      </c>
      <c r="F24" s="85">
        <f>IFERROR('6c'!F24/'6c'!J24*100,"na")</f>
        <v>133.62006514890166</v>
      </c>
      <c r="G24" s="86">
        <f>IFERROR('6c'!G24/'6c'!K24*100,"na")</f>
        <v>141.818958043572</v>
      </c>
      <c r="H24" s="86">
        <f>IFERROR('6c'!H24/'6c'!L24*100,"na")</f>
        <v>131.03618589786967</v>
      </c>
      <c r="I24" s="87">
        <f>IFERROR('6c'!I24/'6c'!M24*100,"na")</f>
        <v>137.12306771175471</v>
      </c>
      <c r="J24" s="341">
        <f>IFERROR('6c'!J24/'6c'!J24*100, "na")</f>
        <v>100</v>
      </c>
      <c r="K24" s="342">
        <f>IFERROR('6c'!K24/'6c'!K24*100, "na")</f>
        <v>100</v>
      </c>
      <c r="L24" s="342">
        <f>IFERROR('6c'!L24/'6c'!L24*100, "na")</f>
        <v>100</v>
      </c>
      <c r="M24" s="343">
        <f>IFERROR('6c'!M24/'6c'!M24*100, "na")</f>
        <v>100</v>
      </c>
    </row>
    <row r="25" spans="1:13">
      <c r="A25" s="185">
        <v>2000</v>
      </c>
      <c r="B25" s="85">
        <f>IFERROR('6c'!B25/'6c'!J25*100, "na")</f>
        <v>175.90574634569663</v>
      </c>
      <c r="C25" s="86">
        <f>IFERROR('6c'!C25/'6c'!K25*100, "na")</f>
        <v>222.43517082700569</v>
      </c>
      <c r="D25" s="86">
        <f>IFERROR('6c'!D25/'6c'!L25*100, "na")</f>
        <v>1258.624888982929</v>
      </c>
      <c r="E25" s="87">
        <f>IFERROR('6c'!E25/'6c'!M25*100, "na")</f>
        <v>535.65979420373833</v>
      </c>
      <c r="F25" s="85">
        <f>IFERROR('6c'!F25/'6c'!J25*100,"na")</f>
        <v>61.537189790457781</v>
      </c>
      <c r="G25" s="86">
        <f>IFERROR('6c'!G25/'6c'!K25*100,"na")</f>
        <v>60.510627670887892</v>
      </c>
      <c r="H25" s="86">
        <f>IFERROR('6c'!H25/'6c'!L25*100,"na")</f>
        <v>61.982113687446152</v>
      </c>
      <c r="I25" s="87">
        <f>IFERROR('6c'!I25/'6c'!M25*100,"na")</f>
        <v>61.171038103449924</v>
      </c>
      <c r="J25" s="341">
        <f>IFERROR('6c'!J25/'6c'!J25*100, "na")</f>
        <v>100</v>
      </c>
      <c r="K25" s="342">
        <f>IFERROR('6c'!K25/'6c'!K25*100, "na")</f>
        <v>100</v>
      </c>
      <c r="L25" s="342">
        <f>IFERROR('6c'!L25/'6c'!L25*100, "na")</f>
        <v>100</v>
      </c>
      <c r="M25" s="343">
        <f>IFERROR('6c'!M25/'6c'!M25*100, "na")</f>
        <v>100</v>
      </c>
    </row>
    <row r="26" spans="1:13">
      <c r="A26" s="185">
        <v>2001</v>
      </c>
      <c r="B26" s="85">
        <f>IFERROR('6c'!B26/'6c'!J26*100, "na")</f>
        <v>148.1935650623445</v>
      </c>
      <c r="C26" s="86">
        <f>IFERROR('6c'!C26/'6c'!K26*100, "na")</f>
        <v>191.32837947805464</v>
      </c>
      <c r="D26" s="86">
        <f>IFERROR('6c'!D26/'6c'!L26*100, "na")</f>
        <v>1210.8790055556346</v>
      </c>
      <c r="E26" s="87">
        <f>IFERROR('6c'!E26/'6c'!M26*100, "na")</f>
        <v>479.98070567788238</v>
      </c>
      <c r="F26" s="85">
        <f>IFERROR('6c'!F26/'6c'!J26*100,"na")</f>
        <v>40.153928695787449</v>
      </c>
      <c r="G26" s="86">
        <f>IFERROR('6c'!G26/'6c'!K26*100,"na")</f>
        <v>34.260898486018171</v>
      </c>
      <c r="H26" s="86">
        <f>IFERROR('6c'!H26/'6c'!L26*100,"na")</f>
        <v>52.688216129693132</v>
      </c>
      <c r="I26" s="87">
        <f>IFERROR('6c'!I26/'6c'!M26*100,"na")</f>
        <v>40.842511503152515</v>
      </c>
      <c r="J26" s="341">
        <f>IFERROR('6c'!J26/'6c'!J26*100, "na")</f>
        <v>100</v>
      </c>
      <c r="K26" s="342">
        <f>IFERROR('6c'!K26/'6c'!K26*100, "na")</f>
        <v>100</v>
      </c>
      <c r="L26" s="342">
        <f>IFERROR('6c'!L26/'6c'!L26*100, "na")</f>
        <v>100</v>
      </c>
      <c r="M26" s="343">
        <f>IFERROR('6c'!M26/'6c'!M26*100, "na")</f>
        <v>100</v>
      </c>
    </row>
    <row r="27" spans="1:13">
      <c r="A27" s="185">
        <v>2002</v>
      </c>
      <c r="B27" s="85">
        <f>IFERROR('6c'!B27/'6c'!J27*100, "na")</f>
        <v>41.616111286029138</v>
      </c>
      <c r="C27" s="86">
        <f>IFERROR('6c'!C27/'6c'!K27*100, "na")</f>
        <v>36.409501505520247</v>
      </c>
      <c r="D27" s="86">
        <f>IFERROR('6c'!D27/'6c'!L27*100, "na")</f>
        <v>281.73248991041015</v>
      </c>
      <c r="E27" s="87">
        <f>IFERROR('6c'!E27/'6c'!M27*100, "na")</f>
        <v>97.237643247178369</v>
      </c>
      <c r="F27" s="85">
        <f>IFERROR('6c'!F27/'6c'!J27*100,"na")</f>
        <v>31.592002132764595</v>
      </c>
      <c r="G27" s="86">
        <f>IFERROR('6c'!G27/'6c'!K27*100,"na")</f>
        <v>25.666079573680172</v>
      </c>
      <c r="H27" s="86">
        <f>IFERROR('6c'!H27/'6c'!L27*100,"na")</f>
        <v>66.861380175163148</v>
      </c>
      <c r="I27" s="87">
        <f>IFERROR('6c'!I27/'6c'!M27*100,"na")</f>
        <v>37.017926344956081</v>
      </c>
      <c r="J27" s="341">
        <f>IFERROR('6c'!J27/'6c'!J27*100, "na")</f>
        <v>100</v>
      </c>
      <c r="K27" s="342">
        <f>IFERROR('6c'!K27/'6c'!K27*100, "na")</f>
        <v>100</v>
      </c>
      <c r="L27" s="342">
        <f>IFERROR('6c'!L27/'6c'!L27*100, "na")</f>
        <v>100</v>
      </c>
      <c r="M27" s="343">
        <f>IFERROR('6c'!M27/'6c'!M27*100, "na")</f>
        <v>100</v>
      </c>
    </row>
    <row r="28" spans="1:13">
      <c r="A28" s="185">
        <v>2003</v>
      </c>
      <c r="B28" s="85">
        <f>IFERROR('6c'!B28/'6c'!J28*100, "na")</f>
        <v>37.487903868180197</v>
      </c>
      <c r="C28" s="86">
        <f>IFERROR('6c'!C28/'6c'!K28*100, "na")</f>
        <v>33.279007234877994</v>
      </c>
      <c r="D28" s="86">
        <f>IFERROR('6c'!D28/'6c'!L28*100, "na")</f>
        <v>280.77377982860651</v>
      </c>
      <c r="E28" s="87">
        <f>IFERROR('6c'!E28/'6c'!M28*100, "na")</f>
        <v>91.848131174736395</v>
      </c>
      <c r="F28" s="85">
        <f>IFERROR('6c'!F28/'6c'!J28*100,"na")</f>
        <v>38.039118752817807</v>
      </c>
      <c r="G28" s="86">
        <f>IFERROR('6c'!G28/'6c'!K28*100,"na")</f>
        <v>30.125641513282446</v>
      </c>
      <c r="H28" s="86">
        <f>IFERROR('6c'!H28/'6c'!L28*100,"na")</f>
        <v>82.656900500320546</v>
      </c>
      <c r="I28" s="87">
        <f>IFERROR('6c'!I28/'6c'!M28*100,"na")</f>
        <v>44.178081878129639</v>
      </c>
      <c r="J28" s="341">
        <f>IFERROR('6c'!J28/'6c'!J28*100, "na")</f>
        <v>100</v>
      </c>
      <c r="K28" s="342">
        <f>IFERROR('6c'!K28/'6c'!K28*100, "na")</f>
        <v>100</v>
      </c>
      <c r="L28" s="342">
        <f>IFERROR('6c'!L28/'6c'!L28*100, "na")</f>
        <v>100</v>
      </c>
      <c r="M28" s="343">
        <f>IFERROR('6c'!M28/'6c'!M28*100, "na")</f>
        <v>100</v>
      </c>
    </row>
    <row r="29" spans="1:13">
      <c r="A29" s="185">
        <v>2004</v>
      </c>
      <c r="B29" s="85">
        <f>IFERROR('6c'!B29/'6c'!J29*100, "na")</f>
        <v>34.017716978234112</v>
      </c>
      <c r="C29" s="86">
        <f>IFERROR('6c'!C29/'6c'!K29*100, "na")</f>
        <v>31.588634410273976</v>
      </c>
      <c r="D29" s="86">
        <f>IFERROR('6c'!D29/'6c'!L29*100, "na")</f>
        <v>250.85043512320132</v>
      </c>
      <c r="E29" s="87">
        <f>IFERROR('6c'!E29/'6c'!M29*100, "na")</f>
        <v>82.236000803967016</v>
      </c>
      <c r="F29" s="85">
        <f>IFERROR('6c'!F29/'6c'!J29*100,"na")</f>
        <v>34.856148039483173</v>
      </c>
      <c r="G29" s="86">
        <f>IFERROR('6c'!G29/'6c'!K29*100,"na")</f>
        <v>28.859084583898298</v>
      </c>
      <c r="H29" s="86">
        <f>IFERROR('6c'!H29/'6c'!L29*100,"na")</f>
        <v>73.818779985673004</v>
      </c>
      <c r="I29" s="87">
        <f>IFERROR('6c'!I29/'6c'!M29*100,"na")</f>
        <v>40.529834707507959</v>
      </c>
      <c r="J29" s="341">
        <f>IFERROR('6c'!J29/'6c'!J29*100, "na")</f>
        <v>100</v>
      </c>
      <c r="K29" s="342">
        <f>IFERROR('6c'!K29/'6c'!K29*100, "na")</f>
        <v>100</v>
      </c>
      <c r="L29" s="342">
        <f>IFERROR('6c'!L29/'6c'!L29*100, "na")</f>
        <v>100</v>
      </c>
      <c r="M29" s="343">
        <f>IFERROR('6c'!M29/'6c'!M29*100, "na")</f>
        <v>100</v>
      </c>
    </row>
    <row r="30" spans="1:13">
      <c r="A30" s="185">
        <v>2005</v>
      </c>
      <c r="B30" s="85">
        <f>IFERROR('6c'!B30/'6c'!J30*100, "na")</f>
        <v>28.694624542676088</v>
      </c>
      <c r="C30" s="86">
        <f>IFERROR('6c'!C30/'6c'!K30*100, "na")</f>
        <v>27.457462829116086</v>
      </c>
      <c r="D30" s="86">
        <f>IFERROR('6c'!D30/'6c'!L30*100, "na")</f>
        <v>212.01507694758129</v>
      </c>
      <c r="E30" s="87">
        <f>IFERROR('6c'!E30/'6c'!M30*100, "na")</f>
        <v>67.980275246453914</v>
      </c>
      <c r="F30" s="85">
        <f>IFERROR('6c'!F30/'6c'!J30*100,"na")</f>
        <v>36.268738231956419</v>
      </c>
      <c r="G30" s="86">
        <f>IFERROR('6c'!G30/'6c'!K30*100,"na")</f>
        <v>29.395979679436973</v>
      </c>
      <c r="H30" s="86">
        <f>IFERROR('6c'!H30/'6c'!L30*100,"na")</f>
        <v>72.196259598733448</v>
      </c>
      <c r="I30" s="87">
        <f>IFERROR('6c'!I30/'6c'!M30*100,"na")</f>
        <v>40.405380082645742</v>
      </c>
      <c r="J30" s="341">
        <f>IFERROR('6c'!J30/'6c'!J30*100, "na")</f>
        <v>100</v>
      </c>
      <c r="K30" s="342">
        <f>IFERROR('6c'!K30/'6c'!K30*100, "na")</f>
        <v>100</v>
      </c>
      <c r="L30" s="342">
        <f>IFERROR('6c'!L30/'6c'!L30*100, "na")</f>
        <v>100</v>
      </c>
      <c r="M30" s="343">
        <f>IFERROR('6c'!M30/'6c'!M30*100, "na")</f>
        <v>100</v>
      </c>
    </row>
    <row r="31" spans="1:13">
      <c r="A31" s="185">
        <v>2006</v>
      </c>
      <c r="B31" s="85">
        <f>IFERROR('6c'!B31/'6c'!J31*100, "na")</f>
        <v>28.237074953053877</v>
      </c>
      <c r="C31" s="86">
        <f>IFERROR('6c'!C31/'6c'!K31*100, "na")</f>
        <v>25.945729047138105</v>
      </c>
      <c r="D31" s="86">
        <f>IFERROR('6c'!D31/'6c'!L31*100, "na")</f>
        <v>185.02331374241567</v>
      </c>
      <c r="E31" s="87">
        <f>IFERROR('6c'!E31/'6c'!M31*100, "na")</f>
        <v>61.814555606601651</v>
      </c>
      <c r="F31" s="85">
        <f>IFERROR('6c'!F31/'6c'!J31*100,"na")</f>
        <v>44.333927866197705</v>
      </c>
      <c r="G31" s="86">
        <f>IFERROR('6c'!G31/'6c'!K31*100,"na")</f>
        <v>32.804611053707532</v>
      </c>
      <c r="H31" s="86">
        <f>IFERROR('6c'!H31/'6c'!L31*100,"na")</f>
        <v>75.597655088118387</v>
      </c>
      <c r="I31" s="87">
        <f>IFERROR('6c'!I31/'6c'!M31*100,"na")</f>
        <v>45.428386995920015</v>
      </c>
      <c r="J31" s="341">
        <f>IFERROR('6c'!J31/'6c'!J31*100, "na")</f>
        <v>100</v>
      </c>
      <c r="K31" s="342">
        <f>IFERROR('6c'!K31/'6c'!K31*100, "na")</f>
        <v>100</v>
      </c>
      <c r="L31" s="342">
        <f>IFERROR('6c'!L31/'6c'!L31*100, "na")</f>
        <v>100</v>
      </c>
      <c r="M31" s="343">
        <f>IFERROR('6c'!M31/'6c'!M31*100, "na")</f>
        <v>100</v>
      </c>
    </row>
    <row r="32" spans="1:13">
      <c r="A32" s="185">
        <v>2007</v>
      </c>
      <c r="B32" s="85">
        <f>IFERROR('6c'!B32/'6c'!J32*100, "na")</f>
        <v>47.724200003932971</v>
      </c>
      <c r="C32" s="86">
        <f>IFERROR('6c'!C32/'6c'!K32*100, "na")</f>
        <v>41.575880877678962</v>
      </c>
      <c r="D32" s="86">
        <f>IFERROR('6c'!D32/'6c'!L32*100, "na")</f>
        <v>305.00964327919991</v>
      </c>
      <c r="E32" s="87">
        <f>IFERROR('6c'!E32/'6c'!M32*100, "na")</f>
        <v>102.67990029693075</v>
      </c>
      <c r="F32" s="85">
        <f>IFERROR('6c'!F32/'6c'!J32*100,"na")</f>
        <v>61.76777295873076</v>
      </c>
      <c r="G32" s="86">
        <f>IFERROR('6c'!G32/'6c'!K32*100,"na")</f>
        <v>42.22009099234149</v>
      </c>
      <c r="H32" s="86">
        <f>IFERROR('6c'!H32/'6c'!L32*100,"na")</f>
        <v>99.661552364972025</v>
      </c>
      <c r="I32" s="87">
        <f>IFERROR('6c'!I32/'6c'!M32*100,"na")</f>
        <v>60.72166151312922</v>
      </c>
      <c r="J32" s="341">
        <f>IFERROR('6c'!J32/'6c'!J32*100, "na")</f>
        <v>100</v>
      </c>
      <c r="K32" s="342">
        <f>IFERROR('6c'!K32/'6c'!K32*100, "na")</f>
        <v>100</v>
      </c>
      <c r="L32" s="342">
        <f>IFERROR('6c'!L32/'6c'!L32*100, "na")</f>
        <v>100</v>
      </c>
      <c r="M32" s="343">
        <f>IFERROR('6c'!M32/'6c'!M32*100, "na")</f>
        <v>100</v>
      </c>
    </row>
    <row r="33" spans="1:13">
      <c r="A33" s="185">
        <v>2008</v>
      </c>
      <c r="B33" s="85">
        <f>IFERROR('6c'!B33/'6c'!J33*100, "na")</f>
        <v>51.513942830349123</v>
      </c>
      <c r="C33" s="86">
        <f>IFERROR('6c'!C33/'6c'!K33*100, "na")</f>
        <v>42.064451967436376</v>
      </c>
      <c r="D33" s="86">
        <f>IFERROR('6c'!D33/'6c'!L33*100, "na")</f>
        <v>313.21072770271167</v>
      </c>
      <c r="E33" s="87">
        <f>IFERROR('6c'!E33/'6c'!M33*100, "na")</f>
        <v>101.09454408018553</v>
      </c>
      <c r="F33" s="85">
        <f>IFERROR('6c'!F33/'6c'!J33*100,"na")</f>
        <v>75.834321680825141</v>
      </c>
      <c r="G33" s="86">
        <f>IFERROR('6c'!G33/'6c'!K33*100,"na")</f>
        <v>47.945854991109492</v>
      </c>
      <c r="H33" s="86">
        <f>IFERROR('6c'!H33/'6c'!L33*100,"na")</f>
        <v>114.77415877135697</v>
      </c>
      <c r="I33" s="87">
        <f>IFERROR('6c'!I33/'6c'!M33*100,"na")</f>
        <v>70.12232613358384</v>
      </c>
      <c r="J33" s="341">
        <f>IFERROR('6c'!J33/'6c'!J33*100, "na")</f>
        <v>100</v>
      </c>
      <c r="K33" s="342">
        <f>IFERROR('6c'!K33/'6c'!K33*100, "na")</f>
        <v>100</v>
      </c>
      <c r="L33" s="342">
        <f>IFERROR('6c'!L33/'6c'!L33*100, "na")</f>
        <v>100</v>
      </c>
      <c r="M33" s="343">
        <f>IFERROR('6c'!M33/'6c'!M33*100, "na")</f>
        <v>100</v>
      </c>
    </row>
    <row r="34" spans="1:13">
      <c r="A34" s="57">
        <f>A33+1</f>
        <v>2009</v>
      </c>
      <c r="B34" s="85">
        <f>IFERROR('6c'!B34/'6c'!J34*100, "na")</f>
        <v>46.342580178574444</v>
      </c>
      <c r="C34" s="86">
        <f>IFERROR('6c'!C34/'6c'!K34*100, "na")</f>
        <v>35.652842416867401</v>
      </c>
      <c r="D34" s="86">
        <f>IFERROR('6c'!D34/'6c'!L34*100, "na")</f>
        <v>270.72955987526814</v>
      </c>
      <c r="E34" s="87">
        <f>IFERROR('6c'!E34/'6c'!M34*100, "na")</f>
        <v>85.195812196570685</v>
      </c>
      <c r="F34" s="85">
        <f>IFERROR('6c'!F34/'6c'!J34*100,"na")</f>
        <v>67.736233029242484</v>
      </c>
      <c r="G34" s="86">
        <f>IFERROR('6c'!G34/'6c'!K34*100,"na")</f>
        <v>39.258641833238258</v>
      </c>
      <c r="H34" s="86">
        <f>IFERROR('6c'!H34/'6c'!L34*100,"na")</f>
        <v>96.108232192748417</v>
      </c>
      <c r="I34" s="87">
        <f>IFERROR('6c'!I34/'6c'!M34*100,"na")</f>
        <v>58.949837389200511</v>
      </c>
      <c r="J34" s="341">
        <f>IFERROR('6c'!J34/'6c'!J34*100, "na")</f>
        <v>100</v>
      </c>
      <c r="K34" s="342">
        <f>IFERROR('6c'!K34/'6c'!K34*100, "na")</f>
        <v>100</v>
      </c>
      <c r="L34" s="342">
        <f>IFERROR('6c'!L34/'6c'!L34*100, "na")</f>
        <v>100</v>
      </c>
      <c r="M34" s="343">
        <f>IFERROR('6c'!M34/'6c'!M34*100, "na")</f>
        <v>100</v>
      </c>
    </row>
    <row r="35" spans="1:13">
      <c r="A35" s="58">
        <f t="shared" ref="A35" si="0">A34+1</f>
        <v>2010</v>
      </c>
      <c r="B35" s="88">
        <f>IFERROR('6c'!B35/'6c'!J35*100, "na")</f>
        <v>45.975398931188074</v>
      </c>
      <c r="C35" s="89">
        <f>IFERROR('6c'!C35/'6c'!K35*100, "na")</f>
        <v>35.676260816386716</v>
      </c>
      <c r="D35" s="89">
        <f>IFERROR('6c'!D35/'6c'!L35*100, "na")</f>
        <v>267.63196848212965</v>
      </c>
      <c r="E35" s="90">
        <f>IFERROR('6c'!E35/'6c'!M35*100, "na")</f>
        <v>84.874542607317778</v>
      </c>
      <c r="F35" s="88">
        <f>IFERROR('6c'!F35/'6c'!J35*100,"na")</f>
        <v>68.774507383678483</v>
      </c>
      <c r="G35" s="89">
        <f>IFERROR('6c'!G35/'6c'!K35*100,"na")</f>
        <v>40.07199901206355</v>
      </c>
      <c r="H35" s="89">
        <f>IFERROR('6c'!H35/'6c'!L35*100,"na")</f>
        <v>96.758288903111364</v>
      </c>
      <c r="I35" s="90">
        <f>IFERROR('6c'!I35/'6c'!M35*100,"na")</f>
        <v>61.086225301977962</v>
      </c>
      <c r="J35" s="344">
        <f>IFERROR('6c'!J35/'6c'!J35*100, "na")</f>
        <v>100</v>
      </c>
      <c r="K35" s="345">
        <f>IFERROR('6c'!K35/'6c'!K35*100, "na")</f>
        <v>100</v>
      </c>
      <c r="L35" s="345">
        <f>IFERROR('6c'!L35/'6c'!L35*100, "na")</f>
        <v>100</v>
      </c>
      <c r="M35" s="346">
        <f>IFERROR('6c'!M35/'6c'!M35*100,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  <c r="J37" s="144"/>
      <c r="K37" s="144"/>
      <c r="L37" s="144"/>
      <c r="M37" s="144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 t="str">
        <f>IFERROR((POWER(F15/F6,1/($A15-$A6))-1)*100, "na")</f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6"/>
      <c r="K38" s="86"/>
      <c r="L38" s="86"/>
      <c r="M38" s="86"/>
    </row>
    <row r="39" spans="1:13">
      <c r="A39" s="28" t="s">
        <v>71</v>
      </c>
      <c r="B39" s="37">
        <f>IFERROR((POWER(B$25/B15,1/($A$25-$A$15))-1)*100,"na")</f>
        <v>5.6939234960666107</v>
      </c>
      <c r="C39" s="86">
        <f t="shared" ref="C39:I39" si="2">IFERROR((POWER(C$25/C15,1/($A$25-$A$15))-1)*100,"na")</f>
        <v>8.3164699732944491</v>
      </c>
      <c r="D39" s="86">
        <f t="shared" si="2"/>
        <v>13.335135301192924</v>
      </c>
      <c r="E39" s="87">
        <f t="shared" si="2"/>
        <v>9.6201903058762639</v>
      </c>
      <c r="F39" s="85">
        <f t="shared" si="2"/>
        <v>2.1610963178682052</v>
      </c>
      <c r="G39" s="86">
        <f t="shared" si="2"/>
        <v>4.4778741156110247</v>
      </c>
      <c r="H39" s="86">
        <f t="shared" si="2"/>
        <v>-9.6855557661709941</v>
      </c>
      <c r="I39" s="87">
        <f t="shared" si="2"/>
        <v>-4.5643526669166601</v>
      </c>
      <c r="J39" s="86"/>
      <c r="K39" s="86"/>
      <c r="L39" s="86"/>
      <c r="M39" s="86"/>
    </row>
    <row r="40" spans="1:13">
      <c r="A40" s="28" t="s">
        <v>69</v>
      </c>
      <c r="B40" s="37">
        <f>IFERROR((POWER(B$35/B25,1/($A$35-$A$25))-1)*100,"na")</f>
        <v>-12.557100884678295</v>
      </c>
      <c r="C40" s="86">
        <f t="shared" ref="C40:I40" si="3">IFERROR((POWER(C$35/C25,1/($A$35-$A$25))-1)*100,"na")</f>
        <v>-16.72443513147126</v>
      </c>
      <c r="D40" s="86">
        <f>IFERROR((POWER(D$35/D25,1/($A$35-$A$25))-1)*100,"na")</f>
        <v>-14.342742131595221</v>
      </c>
      <c r="E40" s="87">
        <f t="shared" si="3"/>
        <v>-16.825760295580029</v>
      </c>
      <c r="F40" s="85">
        <f t="shared" si="3"/>
        <v>1.118119143719265</v>
      </c>
      <c r="G40" s="86">
        <f t="shared" si="3"/>
        <v>-4.0376366874412817</v>
      </c>
      <c r="H40" s="86">
        <f t="shared" si="3"/>
        <v>4.5543676494934848</v>
      </c>
      <c r="I40" s="87">
        <f t="shared" si="3"/>
        <v>-1.3873520364771075E-2</v>
      </c>
      <c r="J40" s="86"/>
      <c r="K40" s="86"/>
      <c r="L40" s="86"/>
      <c r="M40" s="86"/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H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>IFERROR((POWER(I35/I6,1/($A$35-$A$6))-1)*100, "na")</f>
        <v>na</v>
      </c>
      <c r="J41" s="86"/>
      <c r="K41" s="86"/>
      <c r="L41" s="86"/>
      <c r="M41" s="86"/>
    </row>
    <row r="42" spans="1:13">
      <c r="J42" s="238"/>
      <c r="K42" s="238"/>
      <c r="L42" s="238"/>
      <c r="M42" s="238"/>
    </row>
    <row r="43" spans="1:13">
      <c r="A43" s="204" t="s">
        <v>113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68"/>
  <dimension ref="A1:M42"/>
  <sheetViews>
    <sheetView zoomScaleNormal="100" workbookViewId="0"/>
  </sheetViews>
  <sheetFormatPr defaultRowHeight="15"/>
  <cols>
    <col min="1" max="1" width="11.5703125" customWidth="1"/>
    <col min="2" max="2" width="12.42578125" customWidth="1"/>
    <col min="4" max="4" width="19.42578125" customWidth="1"/>
    <col min="5" max="5" width="14.7109375" customWidth="1"/>
    <col min="6" max="6" width="11.85546875" customWidth="1"/>
    <col min="8" max="8" width="17.28515625" customWidth="1"/>
    <col min="9" max="9" width="13.28515625" customWidth="1"/>
    <col min="10" max="10" width="13" customWidth="1"/>
    <col min="11" max="11" width="10.140625" bestFit="1" customWidth="1"/>
    <col min="12" max="12" width="19" customWidth="1"/>
    <col min="13" max="13" width="13.140625" customWidth="1"/>
  </cols>
  <sheetData>
    <row r="1" spans="1:13">
      <c r="A1" s="2" t="s">
        <v>115</v>
      </c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30">
      <c r="A4" s="18"/>
      <c r="B4" s="258" t="s">
        <v>0</v>
      </c>
      <c r="C4" s="259" t="s">
        <v>1</v>
      </c>
      <c r="D4" s="259" t="s">
        <v>2</v>
      </c>
      <c r="E4" s="257" t="s">
        <v>72</v>
      </c>
      <c r="F4" s="258" t="s">
        <v>0</v>
      </c>
      <c r="G4" s="259" t="s">
        <v>1</v>
      </c>
      <c r="H4" s="259" t="s">
        <v>2</v>
      </c>
      <c r="I4" s="257" t="s">
        <v>72</v>
      </c>
      <c r="J4" s="258" t="s">
        <v>39</v>
      </c>
      <c r="K4" s="259" t="s">
        <v>41</v>
      </c>
      <c r="L4" s="259" t="s">
        <v>40</v>
      </c>
      <c r="M4" s="257" t="s">
        <v>72</v>
      </c>
    </row>
    <row r="5" spans="1:13">
      <c r="A5" s="15">
        <v>1981</v>
      </c>
      <c r="B5" s="35">
        <f>IFERROR('5a'!B6/'6a'!B6*100, "na")</f>
        <v>5801.63250045309</v>
      </c>
      <c r="C5" s="30">
        <f>IFERROR('5a'!C6/'6a'!C6*100, "na")</f>
        <v>98.460120063535399</v>
      </c>
      <c r="D5" s="30">
        <f>IFERROR('5a'!D6/'6a'!D6*100, "na")</f>
        <v>117.36486486486486</v>
      </c>
      <c r="E5" s="36">
        <f>IFERROR('5a'!E6/'6a'!E6*100, "na")</f>
        <v>173.51674157744944</v>
      </c>
      <c r="F5" s="35">
        <f>IFERROR('5a'!F6/'6a'!F6*100, "na")</f>
        <v>6470.1319341795479</v>
      </c>
      <c r="G5" s="30">
        <f>IFERROR('5a'!G6/'6a'!G6*100, "na")</f>
        <v>112.30736497327796</v>
      </c>
      <c r="H5" s="30">
        <f>IFERROR('5a'!H6/'6a'!H6*100, "na")</f>
        <v>116.62249560540789</v>
      </c>
      <c r="I5" s="36">
        <f>IFERROR('5a'!I6/'6a'!I6*100, "na")</f>
        <v>126.86520559528208</v>
      </c>
      <c r="J5" s="278" t="str">
        <f>IFERROR('5a'!J6/'6a'!J6*100, "na")</f>
        <v>na</v>
      </c>
      <c r="K5" s="279" t="str">
        <f>IFERROR('5a'!K6/'6a'!K6*100, "na")</f>
        <v>na</v>
      </c>
      <c r="L5" s="279" t="str">
        <f>IFERROR('5a'!L6/'6a'!L6*100, "na")</f>
        <v>na</v>
      </c>
      <c r="M5" s="122" t="str">
        <f>IFERROR('5a'!M6/'6a'!M6*100, "na")</f>
        <v>na</v>
      </c>
    </row>
    <row r="6" spans="1:13">
      <c r="A6" s="16">
        <v>1982</v>
      </c>
      <c r="B6" s="37">
        <f>IFERROR('5a'!B7/'6a'!B7*100, "na")</f>
        <v>9922.5060539538899</v>
      </c>
      <c r="C6" s="34">
        <f>IFERROR('5a'!C7/'6a'!C7*100, "na")</f>
        <v>107.85884163385921</v>
      </c>
      <c r="D6" s="34">
        <f>IFERROR('5a'!D7/'6a'!D7*100, "na")</f>
        <v>122.39429528155112</v>
      </c>
      <c r="E6" s="38">
        <f>IFERROR('5a'!E7/'6a'!E7*100, "na")</f>
        <v>129.25613309509768</v>
      </c>
      <c r="F6" s="37">
        <f>IFERROR('5a'!F7/'6a'!F7*100, "na")</f>
        <v>3794.1824486671749</v>
      </c>
      <c r="G6" s="34">
        <f>IFERROR('5a'!G7/'6a'!G7*100, "na")</f>
        <v>97.197096088224328</v>
      </c>
      <c r="H6" s="34">
        <f>IFERROR('5a'!H7/'6a'!H7*100, "na")</f>
        <v>123.14067588080873</v>
      </c>
      <c r="I6" s="38">
        <f>IFERROR('5a'!I7/'6a'!I7*100, "na")</f>
        <v>125.74097722777802</v>
      </c>
      <c r="J6" s="280" t="str">
        <f>IFERROR('5a'!J7/'6a'!J7*100, "na")</f>
        <v>na</v>
      </c>
      <c r="K6" s="281" t="str">
        <f>IFERROR('5a'!K7/'6a'!K7*100, "na")</f>
        <v>na</v>
      </c>
      <c r="L6" s="281" t="str">
        <f>IFERROR('5a'!L7/'6a'!L7*100, "na")</f>
        <v>na</v>
      </c>
      <c r="M6" s="125" t="str">
        <f>IFERROR('5a'!M7/'6a'!M7*100, "na")</f>
        <v>na</v>
      </c>
    </row>
    <row r="7" spans="1:13">
      <c r="A7" s="16">
        <v>1983</v>
      </c>
      <c r="B7" s="37">
        <f>IFERROR('5a'!B8/'6a'!B8*100, "na")</f>
        <v>2297.3151263131476</v>
      </c>
      <c r="C7" s="34">
        <f>IFERROR('5a'!C8/'6a'!C8*100, "na")</f>
        <v>97.669873198751588</v>
      </c>
      <c r="D7" s="34">
        <f>IFERROR('5a'!D8/'6a'!D8*100, "na")</f>
        <v>126.78674981158053</v>
      </c>
      <c r="E7" s="38">
        <f>IFERROR('5a'!E8/'6a'!E8*100, "na")</f>
        <v>136.47767369854049</v>
      </c>
      <c r="F7" s="37">
        <f>IFERROR('5a'!F8/'6a'!F8*100, "na")</f>
        <v>7712.177502579978</v>
      </c>
      <c r="G7" s="34">
        <f>IFERROR('5a'!G8/'6a'!G8*100, "na")</f>
        <v>146.6482546124075</v>
      </c>
      <c r="H7" s="34">
        <f>IFERROR('5a'!H8/'6a'!H8*100, "na")</f>
        <v>126.62550020182488</v>
      </c>
      <c r="I7" s="38">
        <f>IFERROR('5a'!I8/'6a'!I8*100, "na")</f>
        <v>129.20378730493439</v>
      </c>
      <c r="J7" s="280" t="str">
        <f>IFERROR('5a'!J8/'6a'!J8*100, "na")</f>
        <v>na</v>
      </c>
      <c r="K7" s="281" t="str">
        <f>IFERROR('5a'!K8/'6a'!K8*100, "na")</f>
        <v>na</v>
      </c>
      <c r="L7" s="281" t="str">
        <f>IFERROR('5a'!L8/'6a'!L8*100, "na")</f>
        <v>na</v>
      </c>
      <c r="M7" s="125" t="str">
        <f>IFERROR('5a'!M8/'6a'!M8*100, "na")</f>
        <v>na</v>
      </c>
    </row>
    <row r="8" spans="1:13">
      <c r="A8" s="16">
        <v>1984</v>
      </c>
      <c r="B8" s="37">
        <f>IFERROR('5a'!B9/'6a'!B9*100, "na")</f>
        <v>2324.8151643827496</v>
      </c>
      <c r="C8" s="34">
        <f>IFERROR('5a'!C9/'6a'!C9*100, "na")</f>
        <v>104.63075108171651</v>
      </c>
      <c r="D8" s="34">
        <f>IFERROR('5a'!D9/'6a'!D9*100, "na")</f>
        <v>130.73308556802189</v>
      </c>
      <c r="E8" s="38">
        <f>IFERROR('5a'!E9/'6a'!E9*100, "na")</f>
        <v>143.39078467609605</v>
      </c>
      <c r="F8" s="37">
        <f>IFERROR('5a'!F9/'6a'!F9*100, "na")</f>
        <v>2553.4939894913382</v>
      </c>
      <c r="G8" s="34">
        <f>IFERROR('5a'!G9/'6a'!G9*100, "na")</f>
        <v>92.4095483221476</v>
      </c>
      <c r="H8" s="34">
        <f>IFERROR('5a'!H9/'6a'!H9*100, "na")</f>
        <v>130.55453543885423</v>
      </c>
      <c r="I8" s="38">
        <f>IFERROR('5a'!I9/'6a'!I9*100, "na")</f>
        <v>131.94497525091711</v>
      </c>
      <c r="J8" s="280" t="str">
        <f>IFERROR('5a'!J9/'6a'!J9*100, "na")</f>
        <v>na</v>
      </c>
      <c r="K8" s="281" t="str">
        <f>IFERROR('5a'!K9/'6a'!K9*100, "na")</f>
        <v>na</v>
      </c>
      <c r="L8" s="281" t="str">
        <f>IFERROR('5a'!L9/'6a'!L9*100, "na")</f>
        <v>na</v>
      </c>
      <c r="M8" s="125" t="str">
        <f>IFERROR('5a'!M9/'6a'!M9*100, "na")</f>
        <v>na</v>
      </c>
    </row>
    <row r="9" spans="1:13">
      <c r="A9" s="16">
        <v>1985</v>
      </c>
      <c r="B9" s="37">
        <f>IFERROR('5a'!B10/'6a'!B10*100, "na")</f>
        <v>2147.4365608773587</v>
      </c>
      <c r="C9" s="34">
        <f>IFERROR('5a'!C10/'6a'!C10*100, "na")</f>
        <v>107.5100403363183</v>
      </c>
      <c r="D9" s="34">
        <f>IFERROR('5a'!D10/'6a'!D10*100, "na")</f>
        <v>133.16816741850442</v>
      </c>
      <c r="E9" s="38">
        <f>IFERROR('5a'!E10/'6a'!E10*100, "na")</f>
        <v>147.69331442254753</v>
      </c>
      <c r="F9" s="37">
        <f>IFERROR('5a'!F10/'6a'!F10*100, "na")</f>
        <v>3504.8805186228087</v>
      </c>
      <c r="G9" s="34">
        <f>IFERROR('5a'!G10/'6a'!G10*100, "na")</f>
        <v>128.64592346599497</v>
      </c>
      <c r="H9" s="34">
        <f>IFERROR('5a'!H10/'6a'!H10*100, "na")</f>
        <v>132.7144112915264</v>
      </c>
      <c r="I9" s="38">
        <f>IFERROR('5a'!I10/'6a'!I10*100, "na")</f>
        <v>135.0016498831956</v>
      </c>
      <c r="J9" s="280" t="str">
        <f>IFERROR('5a'!J10/'6a'!J10*100, "na")</f>
        <v>na</v>
      </c>
      <c r="K9" s="281" t="str">
        <f>IFERROR('5a'!K10/'6a'!K10*100, "na")</f>
        <v>na</v>
      </c>
      <c r="L9" s="281" t="str">
        <f>IFERROR('5a'!L10/'6a'!L10*100, "na")</f>
        <v>na</v>
      </c>
      <c r="M9" s="125" t="str">
        <f>IFERROR('5a'!M10/'6a'!M10*100, "na")</f>
        <v>na</v>
      </c>
    </row>
    <row r="10" spans="1:13">
      <c r="A10" s="16">
        <v>1986</v>
      </c>
      <c r="B10" s="37">
        <f>IFERROR('5a'!B11/'6a'!B11*100, "na")</f>
        <v>1661.0284347733564</v>
      </c>
      <c r="C10" s="34">
        <f>IFERROR('5a'!C11/'6a'!C11*100, "na")</f>
        <v>105.12480702932523</v>
      </c>
      <c r="D10" s="34">
        <f>IFERROR('5a'!D11/'6a'!D11*100, "na")</f>
        <v>133.61266654967642</v>
      </c>
      <c r="E10" s="38">
        <f>IFERROR('5a'!E11/'6a'!E11*100, "na")</f>
        <v>147.06181044919461</v>
      </c>
      <c r="F10" s="37">
        <f>IFERROR('5a'!F11/'6a'!F11*100, "na")</f>
        <v>3388.6875406042518</v>
      </c>
      <c r="G10" s="34">
        <f>IFERROR('5a'!G11/'6a'!G11*100, "na")</f>
        <v>144.44092673945391</v>
      </c>
      <c r="H10" s="34">
        <f>IFERROR('5a'!H11/'6a'!H11*100, "na")</f>
        <v>133.16658108002409</v>
      </c>
      <c r="I10" s="38">
        <f>IFERROR('5a'!I11/'6a'!I11*100, "na")</f>
        <v>136.01287908139352</v>
      </c>
      <c r="J10" s="280" t="str">
        <f>IFERROR('5a'!J11/'6a'!J11*100, "na")</f>
        <v>na</v>
      </c>
      <c r="K10" s="281" t="str">
        <f>IFERROR('5a'!K11/'6a'!K11*100, "na")</f>
        <v>na</v>
      </c>
      <c r="L10" s="281" t="str">
        <f>IFERROR('5a'!L11/'6a'!L11*100, "na")</f>
        <v>na</v>
      </c>
      <c r="M10" s="125" t="str">
        <f>IFERROR('5a'!M11/'6a'!M11*100, "na")</f>
        <v>na</v>
      </c>
    </row>
    <row r="11" spans="1:13">
      <c r="A11" s="16">
        <v>1987</v>
      </c>
      <c r="B11" s="37">
        <f>IFERROR('5a'!B12/'6a'!B12*100, "na")</f>
        <v>803.70799034913705</v>
      </c>
      <c r="C11" s="34">
        <f>IFERROR('5a'!C12/'6a'!C12*100, "na")</f>
        <v>104.88318005088615</v>
      </c>
      <c r="D11" s="34">
        <f>IFERROR('5a'!D12/'6a'!D12*100, "na")</f>
        <v>134.79828933159629</v>
      </c>
      <c r="E11" s="38">
        <f>IFERROR('5a'!E12/'6a'!E12*100, "na")</f>
        <v>151.03147067510776</v>
      </c>
      <c r="F11" s="37">
        <f>IFERROR('5a'!F12/'6a'!F12*100, "na")</f>
        <v>1238.6677687491083</v>
      </c>
      <c r="G11" s="34">
        <f>IFERROR('5a'!G12/'6a'!G12*100, "na")</f>
        <v>168.72462422617008</v>
      </c>
      <c r="H11" s="34">
        <f>IFERROR('5a'!H12/'6a'!H12*100, "na")</f>
        <v>134.27629908982121</v>
      </c>
      <c r="I11" s="38">
        <f>IFERROR('5a'!I12/'6a'!I12*100, "na")</f>
        <v>137.58250965806846</v>
      </c>
      <c r="J11" s="280">
        <f>IFERROR('5a'!J12/'6a'!J12*100, "na")</f>
        <v>1249.8943916966446</v>
      </c>
      <c r="K11" s="281">
        <f>IFERROR('5a'!K12/'6a'!K12*100, "na")</f>
        <v>133.75501973123795</v>
      </c>
      <c r="L11" s="281">
        <f>IFERROR('5a'!L12/'6a'!L12*100, "na")</f>
        <v>134.55067650804915</v>
      </c>
      <c r="M11" s="125">
        <f>IFERROR('5a'!M12/'6a'!M12*100, "na")</f>
        <v>193.74185618387122</v>
      </c>
    </row>
    <row r="12" spans="1:13">
      <c r="A12" s="16">
        <v>1988</v>
      </c>
      <c r="B12" s="37">
        <f>IFERROR('5a'!B13/'6a'!B13*100, "na")</f>
        <v>724.7674673752133</v>
      </c>
      <c r="C12" s="34">
        <f>IFERROR('5a'!C13/'6a'!C13*100, "na")</f>
        <v>106.2450192606108</v>
      </c>
      <c r="D12" s="34">
        <f>IFERROR('5a'!D13/'6a'!D13*100, "na")</f>
        <v>134.64155633942997</v>
      </c>
      <c r="E12" s="38">
        <f>IFERROR('5a'!E13/'6a'!E13*100, "na")</f>
        <v>145.15513814341222</v>
      </c>
      <c r="F12" s="37">
        <f>IFERROR('5a'!F13/'6a'!F13*100, "na")</f>
        <v>979.94709748740354</v>
      </c>
      <c r="G12" s="34">
        <f>IFERROR('5a'!G13/'6a'!G13*100, "na")</f>
        <v>107.6756073202948</v>
      </c>
      <c r="H12" s="34">
        <f>IFERROR('5a'!H13/'6a'!H13*100, "na")</f>
        <v>134.35902397872522</v>
      </c>
      <c r="I12" s="38">
        <f>IFERROR('5a'!I13/'6a'!I13*100, "na")</f>
        <v>139.30017998321981</v>
      </c>
      <c r="J12" s="280">
        <f>IFERROR('5a'!J13/'6a'!J13*100, "na")</f>
        <v>1159.6465942947866</v>
      </c>
      <c r="K12" s="281">
        <f>IFERROR('5a'!K13/'6a'!K13*100, "na")</f>
        <v>132.32592631482237</v>
      </c>
      <c r="L12" s="281">
        <f>IFERROR('5a'!L13/'6a'!L13*100, "na")</f>
        <v>134.59924907252733</v>
      </c>
      <c r="M12" s="125">
        <f>IFERROR('5a'!M13/'6a'!M13*100, "na")</f>
        <v>188.18330773420018</v>
      </c>
    </row>
    <row r="13" spans="1:13">
      <c r="A13" s="16">
        <v>1989</v>
      </c>
      <c r="B13" s="37">
        <f>IFERROR('5a'!B14/'6a'!B14*100, "na")</f>
        <v>691.12063511825954</v>
      </c>
      <c r="C13" s="34">
        <f>IFERROR('5a'!C14/'6a'!C14*100, "na")</f>
        <v>104.82275066722448</v>
      </c>
      <c r="D13" s="34">
        <f>IFERROR('5a'!D14/'6a'!D14*100, "na")</f>
        <v>134.72416771698721</v>
      </c>
      <c r="E13" s="38">
        <f>IFERROR('5a'!E14/'6a'!E14*100, "na")</f>
        <v>142.41497553526699</v>
      </c>
      <c r="F13" s="37">
        <f>IFERROR('5a'!F14/'6a'!F14*100, "na")</f>
        <v>935.77731656207186</v>
      </c>
      <c r="G13" s="34">
        <f>IFERROR('5a'!G14/'6a'!G14*100, "na")</f>
        <v>110.49038793852863</v>
      </c>
      <c r="H13" s="34">
        <f>IFERROR('5a'!H14/'6a'!H14*100, "na")</f>
        <v>134.43106256155414</v>
      </c>
      <c r="I13" s="38">
        <f>IFERROR('5a'!I14/'6a'!I14*100, "na")</f>
        <v>142.78813894056327</v>
      </c>
      <c r="J13" s="280">
        <f>IFERROR('5a'!J14/'6a'!J14*100, "na")</f>
        <v>1083.6023373931948</v>
      </c>
      <c r="K13" s="281">
        <f>IFERROR('5a'!K14/'6a'!K14*100, "na")</f>
        <v>125.802515939641</v>
      </c>
      <c r="L13" s="281">
        <f>IFERROR('5a'!L14/'6a'!L14*100, "na")</f>
        <v>134.66642166173904</v>
      </c>
      <c r="M13" s="125">
        <f>IFERROR('5a'!M14/'6a'!M14*100, "na")</f>
        <v>184.611125098549</v>
      </c>
    </row>
    <row r="14" spans="1:13">
      <c r="A14" s="16">
        <v>1990</v>
      </c>
      <c r="B14" s="37">
        <f>IFERROR('5a'!B15/'6a'!B15*100, "na")</f>
        <v>616.92656155059956</v>
      </c>
      <c r="C14" s="34">
        <f>IFERROR('5a'!C15/'6a'!C15*100, "na")</f>
        <v>105.59358797415254</v>
      </c>
      <c r="D14" s="34">
        <f>IFERROR('5a'!D15/'6a'!D15*100, "na")</f>
        <v>134.61478847354647</v>
      </c>
      <c r="E14" s="38">
        <f>IFERROR('5a'!E15/'6a'!E15*100, "na")</f>
        <v>139.31229381659321</v>
      </c>
      <c r="F14" s="37">
        <f>IFERROR('5a'!F15/'6a'!F15*100, "na")</f>
        <v>860.56391188700104</v>
      </c>
      <c r="G14" s="34">
        <f>IFERROR('5a'!G15/'6a'!G15*100, "na")</f>
        <v>111.48877804392947</v>
      </c>
      <c r="H14" s="34">
        <f>IFERROR('5a'!H15/'6a'!H15*100, "na")</f>
        <v>134.33826166660023</v>
      </c>
      <c r="I14" s="38">
        <f>IFERROR('5a'!I15/'6a'!I15*100, "na")</f>
        <v>148.54011427172327</v>
      </c>
      <c r="J14" s="280">
        <f>IFERROR('5a'!J15/'6a'!J15*100, "na")</f>
        <v>985.25176121616607</v>
      </c>
      <c r="K14" s="281">
        <f>IFERROR('5a'!K15/'6a'!K15*100, "na")</f>
        <v>121.26093064209331</v>
      </c>
      <c r="L14" s="281">
        <f>IFERROR('5a'!L15/'6a'!L15*100, "na")</f>
        <v>134.67438536055937</v>
      </c>
      <c r="M14" s="125">
        <f>IFERROR('5a'!M15/'6a'!M15*100, "na")</f>
        <v>171.24000344531771</v>
      </c>
    </row>
    <row r="15" spans="1:13">
      <c r="A15" s="16">
        <v>1991</v>
      </c>
      <c r="B15" s="37">
        <f>IFERROR('5a'!B16/'6a'!B16*100, "na")</f>
        <v>563.63445430236766</v>
      </c>
      <c r="C15" s="34">
        <f>IFERROR('5a'!C16/'6a'!C16*100, "na")</f>
        <v>105.28367578213518</v>
      </c>
      <c r="D15" s="34">
        <f>IFERROR('5a'!D16/'6a'!D16*100, "na")</f>
        <v>135.08311461067368</v>
      </c>
      <c r="E15" s="38">
        <f>IFERROR('5a'!E16/'6a'!E16*100, "na")</f>
        <v>137.34124200353907</v>
      </c>
      <c r="F15" s="37">
        <f>IFERROR('5a'!F16/'6a'!F16*100, "na")</f>
        <v>820.16635187659347</v>
      </c>
      <c r="G15" s="34">
        <f>IFERROR('5a'!G16/'6a'!G16*100, "na")</f>
        <v>113.60545153039109</v>
      </c>
      <c r="H15" s="34">
        <f>IFERROR('5a'!H16/'6a'!H16*100, "na")</f>
        <v>134.91135276539271</v>
      </c>
      <c r="I15" s="38">
        <f>IFERROR('5a'!I16/'6a'!I16*100, "na")</f>
        <v>152.44722102755895</v>
      </c>
      <c r="J15" s="280">
        <f>IFERROR('5a'!J16/'6a'!J16*100, "na")</f>
        <v>879.7379938826349</v>
      </c>
      <c r="K15" s="281">
        <f>IFERROR('5a'!K16/'6a'!K16*100, "na")</f>
        <v>120.78387903255205</v>
      </c>
      <c r="L15" s="281">
        <f>IFERROR('5a'!L16/'6a'!L16*100, "na")</f>
        <v>135.31826215517972</v>
      </c>
      <c r="M15" s="125">
        <f>IFERROR('5a'!M16/'6a'!M16*100, "na")</f>
        <v>166.70948712772972</v>
      </c>
    </row>
    <row r="16" spans="1:13">
      <c r="A16" s="16">
        <v>1992</v>
      </c>
      <c r="B16" s="37">
        <f>IFERROR('5a'!B17/'6a'!B17*100, "na")</f>
        <v>466.89116172549393</v>
      </c>
      <c r="C16" s="34">
        <f>IFERROR('5a'!C17/'6a'!C17*100, "na")</f>
        <v>100.04683163510319</v>
      </c>
      <c r="D16" s="34">
        <f>IFERROR('5a'!D17/'6a'!D17*100, "na")</f>
        <v>134.06486178609381</v>
      </c>
      <c r="E16" s="34">
        <f>IFERROR('5a'!E17/'6a'!E17*100, "na")</f>
        <v>134.47051607747414</v>
      </c>
      <c r="F16" s="37">
        <f>IFERROR('5a'!F17/'6a'!F17*100, "na")</f>
        <v>707.01331150594808</v>
      </c>
      <c r="G16" s="34">
        <f>IFERROR('5a'!G17/'6a'!G17*100, "na")</f>
        <v>105.05541273185139</v>
      </c>
      <c r="H16" s="34">
        <f>IFERROR('5a'!H17/'6a'!H17*100, "na")</f>
        <v>133.31702961746848</v>
      </c>
      <c r="I16" s="34">
        <f>IFERROR('5a'!I17/'6a'!I17*100, "na")</f>
        <v>158.25988463245852</v>
      </c>
      <c r="J16" s="280">
        <f>IFERROR('5a'!J17/'6a'!J17*100, "na")</f>
        <v>750.54363590897719</v>
      </c>
      <c r="K16" s="281">
        <f>IFERROR('5a'!K17/'6a'!K17*100, "na")</f>
        <v>110.84912086754346</v>
      </c>
      <c r="L16" s="281">
        <f>IFERROR('5a'!L17/'6a'!L17*100, "na")</f>
        <v>134.13215546804827</v>
      </c>
      <c r="M16" s="125">
        <f>IFERROR('5a'!M17/'6a'!M17*100, "na")</f>
        <v>159.69997384361889</v>
      </c>
    </row>
    <row r="17" spans="1:13">
      <c r="A17" s="16">
        <v>1993</v>
      </c>
      <c r="B17" s="37">
        <f>IFERROR('5a'!B18/'6a'!B18*100, "na")</f>
        <v>365.26480006735102</v>
      </c>
      <c r="C17" s="34">
        <f>IFERROR('5a'!C18/'6a'!C18*100, "na")</f>
        <v>100.62845207031181</v>
      </c>
      <c r="D17" s="34">
        <f>IFERROR('5a'!D18/'6a'!D18*100, "na")</f>
        <v>132.76854112377697</v>
      </c>
      <c r="E17" s="34">
        <f>IFERROR('5a'!E18/'6a'!E18*100, "na")</f>
        <v>132.56899559108311</v>
      </c>
      <c r="F17" s="37">
        <f>IFERROR('5a'!F18/'6a'!F18*100, "na")</f>
        <v>558.12316766780384</v>
      </c>
      <c r="G17" s="34">
        <f>IFERROR('5a'!G18/'6a'!G18*100, "na")</f>
        <v>106.3064057201841</v>
      </c>
      <c r="H17" s="34">
        <f>IFERROR('5a'!H18/'6a'!H18*100, "na")</f>
        <v>132.66124624936978</v>
      </c>
      <c r="I17" s="34">
        <f>IFERROR('5a'!I18/'6a'!I18*100, "na")</f>
        <v>149.51437587372004</v>
      </c>
      <c r="J17" s="280">
        <f>IFERROR('5a'!J18/'6a'!J18*100, "na")</f>
        <v>636.40630586999919</v>
      </c>
      <c r="K17" s="281">
        <f>IFERROR('5a'!K18/'6a'!K18*100, "na")</f>
        <v>110.08180911850964</v>
      </c>
      <c r="L17" s="281">
        <f>IFERROR('5a'!L18/'6a'!L18*100, "na")</f>
        <v>132.88221459692664</v>
      </c>
      <c r="M17" s="125">
        <f>IFERROR('5a'!M18/'6a'!M18*100, "na")</f>
        <v>156.5488829145265</v>
      </c>
    </row>
    <row r="18" spans="1:13">
      <c r="A18" s="16">
        <v>1994</v>
      </c>
      <c r="B18" s="37">
        <f>IFERROR('5a'!B19/'6a'!B19*100, "na")</f>
        <v>410.37764214670239</v>
      </c>
      <c r="C18" s="34">
        <f>IFERROR('5a'!C19/'6a'!C19*100, "na")</f>
        <v>99.077350637802994</v>
      </c>
      <c r="D18" s="34">
        <f>IFERROR('5a'!D19/'6a'!D19*100, "na")</f>
        <v>130.80503843255542</v>
      </c>
      <c r="E18" s="38">
        <f>IFERROR('5a'!E19/'6a'!E19*100, "na")</f>
        <v>130.52581524930807</v>
      </c>
      <c r="F18" s="37">
        <f>IFERROR('5a'!F19/'6a'!F19*100, "na")</f>
        <v>638.5300755001532</v>
      </c>
      <c r="G18" s="34">
        <f>IFERROR('5a'!G19/'6a'!G19*100, "na")</f>
        <v>104.1698568021846</v>
      </c>
      <c r="H18" s="34">
        <f>IFERROR('5a'!H19/'6a'!H19*100, "na")</f>
        <v>130.66583410951284</v>
      </c>
      <c r="I18" s="34">
        <f>IFERROR('5a'!I19/'6a'!I19*100, "na")</f>
        <v>148.89432166405263</v>
      </c>
      <c r="J18" s="280">
        <f>IFERROR('5a'!J19/'6a'!J19*100, "na")</f>
        <v>562.13858966102691</v>
      </c>
      <c r="K18" s="281">
        <f>IFERROR('5a'!K19/'6a'!K19*100, "na")</f>
        <v>106.45030212669467</v>
      </c>
      <c r="L18" s="281">
        <f>IFERROR('5a'!L19/'6a'!L19*100, "na")</f>
        <v>130.8578732052801</v>
      </c>
      <c r="M18" s="125">
        <f>IFERROR('5a'!M19/'6a'!M19*100, "na")</f>
        <v>151.54126967161224</v>
      </c>
    </row>
    <row r="19" spans="1:13">
      <c r="A19" s="16">
        <v>1995</v>
      </c>
      <c r="B19" s="37">
        <f>IFERROR('5a'!B20/'6a'!B20*100, "na")</f>
        <v>394.58876945528988</v>
      </c>
      <c r="C19" s="34">
        <f>IFERROR('5a'!C20/'6a'!C20*100, "na")</f>
        <v>100.51527307155898</v>
      </c>
      <c r="D19" s="34">
        <f>IFERROR('5a'!D20/'6a'!D20*100, "na")</f>
        <v>126.94362752803951</v>
      </c>
      <c r="E19" s="34">
        <f>IFERROR('5a'!E20/'6a'!E20*100, "na")</f>
        <v>128.70950408022105</v>
      </c>
      <c r="F19" s="37">
        <f>IFERROR('5a'!F20/'6a'!F20*100, "na")</f>
        <v>587.46753255022657</v>
      </c>
      <c r="G19" s="34">
        <f>IFERROR('5a'!G20/'6a'!G20*100, "na")</f>
        <v>106.1493334361942</v>
      </c>
      <c r="H19" s="34">
        <f>IFERROR('5a'!H20/'6a'!H20*100, "na")</f>
        <v>126.68024067597973</v>
      </c>
      <c r="I19" s="34">
        <f>IFERROR('5a'!I20/'6a'!I20*100, "na")</f>
        <v>157.20177823531526</v>
      </c>
      <c r="J19" s="280">
        <f>IFERROR('5a'!J20/'6a'!J20*100, "na")</f>
        <v>470.43603586116546</v>
      </c>
      <c r="K19" s="281">
        <f>IFERROR('5a'!K20/'6a'!K20*100, "na")</f>
        <v>105.69109155582044</v>
      </c>
      <c r="L19" s="281">
        <f>IFERROR('5a'!L20/'6a'!L20*100, "na")</f>
        <v>127.1077992637078</v>
      </c>
      <c r="M19" s="125">
        <f>IFERROR('5a'!M20/'6a'!M20*100, "na")</f>
        <v>151.41610247370835</v>
      </c>
    </row>
    <row r="20" spans="1:13">
      <c r="A20" s="16">
        <v>1996</v>
      </c>
      <c r="B20" s="37">
        <f>IFERROR('5a'!B21/'6a'!B21*100, "na")</f>
        <v>317.81785810633664</v>
      </c>
      <c r="C20" s="34">
        <f>IFERROR('5a'!C21/'6a'!C21*100, "na")</f>
        <v>100.07549611961768</v>
      </c>
      <c r="D20" s="34">
        <f>IFERROR('5a'!D21/'6a'!D21*100, "na")</f>
        <v>124.76354775247695</v>
      </c>
      <c r="E20" s="38">
        <f>IFERROR('5a'!E21/'6a'!E21*100, "na")</f>
        <v>125.99489877661377</v>
      </c>
      <c r="F20" s="37">
        <f>IFERROR('5a'!F21/'6a'!F21*100, "na")</f>
        <v>436.45106852064896</v>
      </c>
      <c r="G20" s="34">
        <f>IFERROR('5a'!G21/'6a'!G21*100, "na")</f>
        <v>105.21189187769018</v>
      </c>
      <c r="H20" s="34">
        <f>IFERROR('5a'!H21/'6a'!H21*100, "na")</f>
        <v>124.3632795272549</v>
      </c>
      <c r="I20" s="34">
        <f>IFERROR('5a'!I21/'6a'!I21*100, "na")</f>
        <v>149.08378687296619</v>
      </c>
      <c r="J20" s="280">
        <f>IFERROR('5a'!J21/'6a'!J21*100, "na")</f>
        <v>357.73791600667118</v>
      </c>
      <c r="K20" s="281">
        <f>IFERROR('5a'!K21/'6a'!K21*100, "na")</f>
        <v>103.23097310780042</v>
      </c>
      <c r="L20" s="281">
        <f>IFERROR('5a'!L21/'6a'!L21*100, "na")</f>
        <v>124.91802505304399</v>
      </c>
      <c r="M20" s="125">
        <f>IFERROR('5a'!M21/'6a'!M21*100, "na")</f>
        <v>143.05796107451425</v>
      </c>
    </row>
    <row r="21" spans="1:13">
      <c r="A21" s="16">
        <v>1997</v>
      </c>
      <c r="B21" s="37">
        <f>IFERROR('5a'!B22/'6a'!B22*100, "na")</f>
        <v>216.4017050004237</v>
      </c>
      <c r="C21" s="34">
        <f>IFERROR('5a'!C22/'6a'!C22*100, "na")</f>
        <v>98.627820177641212</v>
      </c>
      <c r="D21" s="34">
        <f>IFERROR('5a'!D22/'6a'!D22*100, "na")</f>
        <v>123.95522192670884</v>
      </c>
      <c r="E21" s="38">
        <f>IFERROR('5a'!E22/'6a'!E22*100, "na")</f>
        <v>123.20155240467716</v>
      </c>
      <c r="F21" s="37">
        <f>IFERROR('5a'!F22/'6a'!F22*100, "na")</f>
        <v>285.52378014396334</v>
      </c>
      <c r="G21" s="34">
        <f>IFERROR('5a'!G22/'6a'!G22*100, "na")</f>
        <v>102.50481690694251</v>
      </c>
      <c r="H21" s="34">
        <f>IFERROR('5a'!H22/'6a'!H22*100, "na")</f>
        <v>123.58693354006624</v>
      </c>
      <c r="I21" s="38">
        <f>IFERROR('5a'!I22/'6a'!I22*100, "na")</f>
        <v>136.84145815036018</v>
      </c>
      <c r="J21" s="280">
        <f>IFERROR('5a'!J22/'6a'!J22*100, "na")</f>
        <v>274.49718198439126</v>
      </c>
      <c r="K21" s="281">
        <f>IFERROR('5a'!K22/'6a'!K22*100, "na")</f>
        <v>100.22389835088663</v>
      </c>
      <c r="L21" s="281">
        <f>IFERROR('5a'!L22/'6a'!L22*100, "na")</f>
        <v>124.02764005267571</v>
      </c>
      <c r="M21" s="125">
        <f>IFERROR('5a'!M22/'6a'!M22*100, "na")</f>
        <v>133.40282669424781</v>
      </c>
    </row>
    <row r="22" spans="1:13">
      <c r="A22" s="16">
        <v>1998</v>
      </c>
      <c r="B22" s="37">
        <f>IFERROR('5a'!B23/'6a'!B23*100, "na")</f>
        <v>170.1131567839688</v>
      </c>
      <c r="C22" s="34">
        <f>IFERROR('5a'!C23/'6a'!C23*100, "na")</f>
        <v>96.592716090632507</v>
      </c>
      <c r="D22" s="34">
        <f>IFERROR('5a'!D23/'6a'!D23*100, "na")</f>
        <v>116.8230233343033</v>
      </c>
      <c r="E22" s="38">
        <f>IFERROR('5a'!E23/'6a'!E23*100, "na")</f>
        <v>116.03877504156037</v>
      </c>
      <c r="F22" s="37">
        <f>IFERROR('5a'!F23/'6a'!F23*100, "na")</f>
        <v>209.59265725964266</v>
      </c>
      <c r="G22" s="34">
        <f>IFERROR('5a'!G23/'6a'!G23*100, "na")</f>
        <v>99.698701270797798</v>
      </c>
      <c r="H22" s="34">
        <f>IFERROR('5a'!H23/'6a'!H23*100, "na")</f>
        <v>116.49605127927731</v>
      </c>
      <c r="I22" s="38">
        <f>IFERROR('5a'!I23/'6a'!I23*100, "na")</f>
        <v>125.11783300959426</v>
      </c>
      <c r="J22" s="280">
        <f>IFERROR('5a'!J23/'6a'!J23*100, "na")</f>
        <v>204.19794555808119</v>
      </c>
      <c r="K22" s="281">
        <f>IFERROR('5a'!K23/'6a'!K23*100, "na")</f>
        <v>97.221362661293696</v>
      </c>
      <c r="L22" s="281">
        <f>IFERROR('5a'!L23/'6a'!L23*100, "na")</f>
        <v>116.95522920625756</v>
      </c>
      <c r="M22" s="125">
        <f>IFERROR('5a'!M23/'6a'!M23*100, "na")</f>
        <v>121.67206559770183</v>
      </c>
    </row>
    <row r="23" spans="1:13">
      <c r="A23" s="16">
        <v>1999</v>
      </c>
      <c r="B23" s="37">
        <f>IFERROR('5a'!B24/'6a'!B24*100, "na")</f>
        <v>142.01120456176878</v>
      </c>
      <c r="C23" s="34">
        <f>IFERROR('5a'!C24/'6a'!C24*100, "na")</f>
        <v>97.613881876677482</v>
      </c>
      <c r="D23" s="34">
        <f>IFERROR('5a'!D24/'6a'!D24*100, "na")</f>
        <v>111.40113912337029</v>
      </c>
      <c r="E23" s="38">
        <f>IFERROR('5a'!E24/'6a'!E24*100, "na")</f>
        <v>110.58400790934884</v>
      </c>
      <c r="F23" s="37">
        <f>IFERROR('5a'!F24/'6a'!F24*100, "na")</f>
        <v>164.30799340178973</v>
      </c>
      <c r="G23" s="34">
        <f>IFERROR('5a'!G24/'6a'!G24*100, "na")</f>
        <v>100.16424436797608</v>
      </c>
      <c r="H23" s="34">
        <f>IFERROR('5a'!H24/'6a'!H24*100, "na")</f>
        <v>111.32150008854499</v>
      </c>
      <c r="I23" s="38">
        <f>IFERROR('5a'!I24/'6a'!I24*100, "na")</f>
        <v>115.44201200212913</v>
      </c>
      <c r="J23" s="280">
        <f>IFERROR('5a'!J24/'6a'!J24*100, "na")</f>
        <v>159.19593352069671</v>
      </c>
      <c r="K23" s="281">
        <f>IFERROR('5a'!K24/'6a'!K24*100, "na")</f>
        <v>98.407964739077755</v>
      </c>
      <c r="L23" s="281">
        <f>IFERROR('5a'!L24/'6a'!L24*100, "na")</f>
        <v>111.42969879764475</v>
      </c>
      <c r="M23" s="125">
        <f>IFERROR('5a'!M24/'6a'!M24*100, "na")</f>
        <v>114.02694079290131</v>
      </c>
    </row>
    <row r="24" spans="1:13">
      <c r="A24" s="16">
        <v>2000</v>
      </c>
      <c r="B24" s="37">
        <f>IFERROR('5a'!B25/'6a'!B25*100, "na")</f>
        <v>132.45362730662384</v>
      </c>
      <c r="C24" s="34">
        <f>IFERROR('5a'!C25/'6a'!C25*100, "na")</f>
        <v>100.57177070482415</v>
      </c>
      <c r="D24" s="34">
        <f>IFERROR('5a'!D25/'6a'!D25*100, "na")</f>
        <v>107.01663669723614</v>
      </c>
      <c r="E24" s="38">
        <f>IFERROR('5a'!E25/'6a'!E25*100, "na")</f>
        <v>107.34946007030601</v>
      </c>
      <c r="F24" s="37">
        <f>IFERROR('5a'!F25/'6a'!F25*100, "na")</f>
        <v>147.08201817126542</v>
      </c>
      <c r="G24" s="34">
        <f>IFERROR('5a'!G25/'6a'!G25*100, "na")</f>
        <v>102.68898966471008</v>
      </c>
      <c r="H24" s="34">
        <f>IFERROR('5a'!H25/'6a'!H25*100, "na")</f>
        <v>106.69942176026109</v>
      </c>
      <c r="I24" s="38">
        <f>IFERROR('5a'!I25/'6a'!I25*100, "na")</f>
        <v>112.76554615476029</v>
      </c>
      <c r="J24" s="280">
        <f>IFERROR('5a'!J25/'6a'!J25*100, "na")</f>
        <v>139.23926581266787</v>
      </c>
      <c r="K24" s="281">
        <f>IFERROR('5a'!K25/'6a'!K25*100, "na")</f>
        <v>101.40573672089302</v>
      </c>
      <c r="L24" s="281">
        <f>IFERROR('5a'!L25/'6a'!L25*100, "na")</f>
        <v>107.05748055276455</v>
      </c>
      <c r="M24" s="125">
        <f>IFERROR('5a'!M25/'6a'!M25*100, "na")</f>
        <v>110.62966409450696</v>
      </c>
    </row>
    <row r="25" spans="1:13">
      <c r="A25" s="16">
        <v>2001</v>
      </c>
      <c r="B25" s="37">
        <f>IFERROR('5a'!B26/'6a'!B26*100, "na")</f>
        <v>114.4078964766817</v>
      </c>
      <c r="C25" s="34">
        <f>IFERROR('5a'!C26/'6a'!C26*100, "na")</f>
        <v>101.50642892898993</v>
      </c>
      <c r="D25" s="34">
        <f>IFERROR('5a'!D26/'6a'!D26*100, "na")</f>
        <v>102.72774431178009</v>
      </c>
      <c r="E25" s="38">
        <f>IFERROR('5a'!E26/'6a'!E26*100, "na")</f>
        <v>103.21996370859058</v>
      </c>
      <c r="F25" s="37">
        <f>IFERROR('5a'!F26/'6a'!F26*100, "na")</f>
        <v>119.34316197766518</v>
      </c>
      <c r="G25" s="34">
        <f>IFERROR('5a'!G26/'6a'!G26*100, "na")</f>
        <v>103.45105951772683</v>
      </c>
      <c r="H25" s="34">
        <f>IFERROR('5a'!H26/'6a'!H26*100, "na")</f>
        <v>102.16886194374348</v>
      </c>
      <c r="I25" s="38">
        <f>IFERROR('5a'!I26/'6a'!I26*100, "na")</f>
        <v>106.16351405735942</v>
      </c>
      <c r="J25" s="280">
        <f>IFERROR('5a'!J26/'6a'!J26*100, "na")</f>
        <v>115.20095000874171</v>
      </c>
      <c r="K25" s="281">
        <f>IFERROR('5a'!K26/'6a'!K26*100, "na")</f>
        <v>101.82776333646113</v>
      </c>
      <c r="L25" s="281">
        <f>IFERROR('5a'!L26/'6a'!L26*100, "na")</f>
        <v>102.78824584535383</v>
      </c>
      <c r="M25" s="125">
        <f>IFERROR('5a'!M26/'6a'!M26*100, "na")</f>
        <v>104.84275073179057</v>
      </c>
    </row>
    <row r="26" spans="1:13">
      <c r="A26" s="16">
        <v>2002</v>
      </c>
      <c r="B26" s="37">
        <f>IFERROR('5a'!B27/'6a'!B27*100, "na")</f>
        <v>100</v>
      </c>
      <c r="C26" s="34">
        <f>IFERROR('5a'!C27/'6a'!C27*100, "na")</f>
        <v>100</v>
      </c>
      <c r="D26" s="34">
        <f>IFERROR('5a'!D27/'6a'!D27*100, "na")</f>
        <v>100</v>
      </c>
      <c r="E26" s="38">
        <f>IFERROR('5a'!E27/'6a'!E27*100, "na")</f>
        <v>100</v>
      </c>
      <c r="F26" s="37">
        <f>IFERROR('5a'!F27/'6a'!F27*100, "na")</f>
        <v>100</v>
      </c>
      <c r="G26" s="34">
        <f>IFERROR('5a'!G27/'6a'!G27*100, "na")</f>
        <v>100</v>
      </c>
      <c r="H26" s="34">
        <f>IFERROR('5a'!H27/'6a'!H27*100, "na")</f>
        <v>100</v>
      </c>
      <c r="I26" s="38">
        <f>IFERROR('5a'!I27/'6a'!I27*100, "na")</f>
        <v>100</v>
      </c>
      <c r="J26" s="280">
        <f>IFERROR('5a'!J27/'6a'!J27*100, "na")</f>
        <v>100</v>
      </c>
      <c r="K26" s="281">
        <f>IFERROR('5a'!K27/'6a'!K27*100, "na")</f>
        <v>100</v>
      </c>
      <c r="L26" s="281">
        <f>IFERROR('5a'!L27/'6a'!L27*100, "na")</f>
        <v>100</v>
      </c>
      <c r="M26" s="125">
        <f>IFERROR('5a'!M27/'6a'!M27*100, "na")</f>
        <v>100</v>
      </c>
    </row>
    <row r="27" spans="1:13">
      <c r="A27" s="16">
        <v>2003</v>
      </c>
      <c r="B27" s="37">
        <f>IFERROR('5a'!B28/'6a'!B28*100, "na")</f>
        <v>90.269722623078451</v>
      </c>
      <c r="C27" s="34">
        <f>IFERROR('5a'!C28/'6a'!C28*100, "na")</f>
        <v>96.057300690360748</v>
      </c>
      <c r="D27" s="34">
        <f>IFERROR('5a'!D28/'6a'!D28*100, "na")</f>
        <v>95.756108259533846</v>
      </c>
      <c r="E27" s="38">
        <f>IFERROR('5a'!E28/'6a'!E28*100, "na")</f>
        <v>95.297568619359552</v>
      </c>
      <c r="F27" s="37">
        <f>IFERROR('5a'!F28/'6a'!F28*100, "na")</f>
        <v>88.528897446782011</v>
      </c>
      <c r="G27" s="34">
        <f>IFERROR('5a'!G28/'6a'!G28*100, "na")</f>
        <v>95.403700959354069</v>
      </c>
      <c r="H27" s="34">
        <f>IFERROR('5a'!H28/'6a'!H28*100, "na")</f>
        <v>95.742487232252188</v>
      </c>
      <c r="I27" s="38">
        <f>IFERROR('5a'!I28/'6a'!I28*100, "na")</f>
        <v>94.184339659131496</v>
      </c>
      <c r="J27" s="280">
        <f>IFERROR('5a'!J28/'6a'!J28*100, "na")</f>
        <v>89.449319691085662</v>
      </c>
      <c r="K27" s="281">
        <f>IFERROR('5a'!K28/'6a'!K28*100, "na")</f>
        <v>97.701920781710811</v>
      </c>
      <c r="L27" s="281">
        <f>IFERROR('5a'!L28/'6a'!L28*100, "na")</f>
        <v>95.816324400246927</v>
      </c>
      <c r="M27" s="125">
        <f>IFERROR('5a'!M28/'6a'!M28*100, "na")</f>
        <v>95.357484497675884</v>
      </c>
    </row>
    <row r="28" spans="1:13">
      <c r="A28" s="16">
        <v>2004</v>
      </c>
      <c r="B28" s="37">
        <f>IFERROR('5a'!B29/'6a'!B29*100, "na")</f>
        <v>82.910413217003594</v>
      </c>
      <c r="C28" s="34">
        <f>IFERROR('5a'!C29/'6a'!C29*100, "na")</f>
        <v>92.326487587719782</v>
      </c>
      <c r="D28" s="34">
        <f>IFERROR('5a'!D29/'6a'!D29*100, "na")</f>
        <v>90.948224811471121</v>
      </c>
      <c r="E28" s="38">
        <f>IFERROR('5a'!E29/'6a'!E29*100, "na")</f>
        <v>90.455698983318044</v>
      </c>
      <c r="F28" s="37">
        <f>IFERROR('5a'!F29/'6a'!F29*100, "na")</f>
        <v>80.326851830567776</v>
      </c>
      <c r="G28" s="34">
        <f>IFERROR('5a'!G29/'6a'!G29*100, "na")</f>
        <v>89.805773695132103</v>
      </c>
      <c r="H28" s="34">
        <f>IFERROR('5a'!H29/'6a'!H29*100, "na")</f>
        <v>90.58170926360178</v>
      </c>
      <c r="I28" s="38">
        <f>IFERROR('5a'!I29/'6a'!I29*100, "na")</f>
        <v>88.222874705923417</v>
      </c>
      <c r="J28" s="280">
        <f>IFERROR('5a'!J29/'6a'!J29*100, "na")</f>
        <v>83.015212454513119</v>
      </c>
      <c r="K28" s="281">
        <f>IFERROR('5a'!K29/'6a'!K29*100, "na")</f>
        <v>95.278982178095433</v>
      </c>
      <c r="L28" s="281">
        <f>IFERROR('5a'!L29/'6a'!L29*100, "na")</f>
        <v>90.965503614851372</v>
      </c>
      <c r="M28" s="125">
        <f>IFERROR('5a'!M29/'6a'!M29*100, "na")</f>
        <v>91.426887229398474</v>
      </c>
    </row>
    <row r="29" spans="1:13">
      <c r="A29" s="16">
        <v>2005</v>
      </c>
      <c r="B29" s="37">
        <f>IFERROR('5a'!B30/'6a'!B30*100, "na")</f>
        <v>72.867695990734717</v>
      </c>
      <c r="C29" s="34">
        <f>IFERROR('5a'!C30/'6a'!C30*100, "na")</f>
        <v>90.961662391721958</v>
      </c>
      <c r="D29" s="34">
        <f>IFERROR('5a'!D30/'6a'!D30*100, "na")</f>
        <v>89.171216216216223</v>
      </c>
      <c r="E29" s="38">
        <f>IFERROR('5a'!E30/'6a'!E30*100, "na")</f>
        <v>87.875513954767186</v>
      </c>
      <c r="F29" s="37">
        <f>IFERROR('5a'!F30/'6a'!F30*100, "na")</f>
        <v>68.543066745802122</v>
      </c>
      <c r="G29" s="34">
        <f>IFERROR('5a'!G30/'6a'!G30*100, "na")</f>
        <v>87.214677223219311</v>
      </c>
      <c r="H29" s="34">
        <f>IFERROR('5a'!H30/'6a'!H30*100, "na")</f>
        <v>89.016428571428563</v>
      </c>
      <c r="I29" s="38">
        <f>IFERROR('5a'!I30/'6a'!I30*100, "na")</f>
        <v>83.814313527421874</v>
      </c>
      <c r="J29" s="280">
        <f>IFERROR('5a'!J30/'6a'!J30*100, "na")</f>
        <v>73.143610322580642</v>
      </c>
      <c r="K29" s="281">
        <f>IFERROR('5a'!K30/'6a'!K30*100, "na")</f>
        <v>94.815704918032793</v>
      </c>
      <c r="L29" s="281">
        <f>IFERROR('5a'!L30/'6a'!L30*100, "na")</f>
        <v>89.222805256869776</v>
      </c>
      <c r="M29" s="125">
        <f>IFERROR('5a'!M30/'6a'!M30*100, "na")</f>
        <v>88.292708716395211</v>
      </c>
    </row>
    <row r="30" spans="1:13">
      <c r="A30" s="16">
        <v>2006</v>
      </c>
      <c r="B30" s="37">
        <f>IFERROR('5a'!B31/'6a'!B31*100, "na")</f>
        <v>62.352728580638804</v>
      </c>
      <c r="C30" s="34">
        <f>IFERROR('5a'!C31/'6a'!C31*100, "na")</f>
        <v>91.608541130782157</v>
      </c>
      <c r="D30" s="34">
        <f>IFERROR('5a'!D31/'6a'!D31*100, "na")</f>
        <v>86.905368747434665</v>
      </c>
      <c r="E30" s="38">
        <f>IFERROR('5a'!E31/'6a'!E31*100, "na")</f>
        <v>84.846628811263372</v>
      </c>
      <c r="F30" s="37">
        <f>IFERROR('5a'!F31/'6a'!F31*100, "na")</f>
        <v>58.720478798522095</v>
      </c>
      <c r="G30" s="34">
        <f>IFERROR('5a'!G31/'6a'!G31*100, "na")</f>
        <v>86.80548092169856</v>
      </c>
      <c r="H30" s="34">
        <f>IFERROR('5a'!H31/'6a'!H31*100, "na")</f>
        <v>86.636394027189667</v>
      </c>
      <c r="I30" s="38">
        <f>IFERROR('5a'!I31/'6a'!I31*100, "na")</f>
        <v>79.271785065372953</v>
      </c>
      <c r="J30" s="280">
        <f>IFERROR('5a'!J31/'6a'!J31*100, "na")</f>
        <v>63.829947232727633</v>
      </c>
      <c r="K30" s="281">
        <f>IFERROR('5a'!K31/'6a'!K31*100, "na")</f>
        <v>95.926684531961186</v>
      </c>
      <c r="L30" s="281">
        <f>IFERROR('5a'!L31/'6a'!L31*100, "na")</f>
        <v>86.92190615369536</v>
      </c>
      <c r="M30" s="125">
        <f>IFERROR('5a'!M31/'6a'!M31*100, "na")</f>
        <v>85.182270040650351</v>
      </c>
    </row>
    <row r="31" spans="1:13">
      <c r="A31" s="16">
        <v>2007</v>
      </c>
      <c r="B31" s="37">
        <f>IFERROR('5a'!B32/'6a'!B32*100, "na")</f>
        <v>54.713118265044947</v>
      </c>
      <c r="C31" s="34">
        <f>IFERROR('5a'!C32/'6a'!C32*100, "na")</f>
        <v>91.29419922923681</v>
      </c>
      <c r="D31" s="34">
        <f>IFERROR('5a'!D32/'6a'!D32*100, "na")</f>
        <v>85.125560693086683</v>
      </c>
      <c r="E31" s="38">
        <f>IFERROR('5a'!E32/'6a'!E32*100, "na")</f>
        <v>82.330252645347684</v>
      </c>
      <c r="F31" s="37">
        <f>IFERROR('5a'!F32/'6a'!F32*100, "na")</f>
        <v>49.362317091725401</v>
      </c>
      <c r="G31" s="34">
        <f>IFERROR('5a'!G32/'6a'!G32*100, "na")</f>
        <v>86.078576197494471</v>
      </c>
      <c r="H31" s="34">
        <f>IFERROR('5a'!H32/'6a'!H32*100, "na")</f>
        <v>84.867850413247865</v>
      </c>
      <c r="I31" s="38">
        <f>IFERROR('5a'!I32/'6a'!I32*100, "na")</f>
        <v>75.009216746735149</v>
      </c>
      <c r="J31" s="280">
        <f>IFERROR('5a'!J32/'6a'!J32*100, "na")</f>
        <v>57.345715397314819</v>
      </c>
      <c r="K31" s="281">
        <f>IFERROR('5a'!K32/'6a'!K32*100, "na")</f>
        <v>96.442152616734106</v>
      </c>
      <c r="L31" s="281">
        <f>IFERROR('5a'!L32/'6a'!L32*100, "na")</f>
        <v>85.1442680434279</v>
      </c>
      <c r="M31" s="125">
        <f>IFERROR('5a'!M32/'6a'!M32*100, "na")</f>
        <v>82.777938109768115</v>
      </c>
    </row>
    <row r="32" spans="1:13">
      <c r="A32" s="16">
        <v>2008</v>
      </c>
      <c r="B32" s="37">
        <f>IFERROR('5a'!B33/'6a'!B33*100, "na")</f>
        <v>48.414179665439853</v>
      </c>
      <c r="C32" s="34">
        <f>IFERROR('5a'!C33/'6a'!C33*100, "na")</f>
        <v>91.482250658206326</v>
      </c>
      <c r="D32" s="34">
        <f>IFERROR('5a'!D33/'6a'!D33*100, "na")</f>
        <v>79.970163578801731</v>
      </c>
      <c r="E32" s="38">
        <f>IFERROR('5a'!E33/'6a'!E33*100, "na")</f>
        <v>77.539171847123669</v>
      </c>
      <c r="F32" s="37">
        <f>IFERROR('5a'!F33/'6a'!F33*100, "na")</f>
        <v>44.122822478715776</v>
      </c>
      <c r="G32" s="34">
        <f>IFERROR('5a'!G33/'6a'!G33*100, "na")</f>
        <v>85.441283588570258</v>
      </c>
      <c r="H32" s="34">
        <f>IFERROR('5a'!H33/'6a'!H33*100, "na")</f>
        <v>79.659575924953771</v>
      </c>
      <c r="I32" s="38">
        <f>IFERROR('5a'!I33/'6a'!I33*100, "na")</f>
        <v>70.14465112092914</v>
      </c>
      <c r="J32" s="280">
        <f>IFERROR('5a'!J33/'6a'!J33*100, "na")</f>
        <v>51.602470769256158</v>
      </c>
      <c r="K32" s="281">
        <f>IFERROR('5a'!K33/'6a'!K33*100, "na")</f>
        <v>97.248660720011742</v>
      </c>
      <c r="L32" s="281">
        <f>IFERROR('5a'!L33/'6a'!L33*100, "na")</f>
        <v>80.053285567712678</v>
      </c>
      <c r="M32" s="125">
        <f>IFERROR('5a'!M33/'6a'!M33*100, "na")</f>
        <v>80.062039956967382</v>
      </c>
    </row>
    <row r="33" spans="1:13">
      <c r="A33" s="16">
        <v>2009</v>
      </c>
      <c r="B33" s="37">
        <f>IFERROR('5a'!B34/'6a'!B34*100, "na")</f>
        <v>43.671046726760274</v>
      </c>
      <c r="C33" s="34">
        <f>IFERROR('5a'!C34/'6a'!C34*100, "na")</f>
        <v>90.418808145418055</v>
      </c>
      <c r="D33" s="34">
        <f>IFERROR('5a'!D34/'6a'!D34*100, "na")</f>
        <v>75.472818036523108</v>
      </c>
      <c r="E33" s="38">
        <f>IFERROR('5a'!E34/'6a'!E34*100, "na")</f>
        <v>73.480466100160143</v>
      </c>
      <c r="F33" s="37">
        <f>IFERROR('5a'!F34/'6a'!F34*100, "na")</f>
        <v>39.725178952459139</v>
      </c>
      <c r="G33" s="34">
        <f>IFERROR('5a'!G34/'6a'!G34*100, "na")</f>
        <v>83.71377924713353</v>
      </c>
      <c r="H33" s="34">
        <f>IFERROR('5a'!H34/'6a'!H34*100, "na")</f>
        <v>75.489666697540784</v>
      </c>
      <c r="I33" s="38">
        <f>IFERROR('5a'!I34/'6a'!I34*100, "na")</f>
        <v>66.018715529693011</v>
      </c>
      <c r="J33" s="280">
        <f>IFERROR('5a'!J34/'6a'!J34*100, "na")</f>
        <v>47.329335721720859</v>
      </c>
      <c r="K33" s="281">
        <f>IFERROR('5a'!K34/'6a'!K34*100, "na")</f>
        <v>96.397437628619741</v>
      </c>
      <c r="L33" s="281">
        <f>IFERROR('5a'!L34/'6a'!L34*100, "na")</f>
        <v>75.459967850248319</v>
      </c>
      <c r="M33" s="125">
        <f>IFERROR('5a'!M34/'6a'!M34*100, "na")</f>
        <v>77.657282553050038</v>
      </c>
    </row>
    <row r="34" spans="1:13">
      <c r="A34" s="17">
        <v>2010</v>
      </c>
      <c r="B34" s="39">
        <f>IFERROR('5a'!B35/'6a'!B35*100, "na")</f>
        <v>41.141542081425555</v>
      </c>
      <c r="C34" s="40">
        <f>IFERROR('5a'!C35/'6a'!C35*100, "na")</f>
        <v>88.543135294027749</v>
      </c>
      <c r="D34" s="40">
        <f>IFERROR('5a'!D35/'6a'!D35*100, "na")</f>
        <v>72.468519446229067</v>
      </c>
      <c r="E34" s="41">
        <f>IFERROR('5a'!E35/'6a'!E35*100, "na")</f>
        <v>69.748694839416572</v>
      </c>
      <c r="F34" s="39">
        <f>IFERROR('5a'!F35/'6a'!F35*100, "na")</f>
        <v>37.085196555764838</v>
      </c>
      <c r="G34" s="40">
        <f>IFERROR('5a'!G35/'6a'!G35*100, "na")</f>
        <v>81.678704211299376</v>
      </c>
      <c r="H34" s="40">
        <f>IFERROR('5a'!H35/'6a'!H35*100, "na")</f>
        <v>72.312137364351656</v>
      </c>
      <c r="I34" s="41">
        <f>IFERROR('5a'!I35/'6a'!I35*100, "na")</f>
        <v>61.519584885145065</v>
      </c>
      <c r="J34" s="282">
        <f>IFERROR('5a'!J35/'6a'!J35*100, "na")</f>
        <v>45.114817379152434</v>
      </c>
      <c r="K34" s="283">
        <f>IFERROR('5a'!K35/'6a'!K35*100, "na")</f>
        <v>95.480544203296034</v>
      </c>
      <c r="L34" s="283">
        <f>IFERROR('5a'!L35/'6a'!L35*100, "na")</f>
        <v>72.462838924200753</v>
      </c>
      <c r="M34" s="128">
        <f>IFERROR('5a'!M35/'6a'!M35*100, "na")</f>
        <v>73.656024468520897</v>
      </c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A36" s="384" t="s">
        <v>52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6"/>
    </row>
    <row r="37" spans="1:13">
      <c r="A37" s="15" t="s">
        <v>53</v>
      </c>
      <c r="B37" s="82">
        <f>(POWER(B14/B5,1/($A14-$A5))-1)*100</f>
        <v>-22.043255442926078</v>
      </c>
      <c r="C37" s="83">
        <f t="shared" ref="C37:I37" si="0">(POWER(C14/C5,1/($A14-$A5))-1)*100</f>
        <v>0.78020626735375576</v>
      </c>
      <c r="D37" s="83">
        <f t="shared" si="0"/>
        <v>1.5353302118477519</v>
      </c>
      <c r="E37" s="84">
        <f t="shared" si="0"/>
        <v>-2.4099950697806904</v>
      </c>
      <c r="F37" s="82">
        <f t="shared" si="0"/>
        <v>-20.080598760876534</v>
      </c>
      <c r="G37" s="83">
        <f t="shared" si="0"/>
        <v>-8.1250330983040353E-2</v>
      </c>
      <c r="H37" s="83">
        <f t="shared" si="0"/>
        <v>1.5837298654963972</v>
      </c>
      <c r="I37" s="84">
        <f t="shared" si="0"/>
        <v>1.7680018115857621</v>
      </c>
      <c r="J37" s="82" t="str">
        <f>IFERROR('5a'!J38/'6a'!J38*100, "na")</f>
        <v>na</v>
      </c>
      <c r="K37" s="83" t="str">
        <f>IFERROR('5a'!K38/'6a'!K38*100, "na")</f>
        <v>na</v>
      </c>
      <c r="L37" s="83" t="str">
        <f>IFERROR('5a'!L38/'6a'!L38*100, "na")</f>
        <v>na</v>
      </c>
      <c r="M37" s="84" t="str">
        <f>IFERROR('5a'!M38/'6a'!M38*100, "na")</f>
        <v>na</v>
      </c>
    </row>
    <row r="38" spans="1:13">
      <c r="A38" s="16" t="s">
        <v>71</v>
      </c>
      <c r="B38" s="37">
        <f>(POWER(B$24/B14,1/($A$24-$A$14))-1)*100</f>
        <v>-14.260086957657991</v>
      </c>
      <c r="C38" s="34">
        <f t="shared" ref="C38:M38" si="1">(POWER(C$24/C14,1/($A$24-$A$14))-1)*100</f>
        <v>-0.486075217207671</v>
      </c>
      <c r="D38" s="34">
        <f t="shared" si="1"/>
        <v>-2.2682101472342286</v>
      </c>
      <c r="E38" s="38">
        <f t="shared" si="1"/>
        <v>-2.5726158720899894</v>
      </c>
      <c r="F38" s="37">
        <f t="shared" si="1"/>
        <v>-16.193511306963092</v>
      </c>
      <c r="G38" s="34">
        <f t="shared" si="1"/>
        <v>-0.81881963938293945</v>
      </c>
      <c r="H38" s="34">
        <f t="shared" si="1"/>
        <v>-2.2771252793773233</v>
      </c>
      <c r="I38" s="38">
        <f t="shared" si="1"/>
        <v>-2.7178259945765948</v>
      </c>
      <c r="J38" s="37">
        <f t="shared" si="1"/>
        <v>-17.771673721112634</v>
      </c>
      <c r="K38" s="34">
        <f t="shared" si="1"/>
        <v>-1.772257571095015</v>
      </c>
      <c r="L38" s="34">
        <f t="shared" si="1"/>
        <v>-2.2688066767951209</v>
      </c>
      <c r="M38" s="38">
        <f t="shared" si="1"/>
        <v>-4.27472193190731</v>
      </c>
    </row>
    <row r="39" spans="1:13">
      <c r="A39" s="16" t="s">
        <v>69</v>
      </c>
      <c r="B39" s="37">
        <f>(POWER(B$34/B24,1/($A$34-$A$24))-1)*100</f>
        <v>-11.034490353752691</v>
      </c>
      <c r="C39" s="34">
        <f t="shared" ref="C39:M39" si="2">(POWER(C$34/C24,1/($A$34-$A$24))-1)*100</f>
        <v>-1.2657389939558006</v>
      </c>
      <c r="D39" s="34">
        <f t="shared" si="2"/>
        <v>-3.8233138355269314</v>
      </c>
      <c r="E39" s="38">
        <f t="shared" si="2"/>
        <v>-4.2202669902978602</v>
      </c>
      <c r="F39" s="37">
        <f t="shared" si="2"/>
        <v>-12.870724963562431</v>
      </c>
      <c r="G39" s="34">
        <f t="shared" si="2"/>
        <v>-2.2631144500287248</v>
      </c>
      <c r="H39" s="34">
        <f t="shared" si="2"/>
        <v>-3.8155395250506929</v>
      </c>
      <c r="I39" s="38">
        <f t="shared" si="2"/>
        <v>-5.8796145937494382</v>
      </c>
      <c r="J39" s="37">
        <f t="shared" si="2"/>
        <v>-10.657984037372847</v>
      </c>
      <c r="K39" s="34">
        <f t="shared" si="2"/>
        <v>-0.60026281669188775</v>
      </c>
      <c r="L39" s="34">
        <f t="shared" si="2"/>
        <v>-3.8277376233865623</v>
      </c>
      <c r="M39" s="38">
        <f t="shared" si="2"/>
        <v>-3.9861978593452974</v>
      </c>
    </row>
    <row r="40" spans="1:13">
      <c r="A40" s="17" t="s">
        <v>70</v>
      </c>
      <c r="B40" s="39">
        <f>(POWER(B34/B5,1/($A$34-$A$5))-1)*100</f>
        <v>-15.688415066714557</v>
      </c>
      <c r="C40" s="40">
        <f t="shared" ref="C40:I40" si="3">(POWER(C34/C5,1/($A$34-$A$5))-1)*100</f>
        <v>-0.36540578304244953</v>
      </c>
      <c r="D40" s="40">
        <f t="shared" si="3"/>
        <v>-1.6487917764142157</v>
      </c>
      <c r="E40" s="41">
        <f t="shared" si="3"/>
        <v>-3.0938049975998472</v>
      </c>
      <c r="F40" s="39">
        <f t="shared" si="3"/>
        <v>-16.30498969131623</v>
      </c>
      <c r="G40" s="40">
        <f t="shared" si="3"/>
        <v>-1.0920831121635444</v>
      </c>
      <c r="H40" s="40">
        <f t="shared" si="3"/>
        <v>-1.6345971890441069</v>
      </c>
      <c r="I40" s="41">
        <f t="shared" si="3"/>
        <v>-2.4648706106861651</v>
      </c>
      <c r="J40" s="39" t="str">
        <f>IFERROR('5a'!J41/'6a'!J41*100, "na")</f>
        <v>na</v>
      </c>
      <c r="K40" s="40" t="str">
        <f>IFERROR('5a'!K41/'6a'!K41*100, "na")</f>
        <v>na</v>
      </c>
      <c r="L40" s="40" t="str">
        <f>IFERROR('5a'!L41/'6a'!L41*100, "na")</f>
        <v>na</v>
      </c>
      <c r="M40" s="41" t="str">
        <f>IFERROR('5a'!M41/'6a'!M41*100, "na")</f>
        <v>na</v>
      </c>
    </row>
    <row r="42" spans="1:13">
      <c r="A42" s="204" t="s">
        <v>226</v>
      </c>
    </row>
  </sheetData>
  <mergeCells count="4">
    <mergeCell ref="B3:E3"/>
    <mergeCell ref="F3:I3"/>
    <mergeCell ref="J3:M3"/>
    <mergeCell ref="A36:M36"/>
  </mergeCells>
  <pageMargins left="0.7" right="0.7" top="0.75" bottom="0.75" header="0.3" footer="0.3"/>
  <pageSetup scale="7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N52"/>
  <sheetViews>
    <sheetView zoomScaleNormal="100" workbookViewId="0">
      <selection sqref="A1:H2"/>
    </sheetView>
  </sheetViews>
  <sheetFormatPr defaultRowHeight="15"/>
  <cols>
    <col min="1" max="1" width="11.42578125" style="1" customWidth="1"/>
    <col min="2" max="2" width="10.42578125" style="1" customWidth="1"/>
    <col min="3" max="3" width="9.140625" style="1"/>
    <col min="4" max="4" width="17.5703125" style="1" customWidth="1"/>
    <col min="5" max="5" width="11.7109375" style="1" customWidth="1"/>
    <col min="6" max="6" width="10.85546875" style="1" customWidth="1"/>
    <col min="7" max="7" width="9.140625" style="1"/>
    <col min="8" max="8" width="17.85546875" style="1" customWidth="1"/>
    <col min="9" max="9" width="11.42578125" style="1" customWidth="1"/>
    <col min="10" max="16384" width="9.140625" style="1"/>
  </cols>
  <sheetData>
    <row r="1" spans="1:9">
      <c r="A1" s="387" t="s">
        <v>94</v>
      </c>
      <c r="B1" s="387"/>
      <c r="C1" s="387"/>
      <c r="D1" s="387"/>
      <c r="E1" s="387"/>
      <c r="F1" s="387"/>
      <c r="G1" s="387"/>
      <c r="H1" s="387"/>
    </row>
    <row r="2" spans="1:9">
      <c r="A2" s="387"/>
      <c r="B2" s="387"/>
      <c r="C2" s="387"/>
      <c r="D2" s="387"/>
      <c r="E2" s="387"/>
      <c r="F2" s="387"/>
      <c r="G2" s="387"/>
      <c r="H2" s="387"/>
    </row>
    <row r="4" spans="1:9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</row>
    <row r="5" spans="1:9" ht="30"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</row>
    <row r="6" spans="1:9">
      <c r="A6" s="27">
        <v>1981</v>
      </c>
      <c r="B6" s="67">
        <f>'1a'!B6/'1a'!J6*100</f>
        <v>1.0650960658737421</v>
      </c>
      <c r="C6" s="105">
        <f>'1a'!C6/'1a'!K6*100</f>
        <v>1.9815512048192774</v>
      </c>
      <c r="D6" s="105">
        <f>'1a'!D6/'1a'!L6*100</f>
        <v>0.17303554963630777</v>
      </c>
      <c r="E6" s="105">
        <f>'1a'!E6/'1a'!M6*100</f>
        <v>0.86018237082066873</v>
      </c>
      <c r="F6" s="67">
        <f>'1a'!F6/'1a'!J6*100</f>
        <v>1.8552150045745655</v>
      </c>
      <c r="G6" s="105">
        <f>'1a'!G6/'1a'!K6*100</f>
        <v>1.0578564257028114</v>
      </c>
      <c r="H6" s="105">
        <f>'1a'!H6/'1a'!L6*100</f>
        <v>0.20725335518901752</v>
      </c>
      <c r="I6" s="109">
        <f>'1a'!I6/'1a'!M6*100</f>
        <v>1.0745694022289767</v>
      </c>
    </row>
    <row r="7" spans="1:9">
      <c r="A7" s="28">
        <v>1982</v>
      </c>
      <c r="B7" s="106">
        <f>'1a'!B7/'1a'!J7*100</f>
        <v>0.45175081433224751</v>
      </c>
      <c r="C7" s="104">
        <f>'1a'!C7/'1a'!K7*100</f>
        <v>1.0335664335664336</v>
      </c>
      <c r="D7" s="104">
        <f>'1a'!D7/'1a'!L7*100</f>
        <v>6.6354056370695302E-2</v>
      </c>
      <c r="E7" s="104">
        <f>'1a'!E7/'1a'!M7*100</f>
        <v>0.41498454264411705</v>
      </c>
      <c r="F7" s="106">
        <f>'1a'!F7/'1a'!J7*100</f>
        <v>1.4754173452768731</v>
      </c>
      <c r="G7" s="104">
        <f>'1a'!G7/'1a'!K7*100</f>
        <v>1.1736263736263737</v>
      </c>
      <c r="H7" s="104">
        <f>'1a'!H7/'1a'!L7*100</f>
        <v>0.14864115363283417</v>
      </c>
      <c r="I7" s="110">
        <f>'1a'!I7/'1a'!M7*100</f>
        <v>0.88268574084176921</v>
      </c>
    </row>
    <row r="8" spans="1:9">
      <c r="A8" s="28">
        <v>1983</v>
      </c>
      <c r="B8" s="106">
        <f>'1a'!B8/'1a'!J8*100</f>
        <v>0.69239771151178919</v>
      </c>
      <c r="C8" s="104">
        <f>'1a'!C8/'1a'!K8*100</f>
        <v>1.5285087719298247</v>
      </c>
      <c r="D8" s="104">
        <f>'1a'!D8/'1a'!L8*100</f>
        <v>0.13781883679042473</v>
      </c>
      <c r="E8" s="104">
        <f>'1a'!E8/'1a'!M8*100</f>
        <v>0.69945722012313238</v>
      </c>
      <c r="F8" s="106">
        <f>'1a'!F8/'1a'!J8*100</f>
        <v>1.2279386269070736</v>
      </c>
      <c r="G8" s="104">
        <f>'1a'!G8/'1a'!K8*100</f>
        <v>1.0537280701754388</v>
      </c>
      <c r="H8" s="104">
        <f>'1a'!H8/'1a'!L8*100</f>
        <v>0.16797397013537857</v>
      </c>
      <c r="I8" s="110">
        <f>'1a'!I8/'1a'!M8*100</f>
        <v>0.83843188400237834</v>
      </c>
    </row>
    <row r="9" spans="1:9">
      <c r="A9" s="28">
        <v>1984</v>
      </c>
      <c r="B9" s="106">
        <f>'1a'!B9/'1a'!J9*100</f>
        <v>0.77003847386983004</v>
      </c>
      <c r="C9" s="104">
        <f>'1a'!C9/'1a'!K9*100</f>
        <v>2.0867232597623091</v>
      </c>
      <c r="D9" s="104">
        <f>'1a'!D9/'1a'!L9*100</f>
        <v>0.15682735187937991</v>
      </c>
      <c r="E9" s="104">
        <f>'1a'!E9/'1a'!M9*100</f>
        <v>0.90398714815511094</v>
      </c>
      <c r="F9" s="106">
        <f>'1a'!F9/'1a'!J9*100</f>
        <v>1.0929384418082719</v>
      </c>
      <c r="G9" s="104">
        <f>'1a'!G9/'1a'!K9*100</f>
        <v>0.92916808149405772</v>
      </c>
      <c r="H9" s="104">
        <f>'1a'!H9/'1a'!L9*100</f>
        <v>0.15289870460819707</v>
      </c>
      <c r="I9" s="110">
        <f>'1a'!I9/'1a'!M9*100</f>
        <v>0.74911558115290633</v>
      </c>
    </row>
    <row r="10" spans="1:9">
      <c r="A10" s="28">
        <v>1985</v>
      </c>
      <c r="B10" s="106">
        <f>'1a'!B10/'1a'!J10*100</f>
        <v>1.8831108888803416</v>
      </c>
      <c r="C10" s="104">
        <f>'1a'!C10/'1a'!K10*100</f>
        <v>1.4291887531689329</v>
      </c>
      <c r="D10" s="104">
        <f>'1a'!D10/'1a'!L10*100</f>
        <v>1.0315278064916269</v>
      </c>
      <c r="E10" s="104">
        <f>'1a'!E10/'1a'!M10*100</f>
        <v>1.4946972234183373</v>
      </c>
      <c r="F10" s="106">
        <f>'1a'!F10/'1a'!J10*100</f>
        <v>1.0345397899919226</v>
      </c>
      <c r="G10" s="104">
        <f>'1a'!G10/'1a'!K10*100</f>
        <v>1.3337750633786589</v>
      </c>
      <c r="H10" s="104">
        <f>'1a'!H10/'1a'!L10*100</f>
        <v>0.5006202191440976</v>
      </c>
      <c r="I10" s="110">
        <f>'1a'!I10/'1a'!M10*100</f>
        <v>0.95261789707031563</v>
      </c>
    </row>
    <row r="11" spans="1:9">
      <c r="A11" s="28">
        <v>1986</v>
      </c>
      <c r="B11" s="106">
        <f>'1a'!B11/'1a'!J11*100</f>
        <v>1.1258563535911603</v>
      </c>
      <c r="C11" s="104">
        <f>'1a'!C11/'1a'!K11*100</f>
        <v>1.7854424134204221</v>
      </c>
      <c r="D11" s="104">
        <f>'1a'!D11/'1a'!L11*100</f>
        <v>0.27892042810609585</v>
      </c>
      <c r="E11" s="104">
        <f>'1a'!E11/'1a'!M11*100</f>
        <v>1.0663033995509217</v>
      </c>
      <c r="F11" s="106">
        <f>'1a'!F11/'1a'!J11*100</f>
        <v>0.61672191528545117</v>
      </c>
      <c r="G11" s="104">
        <f>'1a'!G11/'1a'!K11*100</f>
        <v>0.63070344438701187</v>
      </c>
      <c r="H11" s="104">
        <f>'1a'!H11/'1a'!L11*100</f>
        <v>0.22778036295951604</v>
      </c>
      <c r="I11" s="110">
        <f>'1a'!I11/'1a'!M11*100</f>
        <v>0.50143733642253396</v>
      </c>
    </row>
    <row r="12" spans="1:9">
      <c r="A12" s="28">
        <v>1987</v>
      </c>
      <c r="B12" s="106">
        <f>'1a'!B12/'1a'!J12*100</f>
        <v>0.38284701462924259</v>
      </c>
      <c r="C12" s="104">
        <f>'1a'!C12/'1a'!K12*100</f>
        <v>0.93142696267696257</v>
      </c>
      <c r="D12" s="104">
        <f>'1a'!D12/'1a'!L12*100</f>
        <v>7.3755355296203293E-2</v>
      </c>
      <c r="E12" s="104">
        <f>'1a'!E12/'1a'!M12*100</f>
        <v>0.44158188564870016</v>
      </c>
      <c r="F12" s="106">
        <f>'1a'!F12/'1a'!J12*100</f>
        <v>0.63175577365678159</v>
      </c>
      <c r="G12" s="104">
        <f>'1a'!G12/'1a'!K12*100</f>
        <v>0.65174549549549543</v>
      </c>
      <c r="H12" s="104">
        <f>'1a'!H12/'1a'!L12*100</f>
        <v>0.10817698330624907</v>
      </c>
      <c r="I12" s="110">
        <f>'1a'!I12/'1a'!M12*100</f>
        <v>0.47932383191629246</v>
      </c>
    </row>
    <row r="13" spans="1:9">
      <c r="A13" s="28">
        <v>1988</v>
      </c>
      <c r="B13" s="106">
        <f>'1a'!B13/'1a'!J13*100</f>
        <v>0.6037456253744049</v>
      </c>
      <c r="C13" s="104">
        <f>'1a'!C13/'1a'!K13*100</f>
        <v>1.9058520070933418</v>
      </c>
      <c r="D13" s="104">
        <f>'1a'!D13/'1a'!L13*100</f>
        <v>3.1310725255437849E-2</v>
      </c>
      <c r="E13" s="104">
        <f>'1a'!E13/'1a'!M13*100</f>
        <v>0.8374859992814726</v>
      </c>
      <c r="F13" s="106">
        <f>'1a'!F13/'1a'!J13*100</f>
        <v>0.61143866065516916</v>
      </c>
      <c r="G13" s="104">
        <f>'1a'!G13/'1a'!K13*100</f>
        <v>0.42015153957762374</v>
      </c>
      <c r="H13" s="104">
        <f>'1a'!H13/'1a'!L13*100</f>
        <v>3.0276437033786747E-2</v>
      </c>
      <c r="I13" s="110">
        <f>'1a'!I13/'1a'!M13*100</f>
        <v>0.35281810689152349</v>
      </c>
    </row>
    <row r="14" spans="1:9">
      <c r="A14" s="28">
        <v>1989</v>
      </c>
      <c r="B14" s="106">
        <f>'1a'!B14/'1a'!J14*100</f>
        <v>0.76747981446486868</v>
      </c>
      <c r="C14" s="104">
        <f>'1a'!C14/'1a'!K14*100</f>
        <v>1.4985693848354793</v>
      </c>
      <c r="D14" s="104">
        <f>'1a'!D14/'1a'!L14*100</f>
        <v>0.11345968336832549</v>
      </c>
      <c r="E14" s="104">
        <f>'1a'!E14/'1a'!M14*100</f>
        <v>0.79126158178116845</v>
      </c>
      <c r="F14" s="106">
        <f>'1a'!F14/'1a'!J14*100</f>
        <v>0.42664490637347541</v>
      </c>
      <c r="G14" s="104">
        <f>'1a'!G14/'1a'!K14*100</f>
        <v>0.41616595135908441</v>
      </c>
      <c r="H14" s="104">
        <f>'1a'!H14/'1a'!L14*100</f>
        <v>0.21721613800147532</v>
      </c>
      <c r="I14" s="110">
        <f>'1a'!I14/'1a'!M14*100</f>
        <v>0.35294229561842422</v>
      </c>
    </row>
    <row r="15" spans="1:9">
      <c r="A15" s="28">
        <v>1990</v>
      </c>
      <c r="B15" s="106">
        <f>'1a'!B15/'1a'!J15*100</f>
        <v>2.4346831097832308E-2</v>
      </c>
      <c r="C15" s="104">
        <f>'1a'!C15/'1a'!K15*100</f>
        <v>1.509901364748619</v>
      </c>
      <c r="D15" s="104">
        <f>'1a'!D15/'1a'!L15*100</f>
        <v>5.2440754558352169E-2</v>
      </c>
      <c r="E15" s="104">
        <f>'1a'!E15/'1a'!M15*100</f>
        <v>0.57359043649521357</v>
      </c>
      <c r="F15" s="106">
        <f>'1a'!F15/'1a'!J15*100</f>
        <v>0.40426546309834083</v>
      </c>
      <c r="G15" s="104">
        <f>'1a'!G15/'1a'!K15*100</f>
        <v>0.35700411190434145</v>
      </c>
      <c r="H15" s="104">
        <f>'1a'!H15/'1a'!L15*100</f>
        <v>2.5668645893542112E-2</v>
      </c>
      <c r="I15" s="110">
        <f>'1a'!I15/'1a'!M15*100</f>
        <v>0.25510007786378414</v>
      </c>
    </row>
    <row r="16" spans="1:9">
      <c r="A16" s="28">
        <v>1991</v>
      </c>
      <c r="B16" s="106">
        <f>'1a'!B16/'1a'!J16*100</f>
        <v>0.52864212595756221</v>
      </c>
      <c r="C16" s="104">
        <f>'1a'!C16/'1a'!K16*100</f>
        <v>1.8611292942517035</v>
      </c>
      <c r="D16" s="104">
        <f>'1a'!D16/'1a'!L16*100</f>
        <v>0.2771582334664891</v>
      </c>
      <c r="E16" s="104">
        <f>'1a'!E16/'1a'!M16*100</f>
        <v>0.95838834424187935</v>
      </c>
      <c r="F16" s="106">
        <f>'1a'!F16/'1a'!J16*100</f>
        <v>0.47962849976272798</v>
      </c>
      <c r="G16" s="104">
        <f>'1a'!G16/'1a'!K16*100</f>
        <v>0.26617693408005433</v>
      </c>
      <c r="H16" s="104">
        <f>'1a'!H16/'1a'!L16*100</f>
        <v>2.6520195295162002E-2</v>
      </c>
      <c r="I16" s="110">
        <f>'1a'!I16/'1a'!M16*100</f>
        <v>0.24424843394477369</v>
      </c>
    </row>
    <row r="17" spans="1:9">
      <c r="A17" s="28">
        <v>1992</v>
      </c>
      <c r="B17" s="106">
        <f>'1a'!B17/'1a'!J17*100</f>
        <v>1.0158372903686217</v>
      </c>
      <c r="C17" s="104">
        <f>'1a'!C17/'1a'!K17*100</f>
        <v>1.8974881516587678</v>
      </c>
      <c r="D17" s="104" t="s">
        <v>37</v>
      </c>
      <c r="E17" s="104" t="s">
        <v>37</v>
      </c>
      <c r="F17" s="106">
        <f>'1a'!F17/'1a'!J17*100</f>
        <v>0.35616062361046302</v>
      </c>
      <c r="G17" s="104">
        <f>'1a'!G17/'1a'!K17*100</f>
        <v>0.20845971563981042</v>
      </c>
      <c r="H17" s="104" t="s">
        <v>37</v>
      </c>
      <c r="I17" s="110" t="s">
        <v>37</v>
      </c>
    </row>
    <row r="18" spans="1:9">
      <c r="A18" s="28">
        <v>1993</v>
      </c>
      <c r="B18" s="106">
        <f>'1a'!B18/'1a'!J18*100</f>
        <v>2.1773115056490662</v>
      </c>
      <c r="C18" s="104">
        <f>'1a'!C18/'1a'!K18*100</f>
        <v>1.0694219653179191</v>
      </c>
      <c r="D18" s="104" t="s">
        <v>37</v>
      </c>
      <c r="E18" s="104" t="s">
        <v>37</v>
      </c>
      <c r="F18" s="106">
        <f>'1a'!F18/'1a'!J18*100</f>
        <v>0.15220774729075398</v>
      </c>
      <c r="G18" s="104">
        <f>'1a'!G18/'1a'!K18*100</f>
        <v>0.29317919075144505</v>
      </c>
      <c r="H18" s="104" t="s">
        <v>37</v>
      </c>
      <c r="I18" s="110" t="s">
        <v>37</v>
      </c>
    </row>
    <row r="19" spans="1:9">
      <c r="A19" s="28">
        <v>1994</v>
      </c>
      <c r="B19" s="106">
        <f>'1a'!B19/'1a'!J19*100</f>
        <v>3.3391793972400427E-2</v>
      </c>
      <c r="C19" s="104">
        <f>'1a'!C19/'1a'!K19*100</f>
        <v>0.6513911620294599</v>
      </c>
      <c r="D19" s="104">
        <f>'1a'!D19/'1a'!L19*100</f>
        <v>5.7426027003734559E-2</v>
      </c>
      <c r="E19" s="104">
        <f>'1a'!E19/'1a'!M19*100</f>
        <v>0.30907503985342599</v>
      </c>
      <c r="F19" s="106">
        <f>'1a'!F19/'1a'!J19*100</f>
        <v>0.27763419024322705</v>
      </c>
      <c r="G19" s="104">
        <f>'1a'!G19/'1a'!K19*100</f>
        <v>0.27181801649886755</v>
      </c>
      <c r="H19" s="104" t="s">
        <v>37</v>
      </c>
      <c r="I19" s="110" t="s">
        <v>37</v>
      </c>
    </row>
    <row r="20" spans="1:9">
      <c r="A20" s="28">
        <v>1995</v>
      </c>
      <c r="B20" s="106">
        <f>'1a'!B20/'1a'!J20*100</f>
        <v>0.19564556962025315</v>
      </c>
      <c r="C20" s="104">
        <f>'1a'!C20/'1a'!K20*100</f>
        <v>0.68376973749544834</v>
      </c>
      <c r="D20" s="104" t="s">
        <v>37</v>
      </c>
      <c r="E20" s="104" t="s">
        <v>37</v>
      </c>
      <c r="F20" s="106">
        <f>'1a'!F20/'1a'!J20*100</f>
        <v>0.59629367088607599</v>
      </c>
      <c r="G20" s="104">
        <f>'1a'!G20/'1a'!K20*100</f>
        <v>0.3708828494819425</v>
      </c>
      <c r="H20" s="104" t="s">
        <v>37</v>
      </c>
      <c r="I20" s="110" t="s">
        <v>37</v>
      </c>
    </row>
    <row r="21" spans="1:9">
      <c r="A21" s="28">
        <v>1996</v>
      </c>
      <c r="B21" s="106">
        <f>'1a'!B21/'1a'!J21*100</f>
        <v>0.41427331544895052</v>
      </c>
      <c r="C21" s="104">
        <f>'1a'!C21/'1a'!K21*100</f>
        <v>0.74985770785598571</v>
      </c>
      <c r="D21" s="104">
        <f>'1a'!D21/'1a'!L21*100</f>
        <v>0.10661970703594013</v>
      </c>
      <c r="E21" s="104">
        <f>'1a'!E21/'1a'!M21*100</f>
        <v>0.48743426762648689</v>
      </c>
      <c r="F21" s="106">
        <f>'1a'!F21/'1a'!J21*100</f>
        <v>0.94317105886065955</v>
      </c>
      <c r="G21" s="104">
        <f>'1a'!G21/'1a'!K21*100</f>
        <v>0.4929291749974461</v>
      </c>
      <c r="H21" s="104" t="s">
        <v>37</v>
      </c>
      <c r="I21" s="110" t="s">
        <v>37</v>
      </c>
    </row>
    <row r="22" spans="1:9">
      <c r="A22" s="28">
        <v>1997</v>
      </c>
      <c r="B22" s="106">
        <f>'1a'!B22/'1a'!J22*100</f>
        <v>1.5521551577731736</v>
      </c>
      <c r="C22" s="104">
        <f>'1a'!C22/'1a'!K22*100</f>
        <v>1.4229704385103155</v>
      </c>
      <c r="D22" s="104">
        <f>'1a'!D22/'1a'!L22*100</f>
        <v>0.48562012006120775</v>
      </c>
      <c r="E22" s="104">
        <f>'1a'!E22/'1a'!M22*100</f>
        <v>1.209546577416527</v>
      </c>
      <c r="F22" s="106">
        <f>'1a'!F22/'1a'!J22*100</f>
        <v>1.2628137631194591</v>
      </c>
      <c r="G22" s="104">
        <f>'1a'!G22/'1a'!K22*100</f>
        <v>0.98472805215682779</v>
      </c>
      <c r="H22" s="104">
        <f>'1a'!H22/'1a'!L22*100</f>
        <v>2.338447051437988E-2</v>
      </c>
      <c r="I22" s="110">
        <f>'1a'!I22/'1a'!M22*100</f>
        <v>0.81138470528860207</v>
      </c>
    </row>
    <row r="23" spans="1:9">
      <c r="A23" s="28">
        <v>1998</v>
      </c>
      <c r="B23" s="106">
        <f>'1a'!B23/'1a'!J23*100</f>
        <v>1.5232129882494425</v>
      </c>
      <c r="C23" s="104">
        <f>'1a'!C23/'1a'!K23*100</f>
        <v>1.4779425714508909</v>
      </c>
      <c r="D23" s="104">
        <f>'1a'!D23/'1a'!L23*100</f>
        <v>0.12858567723917813</v>
      </c>
      <c r="E23" s="104">
        <f>'1a'!E23/'1a'!M23*100</f>
        <v>1.1863200994703114</v>
      </c>
      <c r="F23" s="106">
        <f>'1a'!F23/'1a'!J23*100</f>
        <v>2.3848746022599152</v>
      </c>
      <c r="G23" s="104">
        <f>'1a'!G23/'1a'!K23*100</f>
        <v>1.2373475286528954</v>
      </c>
      <c r="H23" s="104">
        <f>'1a'!H23/'1a'!L23*100</f>
        <v>0.15256333532814681</v>
      </c>
      <c r="I23" s="110">
        <f>'1a'!I23/'1a'!M23*100</f>
        <v>1.4068763862763762</v>
      </c>
    </row>
    <row r="24" spans="1:9">
      <c r="A24" s="28">
        <v>1999</v>
      </c>
      <c r="B24" s="106">
        <f>'1a'!B24/'1a'!J24*100</f>
        <v>1.1298388524880469</v>
      </c>
      <c r="C24" s="104">
        <f>'1a'!C24/'1a'!K24*100</f>
        <v>2.1388081472727074</v>
      </c>
      <c r="D24" s="104">
        <f>'1a'!D24/'1a'!L24*100</f>
        <v>0.13550162456070552</v>
      </c>
      <c r="E24" s="104">
        <f>'1a'!E24/'1a'!M24*100</f>
        <v>1.2753965264699727</v>
      </c>
      <c r="F24" s="106">
        <f>'1a'!F24/'1a'!J24*100</f>
        <v>0.2747417507821262</v>
      </c>
      <c r="G24" s="104">
        <f>'1a'!G24/'1a'!K24*100</f>
        <v>0.54269013319704851</v>
      </c>
      <c r="H24" s="104">
        <f>'1a'!H24/'1a'!L24*100</f>
        <v>1.1670313639679067E-2</v>
      </c>
      <c r="I24" s="110">
        <f>'1a'!I24/'1a'!M24*100</f>
        <v>0.31364720652856243</v>
      </c>
    </row>
    <row r="25" spans="1:9">
      <c r="A25" s="28">
        <v>2000</v>
      </c>
      <c r="B25" s="106">
        <f>'1a'!B25/'1a'!J25*100</f>
        <v>0.22728770011199684</v>
      </c>
      <c r="C25" s="104">
        <f>'1a'!C25/'1a'!K25*100</f>
        <v>2.341312687172604</v>
      </c>
      <c r="D25" s="104">
        <f>'1a'!D25/'1a'!L25*100</f>
        <v>3.8951458868471317E-2</v>
      </c>
      <c r="E25" s="104">
        <f>'1a'!E25/'1a'!M25*100</f>
        <v>0.96471910954540352</v>
      </c>
      <c r="F25" s="106">
        <f>'1a'!F25/'1a'!J25*100</f>
        <v>0.51871005995124853</v>
      </c>
      <c r="G25" s="104">
        <f>'1a'!G25/'1a'!K25*100</f>
        <v>1.0276139061107159</v>
      </c>
      <c r="H25" s="104">
        <f>'1a'!H25/'1a'!L25*100</f>
        <v>0.17776460515049725</v>
      </c>
      <c r="I25" s="110">
        <f>'1a'!I25/'1a'!M25*100</f>
        <v>0.61212757186223432</v>
      </c>
    </row>
    <row r="26" spans="1:9">
      <c r="A26" s="28">
        <v>2001</v>
      </c>
      <c r="B26" s="106">
        <f>'1a'!B26/'1a'!J26*100</f>
        <v>4.7347921168752187E-2</v>
      </c>
      <c r="C26" s="104">
        <f>'1a'!C26/'1a'!K26*100</f>
        <v>1.5669713377831753</v>
      </c>
      <c r="D26" s="104">
        <f>'1a'!D26/'1a'!L26*100</f>
        <v>1.511144692104269E-4</v>
      </c>
      <c r="E26" s="104">
        <f>'1a'!E26/'1a'!M26*100</f>
        <v>0.65844120718541288</v>
      </c>
      <c r="F26" s="106">
        <f>'1a'!F26/'1a'!J26*100</f>
        <v>2.3421628126657954E-3</v>
      </c>
      <c r="G26" s="104">
        <f>'1a'!G26/'1a'!K26*100</f>
        <v>0.67386798396595948</v>
      </c>
      <c r="H26" s="104">
        <f>'1a'!H26/'1a'!L26*100</f>
        <v>9.1172396423624229E-3</v>
      </c>
      <c r="I26" s="110">
        <f>'1a'!I26/'1a'!M26*100</f>
        <v>0.28062853579558689</v>
      </c>
    </row>
    <row r="27" spans="1:9">
      <c r="A27" s="28">
        <v>2002</v>
      </c>
      <c r="B27" s="106">
        <f>'1a'!B27/'1a'!J27*100</f>
        <v>0.43268781344348861</v>
      </c>
      <c r="C27" s="104">
        <f>'1a'!C27/'1a'!K27*100</f>
        <v>1.1073496659242761</v>
      </c>
      <c r="D27" s="104">
        <f>'1a'!D27/'1a'!L27*100</f>
        <v>5.0957625588533492E-2</v>
      </c>
      <c r="E27" s="104">
        <f>'1a'!E27/'1a'!M27*100</f>
        <v>0.6029484527246306</v>
      </c>
      <c r="F27" s="106">
        <f>'1a'!F27/'1a'!J27*100</f>
        <v>3.2566541605083307E-2</v>
      </c>
      <c r="G27" s="104">
        <f>'1a'!G27/'1a'!K27*100</f>
        <v>0.56284888404492261</v>
      </c>
      <c r="H27" s="104">
        <f>'1a'!H27/'1a'!L27*100</f>
        <v>3.8638352245107706E-2</v>
      </c>
      <c r="I27" s="110">
        <f>'1a'!I27/'1a'!M27*100</f>
        <v>0.25225867530008539</v>
      </c>
    </row>
    <row r="28" spans="1:9">
      <c r="A28" s="28">
        <v>2003</v>
      </c>
      <c r="B28" s="106">
        <f>'1a'!B28/'1a'!J28*100</f>
        <v>0.83887864972354231</v>
      </c>
      <c r="C28" s="104">
        <f>'1a'!C28/'1a'!K28*100</f>
        <v>1.0177750884027001</v>
      </c>
      <c r="D28" s="104">
        <f>'1a'!D28/'1a'!L28*100</f>
        <v>0.19743932134160708</v>
      </c>
      <c r="E28" s="104">
        <f>'1a'!E28/'1a'!M28*100</f>
        <v>0.7518986236219346</v>
      </c>
      <c r="F28" s="106">
        <f>'1a'!F28/'1a'!J28*100</f>
        <v>0.20503928606072364</v>
      </c>
      <c r="G28" s="104">
        <f>'1a'!G28/'1a'!K28*100</f>
        <v>0.62148516536505105</v>
      </c>
      <c r="H28" s="104">
        <f>'1a'!H28/'1a'!L28*100</f>
        <v>5.5706543083811164E-2</v>
      </c>
      <c r="I28" s="110">
        <f>'1a'!I28/'1a'!M28*100</f>
        <v>0.34216115572882133</v>
      </c>
    </row>
    <row r="29" spans="1:9">
      <c r="A29" s="28">
        <v>2004</v>
      </c>
      <c r="B29" s="106">
        <f>'1a'!B29/'1a'!J29*100</f>
        <v>0.76992991913746633</v>
      </c>
      <c r="C29" s="104">
        <f>'1a'!C29/'1a'!K29*100</f>
        <v>1.1561354323916326</v>
      </c>
      <c r="D29" s="104">
        <f>'1a'!D29/'1a'!L29*100</f>
        <v>0.20584153728102397</v>
      </c>
      <c r="E29" s="104">
        <f>'1a'!E29/'1a'!M29*100</f>
        <v>0.80779176515044882</v>
      </c>
      <c r="F29" s="106">
        <f>'1a'!F29/'1a'!J29*100</f>
        <v>0.183633423180593</v>
      </c>
      <c r="G29" s="104">
        <f>'1a'!G29/'1a'!K29*100</f>
        <v>1.0189260297606211</v>
      </c>
      <c r="H29" s="104">
        <f>'1a'!H29/'1a'!L29*100</f>
        <v>6.8815203017093582E-2</v>
      </c>
      <c r="I29" s="110">
        <f>'1a'!I29/'1a'!M29*100</f>
        <v>0.516311878070286</v>
      </c>
    </row>
    <row r="30" spans="1:9">
      <c r="A30" s="28">
        <v>2005</v>
      </c>
      <c r="B30" s="106">
        <f>'1a'!B30/'1a'!J30*100</f>
        <v>0.9239567264756029</v>
      </c>
      <c r="C30" s="104">
        <f>'1a'!C30/'1a'!K30*100</f>
        <v>1.5258256300103563</v>
      </c>
      <c r="D30" s="104">
        <f>'1a'!D30/'1a'!L30*100</f>
        <v>0.20946963925989875</v>
      </c>
      <c r="E30" s="104">
        <f>'1a'!E30/'1a'!M30*100</f>
        <v>1.0498395632787434</v>
      </c>
      <c r="F30" s="106">
        <f>'1a'!F30/'1a'!J30*100</f>
        <v>0.2604327352439717</v>
      </c>
      <c r="G30" s="104">
        <f>'1a'!G30/'1a'!K30*100</f>
        <v>1.161405392965364</v>
      </c>
      <c r="H30" s="104">
        <f>'1a'!H30/'1a'!L30*100</f>
        <v>0.14179066578639984</v>
      </c>
      <c r="I30" s="110">
        <f>'1a'!I30/'1a'!M30*100</f>
        <v>0.6439450764678919</v>
      </c>
    </row>
    <row r="31" spans="1:9">
      <c r="A31" s="28">
        <v>2006</v>
      </c>
      <c r="B31" s="106">
        <f>'1a'!B31/'1a'!J31*100</f>
        <v>0.62330161819295782</v>
      </c>
      <c r="C31" s="104">
        <f>'1a'!C31/'1a'!K31*100</f>
        <v>1.2056880899960793</v>
      </c>
      <c r="D31" s="104">
        <f>'1a'!D31/'1a'!L31*100</f>
        <v>0.25946431243453538</v>
      </c>
      <c r="E31" s="104">
        <f>'1a'!E31/'1a'!M31*100</f>
        <v>0.80553918680023562</v>
      </c>
      <c r="F31" s="106">
        <f>'1a'!F31/'1a'!J31*100</f>
        <v>0.22072656503405777</v>
      </c>
      <c r="G31" s="104">
        <f>'1a'!G31/'1a'!K31*100</f>
        <v>0.96000090478631961</v>
      </c>
      <c r="H31" s="104">
        <f>'1a'!H31/'1a'!L31*100</f>
        <v>0.12057126706236387</v>
      </c>
      <c r="I31" s="110">
        <f>'1a'!I31/'1a'!M31*100</f>
        <v>0.52367470692612339</v>
      </c>
    </row>
    <row r="32" spans="1:9">
      <c r="A32" s="28">
        <v>2007</v>
      </c>
      <c r="B32" s="106">
        <f>'1a'!B32/'1a'!J32*100</f>
        <v>1.3494259477190804</v>
      </c>
      <c r="C32" s="104">
        <f>'1a'!C32/'1a'!K32*100</f>
        <v>1.1129741242579416</v>
      </c>
      <c r="D32" s="104">
        <f>'1a'!D32/'1a'!L32*100</f>
        <v>0.77080281141627871</v>
      </c>
      <c r="E32" s="104">
        <f>'1a'!E32/'1a'!M32*100</f>
        <v>1.1353138861050429</v>
      </c>
      <c r="F32" s="106">
        <f>'1a'!F32/'1a'!J32*100</f>
        <v>9.606456814033007E-2</v>
      </c>
      <c r="G32" s="104">
        <f>'1a'!G32/'1a'!K32*100</f>
        <v>1.015174565770478</v>
      </c>
      <c r="H32" s="104">
        <f>'1a'!H32/'1a'!L32*100</f>
        <v>7.056358140311185E-2</v>
      </c>
      <c r="I32" s="110">
        <f>'1a'!I32/'1a'!M32*100</f>
        <v>0.54056318346932908</v>
      </c>
    </row>
    <row r="33" spans="1:14">
      <c r="A33" s="28">
        <v>2008</v>
      </c>
      <c r="B33" s="106">
        <f>'1a'!B33/'1a'!J33*100</f>
        <v>0.46571630537229036</v>
      </c>
      <c r="C33" s="104">
        <f>'1a'!C33/'1a'!K33*100</f>
        <v>1.0910949826443672</v>
      </c>
      <c r="D33" s="104">
        <f>'1a'!D33/'1a'!L33*100</f>
        <v>0.18519370798336593</v>
      </c>
      <c r="E33" s="104">
        <f>'1a'!E33/'1a'!M33*100</f>
        <v>0.71455224446581489</v>
      </c>
      <c r="F33" s="106">
        <f>'1a'!F33/'1a'!J33*100</f>
        <v>9.9878561589211934E-2</v>
      </c>
      <c r="G33" s="104">
        <f>'1a'!G33/'1a'!K33*100</f>
        <v>0.96588198169769646</v>
      </c>
      <c r="H33" s="104">
        <f>'1a'!H33/'1a'!L33*100</f>
        <v>8.9975180394155072E-2</v>
      </c>
      <c r="I33" s="110">
        <f>'1a'!I33/'1a'!M33*100</f>
        <v>0.51432653890842228</v>
      </c>
    </row>
    <row r="34" spans="1:14">
      <c r="A34" s="28">
        <v>2009</v>
      </c>
      <c r="B34" s="106">
        <f>'1a'!B34/'1a'!J34*100</f>
        <v>0.75261291134989927</v>
      </c>
      <c r="C34" s="104">
        <f>'1a'!C34/'1a'!K34*100</f>
        <v>1.135192334825494</v>
      </c>
      <c r="D34" s="104">
        <f>'1a'!D34/'1a'!L34*100</f>
        <v>0.31599700863416952</v>
      </c>
      <c r="E34" s="104">
        <f>'1a'!E34/'1a'!M34*100</f>
        <v>0.86215804784911199</v>
      </c>
      <c r="F34" s="106">
        <f>'1a'!F34/'1a'!J34*100</f>
        <v>0.17491814976494291</v>
      </c>
      <c r="G34" s="104">
        <f>'1a'!G34/'1a'!K34*100</f>
        <v>0.96676628657183539</v>
      </c>
      <c r="H34" s="104">
        <f>'1a'!H34/'1a'!L34*100</f>
        <v>4.7895846080630904E-2</v>
      </c>
      <c r="I34" s="110">
        <f>'1a'!I34/'1a'!M34*100</f>
        <v>0.54902953640931695</v>
      </c>
    </row>
    <row r="35" spans="1:14">
      <c r="A35" s="28">
        <v>2010</v>
      </c>
      <c r="B35" s="106">
        <f>'1a'!B35/'1a'!J35*100</f>
        <v>0.65096328251384872</v>
      </c>
      <c r="C35" s="104">
        <f>'1a'!C35/'1a'!K35*100</f>
        <v>0.8660058002900145</v>
      </c>
      <c r="D35" s="104">
        <f>'1a'!D35/'1a'!L35*100</f>
        <v>0.33466704324358254</v>
      </c>
      <c r="E35" s="104">
        <f>'1a'!E35/'1a'!M35*100</f>
        <v>0.69470310298140425</v>
      </c>
      <c r="F35" s="106">
        <f>'1a'!F35/'1a'!J35*100</f>
        <v>0.24392372175106625</v>
      </c>
      <c r="G35" s="104">
        <f>'1a'!G35/'1a'!K35*100</f>
        <v>0.98430546527326357</v>
      </c>
      <c r="H35" s="104">
        <f>'1a'!H35/'1a'!L35*100</f>
        <v>8.2093767652042945E-2</v>
      </c>
      <c r="I35" s="110">
        <f>'1a'!I35/'1a'!M35*100</f>
        <v>0.57593201501908076</v>
      </c>
    </row>
    <row r="36" spans="1:14">
      <c r="A36" s="29">
        <v>2011</v>
      </c>
      <c r="B36" s="107">
        <f>'1a'!B36/'1a'!J36*100</f>
        <v>0.62996201373420702</v>
      </c>
      <c r="C36" s="108">
        <f>'1a'!C36/'1a'!K36*100</f>
        <v>0.85687645968992709</v>
      </c>
      <c r="D36" s="108">
        <f>'1a'!D36/'1a'!L36*100</f>
        <v>0.33534275649623418</v>
      </c>
      <c r="E36" s="108">
        <f>'1a'!E36/'1a'!M36*100</f>
        <v>0.68149537523372561</v>
      </c>
      <c r="F36" s="107">
        <f>'1a'!F36/'1a'!J36*100</f>
        <v>0.26989657753911844</v>
      </c>
      <c r="G36" s="108">
        <f>'1a'!G36/'1a'!K36*100</f>
        <v>0.97599319263984363</v>
      </c>
      <c r="H36" s="108">
        <f>'1a'!H36/'1a'!L36*100</f>
        <v>8.9215440623756387E-2</v>
      </c>
      <c r="I36" s="111">
        <f>'1a'!I36/'1a'!M36*100</f>
        <v>0.57639130701952024</v>
      </c>
    </row>
    <row r="38" spans="1:14">
      <c r="A38" s="384" t="s">
        <v>52</v>
      </c>
      <c r="B38" s="385"/>
      <c r="C38" s="385"/>
      <c r="D38" s="385"/>
      <c r="E38" s="385"/>
      <c r="F38" s="385"/>
      <c r="G38" s="385"/>
      <c r="H38" s="385"/>
      <c r="I38" s="386"/>
      <c r="J38" s="18"/>
      <c r="K38" s="18"/>
      <c r="L38" s="18"/>
      <c r="M38" s="18"/>
    </row>
    <row r="39" spans="1:14">
      <c r="A39" s="15" t="s">
        <v>53</v>
      </c>
      <c r="B39" s="82">
        <f>(POWER(B15/B6,1/($A15-$A6))-1)*100</f>
        <v>-34.28377178208342</v>
      </c>
      <c r="C39" s="83">
        <f t="shared" ref="C39:H39" si="0">(POWER(C15/C6,1/($A15-$A6))-1)*100</f>
        <v>-2.9752379138978768</v>
      </c>
      <c r="D39" s="83">
        <f t="shared" si="0"/>
        <v>-12.422484252281162</v>
      </c>
      <c r="E39" s="84">
        <f t="shared" si="0"/>
        <v>-4.4026822446468277</v>
      </c>
      <c r="F39" s="82">
        <f t="shared" si="0"/>
        <v>-15.574292208383111</v>
      </c>
      <c r="G39" s="83">
        <f t="shared" si="0"/>
        <v>-11.369552249193404</v>
      </c>
      <c r="H39" s="83">
        <f t="shared" si="0"/>
        <v>-20.711305822361716</v>
      </c>
      <c r="I39" s="84">
        <f>(POWER(I15/I6,1/($A15-$A6))-1)*100</f>
        <v>-14.766865948065465</v>
      </c>
      <c r="J39" s="86"/>
      <c r="K39" s="86"/>
      <c r="L39" s="86"/>
      <c r="M39" s="86"/>
      <c r="N39" s="18"/>
    </row>
    <row r="40" spans="1:14">
      <c r="A40" s="16" t="s">
        <v>71</v>
      </c>
      <c r="B40" s="37">
        <f>(POWER(B$25/B15,1/($A$25-$A$15))-1)*100</f>
        <v>25.029746062480385</v>
      </c>
      <c r="C40" s="34">
        <f t="shared" ref="C40:I40" si="1">(POWER(C$25/C15,1/($A$25-$A$15))-1)*100</f>
        <v>4.4843112134355323</v>
      </c>
      <c r="D40" s="34">
        <f>(POWER(D$25/D15,1/($A$25-$A$15))-1)*100</f>
        <v>-2.9298994220194552</v>
      </c>
      <c r="E40" s="38">
        <f t="shared" si="1"/>
        <v>5.3367459263276462</v>
      </c>
      <c r="F40" s="37">
        <f t="shared" si="1"/>
        <v>2.524061631562291</v>
      </c>
      <c r="G40" s="34">
        <f t="shared" si="1"/>
        <v>11.151588943745061</v>
      </c>
      <c r="H40" s="34">
        <f t="shared" si="1"/>
        <v>21.351244175464746</v>
      </c>
      <c r="I40" s="38">
        <f t="shared" si="1"/>
        <v>9.1473347105887726</v>
      </c>
      <c r="J40" s="34"/>
      <c r="K40" s="34"/>
      <c r="L40" s="34"/>
      <c r="M40" s="34"/>
      <c r="N40" s="18"/>
    </row>
    <row r="41" spans="1:14">
      <c r="A41" s="16" t="s">
        <v>69</v>
      </c>
      <c r="B41" s="37">
        <f t="shared" ref="B41:I41" si="2">(POWER(B$35/B25,1/($A$35-$A$25))-1)*100</f>
        <v>11.095906218117202</v>
      </c>
      <c r="C41" s="34">
        <f t="shared" si="2"/>
        <v>-9.467161270968095</v>
      </c>
      <c r="D41" s="34">
        <f t="shared" si="2"/>
        <v>23.996355868697925</v>
      </c>
      <c r="E41" s="38">
        <f t="shared" si="2"/>
        <v>-3.230201721552528</v>
      </c>
      <c r="F41" s="37">
        <f t="shared" si="2"/>
        <v>-7.2672932025051544</v>
      </c>
      <c r="G41" s="34">
        <f t="shared" si="2"/>
        <v>-0.42965947805714277</v>
      </c>
      <c r="H41" s="34">
        <f t="shared" si="2"/>
        <v>-7.4350673386032291</v>
      </c>
      <c r="I41" s="38">
        <f t="shared" si="2"/>
        <v>-0.60765712361556812</v>
      </c>
      <c r="J41" s="34"/>
      <c r="K41" s="34"/>
      <c r="L41" s="34"/>
      <c r="M41" s="34"/>
      <c r="N41" s="18"/>
    </row>
    <row r="42" spans="1:14">
      <c r="A42" s="17" t="s">
        <v>70</v>
      </c>
      <c r="B42" s="39">
        <f t="shared" ref="B42:I42" si="3">(POWER(B35/B6,1/($A$35-$A$6))-1)*100</f>
        <v>-1.6834856759682992</v>
      </c>
      <c r="C42" s="40">
        <f t="shared" si="3"/>
        <v>-2.81393844003891</v>
      </c>
      <c r="D42" s="40">
        <f t="shared" si="3"/>
        <v>2.3006841849792625</v>
      </c>
      <c r="E42" s="41">
        <f t="shared" si="3"/>
        <v>-0.73405073347115879</v>
      </c>
      <c r="F42" s="39">
        <f t="shared" si="3"/>
        <v>-6.757082282855686</v>
      </c>
      <c r="G42" s="40">
        <f t="shared" si="3"/>
        <v>-0.2481867428902218</v>
      </c>
      <c r="H42" s="40">
        <f t="shared" si="3"/>
        <v>-3.142929001074235</v>
      </c>
      <c r="I42" s="41">
        <f t="shared" si="3"/>
        <v>-2.1276789079477165</v>
      </c>
      <c r="J42" s="34"/>
      <c r="K42" s="34"/>
      <c r="L42" s="34"/>
      <c r="M42" s="34"/>
      <c r="N42" s="18"/>
    </row>
    <row r="43" spans="1:14">
      <c r="A43" s="2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8"/>
    </row>
    <row r="44" spans="1:14">
      <c r="A44" s="389" t="s">
        <v>77</v>
      </c>
      <c r="B44" s="391"/>
      <c r="C44" s="391"/>
      <c r="D44" s="391"/>
      <c r="E44" s="391"/>
      <c r="F44" s="391"/>
      <c r="G44" s="391"/>
      <c r="H44" s="391"/>
      <c r="I44" s="390"/>
      <c r="J44" s="208"/>
      <c r="K44" s="208"/>
      <c r="L44" s="208"/>
      <c r="M44" s="208"/>
    </row>
    <row r="45" spans="1:14">
      <c r="A45" s="16" t="s">
        <v>53</v>
      </c>
      <c r="B45" s="120">
        <f>B15-B6</f>
        <v>-1.0407492347759097</v>
      </c>
      <c r="C45" s="83">
        <f t="shared" ref="C45:I45" si="4">C15-C6</f>
        <v>-0.47164984007065835</v>
      </c>
      <c r="D45" s="83">
        <f t="shared" si="4"/>
        <v>-0.12059479507795559</v>
      </c>
      <c r="E45" s="84">
        <f t="shared" si="4"/>
        <v>-0.28659193432545516</v>
      </c>
      <c r="F45" s="83">
        <f t="shared" si="4"/>
        <v>-1.4509495414762246</v>
      </c>
      <c r="G45" s="83">
        <f t="shared" si="4"/>
        <v>-0.70085231379846991</v>
      </c>
      <c r="H45" s="83">
        <f t="shared" si="4"/>
        <v>-0.1815847092954754</v>
      </c>
      <c r="I45" s="84">
        <f t="shared" si="4"/>
        <v>-0.81946932436519249</v>
      </c>
      <c r="J45" s="117"/>
      <c r="K45" s="117"/>
      <c r="L45" s="117"/>
      <c r="M45" s="117"/>
    </row>
    <row r="46" spans="1:14">
      <c r="A46" s="16" t="s">
        <v>71</v>
      </c>
      <c r="B46" s="123">
        <f>B25-B15</f>
        <v>0.20294086901416453</v>
      </c>
      <c r="C46" s="86">
        <f t="shared" ref="C46:I46" si="5">C25-C15</f>
        <v>0.83141132242398497</v>
      </c>
      <c r="D46" s="86">
        <f t="shared" si="5"/>
        <v>-1.3489295689880852E-2</v>
      </c>
      <c r="E46" s="87">
        <f t="shared" si="5"/>
        <v>0.39112867305018995</v>
      </c>
      <c r="F46" s="86">
        <f t="shared" si="5"/>
        <v>0.1144445968529077</v>
      </c>
      <c r="G46" s="86">
        <f t="shared" si="5"/>
        <v>0.67060979420637445</v>
      </c>
      <c r="H46" s="86">
        <f t="shared" si="5"/>
        <v>0.15209595925695513</v>
      </c>
      <c r="I46" s="87">
        <f t="shared" si="5"/>
        <v>0.35702749399845018</v>
      </c>
      <c r="J46" s="117"/>
      <c r="K46" s="117"/>
      <c r="L46" s="117"/>
      <c r="M46" s="117"/>
    </row>
    <row r="47" spans="1:14">
      <c r="A47" s="16" t="s">
        <v>69</v>
      </c>
      <c r="B47" s="123">
        <f>B35-B25</f>
        <v>0.42367558240185188</v>
      </c>
      <c r="C47" s="86">
        <f t="shared" ref="C47:I47" si="6">C35-C25</f>
        <v>-1.4753068868825894</v>
      </c>
      <c r="D47" s="86">
        <f t="shared" si="6"/>
        <v>0.29571558437511125</v>
      </c>
      <c r="E47" s="87">
        <f t="shared" si="6"/>
        <v>-0.27001600656399927</v>
      </c>
      <c r="F47" s="86">
        <f t="shared" si="6"/>
        <v>-0.27478633820018228</v>
      </c>
      <c r="G47" s="86">
        <f>G35-G25</f>
        <v>-4.3308440837452333E-2</v>
      </c>
      <c r="H47" s="86">
        <f t="shared" si="6"/>
        <v>-9.56708374984543E-2</v>
      </c>
      <c r="I47" s="87">
        <f t="shared" si="6"/>
        <v>-3.6195556843153565E-2</v>
      </c>
      <c r="J47" s="117"/>
      <c r="K47" s="117"/>
      <c r="L47" s="117"/>
      <c r="M47" s="117"/>
    </row>
    <row r="48" spans="1:14">
      <c r="A48" s="17" t="s">
        <v>70</v>
      </c>
      <c r="B48" s="126">
        <f>B35-B6</f>
        <v>-0.41413278335989334</v>
      </c>
      <c r="C48" s="89">
        <f t="shared" ref="C48:I48" si="7">C35-C6</f>
        <v>-1.115545404529263</v>
      </c>
      <c r="D48" s="89">
        <f t="shared" si="7"/>
        <v>0.16163149360727477</v>
      </c>
      <c r="E48" s="90">
        <f t="shared" si="7"/>
        <v>-0.16547926783926448</v>
      </c>
      <c r="F48" s="89">
        <f t="shared" si="7"/>
        <v>-1.6112912828234993</v>
      </c>
      <c r="G48" s="89">
        <f t="shared" si="7"/>
        <v>-7.3550960429547785E-2</v>
      </c>
      <c r="H48" s="89">
        <f t="shared" si="7"/>
        <v>-0.12515958753697459</v>
      </c>
      <c r="I48" s="90">
        <f t="shared" si="7"/>
        <v>-0.49863738720989592</v>
      </c>
      <c r="J48" s="117"/>
      <c r="K48" s="117"/>
      <c r="L48" s="117"/>
      <c r="M48" s="117"/>
    </row>
    <row r="49" spans="1:13">
      <c r="A49" s="117"/>
      <c r="B49" s="117"/>
      <c r="C49" s="117"/>
      <c r="D49" s="117"/>
      <c r="E49" s="117"/>
      <c r="F49" s="117"/>
      <c r="H49" s="117"/>
      <c r="I49" s="117"/>
      <c r="J49" s="117"/>
      <c r="K49" s="117"/>
      <c r="L49" s="117"/>
      <c r="M49" s="117"/>
    </row>
    <row r="50" spans="1:13">
      <c r="A50" s="1" t="s">
        <v>60</v>
      </c>
    </row>
    <row r="52" spans="1:13">
      <c r="A52" s="1" t="s">
        <v>98</v>
      </c>
    </row>
  </sheetData>
  <mergeCells count="5">
    <mergeCell ref="B4:E4"/>
    <mergeCell ref="F4:I4"/>
    <mergeCell ref="A38:I38"/>
    <mergeCell ref="A1:H2"/>
    <mergeCell ref="A44:I44"/>
  </mergeCells>
  <pageMargins left="0.7" right="0.7" top="0.75" bottom="0.75" header="0.3" footer="0.3"/>
  <pageSetup scale="80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69"/>
  <dimension ref="A1:M43"/>
  <sheetViews>
    <sheetView zoomScaleNormal="100" workbookViewId="0">
      <selection sqref="A1:H2"/>
    </sheetView>
  </sheetViews>
  <sheetFormatPr defaultRowHeight="15"/>
  <cols>
    <col min="1" max="1" width="10.5703125" customWidth="1"/>
    <col min="2" max="2" width="11.7109375" customWidth="1"/>
    <col min="4" max="4" width="18.42578125" customWidth="1"/>
    <col min="6" max="6" width="11" customWidth="1"/>
    <col min="8" max="8" width="18.5703125" customWidth="1"/>
    <col min="10" max="10" width="11.140625" customWidth="1"/>
    <col min="12" max="12" width="17.28515625" customWidth="1"/>
  </cols>
  <sheetData>
    <row r="1" spans="1:13">
      <c r="A1" s="387" t="s">
        <v>149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IFERROR('6a'!B6/'5k'!$B6*1000, "na")</f>
        <v>na</v>
      </c>
      <c r="C6" s="214" t="str">
        <f>IFERROR('6a'!C6/'5k'!$B6*1000, "na")</f>
        <v>na</v>
      </c>
      <c r="D6" s="214" t="str">
        <f>IFERROR('6a'!D6/'5k'!$B6*1000, "na")</f>
        <v>na</v>
      </c>
      <c r="E6" s="237" t="str">
        <f>IFERROR('6a'!E6/'5k'!$B6*1000, "na")</f>
        <v>na</v>
      </c>
      <c r="F6" s="236" t="str">
        <f>IFERROR('6a'!F6/'5k'!$C6*1000, "na")</f>
        <v>na</v>
      </c>
      <c r="G6" s="214" t="str">
        <f>IFERROR('6a'!G6/'5k'!$C6*1000, "na")</f>
        <v>na</v>
      </c>
      <c r="H6" s="214" t="str">
        <f>IFERROR('6a'!H6/'5k'!$C6*1000, "na")</f>
        <v>na</v>
      </c>
      <c r="I6" s="237" t="str">
        <f>IFERROR('6a'!I6/'5k'!$C6*1000, "na")</f>
        <v>na</v>
      </c>
      <c r="J6" s="236" t="str">
        <f>IFERROR('6a'!J6/'5k'!$D6*1000, "na")</f>
        <v>na</v>
      </c>
      <c r="K6" s="214" t="str">
        <f>IFERROR('6a'!K6/'5k'!$D6*1000, "na")</f>
        <v>na</v>
      </c>
      <c r="L6" s="214" t="str">
        <f>IFERROR('6a'!L6/'5k'!$D6*1000, "na")</f>
        <v>na</v>
      </c>
      <c r="M6" s="237" t="str">
        <f>IFERROR('6a'!M6/'5k'!$D6*1000, "na")</f>
        <v>na</v>
      </c>
    </row>
    <row r="7" spans="1:13">
      <c r="A7" s="185">
        <v>1982</v>
      </c>
      <c r="B7" s="216" t="str">
        <f>IFERROR('6a'!B7/'5k'!$B7*1000, "na")</f>
        <v>na</v>
      </c>
      <c r="C7" s="143" t="str">
        <f>IFERROR('6a'!C7/'5k'!$B7*1000, "na")</f>
        <v>na</v>
      </c>
      <c r="D7" s="143" t="str">
        <f>IFERROR('6a'!D7/'5k'!$B7*1000, "na")</f>
        <v>na</v>
      </c>
      <c r="E7" s="217" t="str">
        <f>IFERROR('6a'!E7/'5k'!$B7*1000, "na")</f>
        <v>na</v>
      </c>
      <c r="F7" s="216" t="str">
        <f>IFERROR('6a'!F7/'5k'!$C7*1000, "na")</f>
        <v>na</v>
      </c>
      <c r="G7" s="143" t="str">
        <f>IFERROR('6a'!G7/'5k'!$C7*1000, "na")</f>
        <v>na</v>
      </c>
      <c r="H7" s="143" t="str">
        <f>IFERROR('6a'!H7/'5k'!$C7*1000, "na")</f>
        <v>na</v>
      </c>
      <c r="I7" s="217" t="str">
        <f>IFERROR('6a'!I7/'5k'!$C7*1000, "na")</f>
        <v>na</v>
      </c>
      <c r="J7" s="216" t="str">
        <f>IFERROR('6a'!J7/'5k'!$D7*1000, "na")</f>
        <v>na</v>
      </c>
      <c r="K7" s="143" t="str">
        <f>IFERROR('6a'!K7/'5k'!$D7*1000, "na")</f>
        <v>na</v>
      </c>
      <c r="L7" s="143" t="str">
        <f>IFERROR('6a'!L7/'5k'!$D7*1000, "na")</f>
        <v>na</v>
      </c>
      <c r="M7" s="217" t="str">
        <f>IFERROR('6a'!M7/'5k'!$D7*1000, "na")</f>
        <v>na</v>
      </c>
    </row>
    <row r="8" spans="1:13">
      <c r="A8" s="185">
        <v>1983</v>
      </c>
      <c r="B8" s="216" t="str">
        <f>IFERROR('6a'!B8/'5k'!$B8*1000, "na")</f>
        <v>na</v>
      </c>
      <c r="C8" s="143" t="str">
        <f>IFERROR('6a'!C8/'5k'!$B8*1000, "na")</f>
        <v>na</v>
      </c>
      <c r="D8" s="143" t="str">
        <f>IFERROR('6a'!D8/'5k'!$B8*1000, "na")</f>
        <v>na</v>
      </c>
      <c r="E8" s="217" t="str">
        <f>IFERROR('6a'!E8/'5k'!$B8*1000, "na")</f>
        <v>na</v>
      </c>
      <c r="F8" s="216" t="str">
        <f>IFERROR('6a'!F8/'5k'!$C8*1000, "na")</f>
        <v>na</v>
      </c>
      <c r="G8" s="143" t="str">
        <f>IFERROR('6a'!G8/'5k'!$C8*1000, "na")</f>
        <v>na</v>
      </c>
      <c r="H8" s="143" t="str">
        <f>IFERROR('6a'!H8/'5k'!$C8*1000, "na")</f>
        <v>na</v>
      </c>
      <c r="I8" s="217" t="str">
        <f>IFERROR('6a'!I8/'5k'!$C8*1000, "na")</f>
        <v>na</v>
      </c>
      <c r="J8" s="216" t="str">
        <f>IFERROR('6a'!J8/'5k'!$D8*1000, "na")</f>
        <v>na</v>
      </c>
      <c r="K8" s="143" t="str">
        <f>IFERROR('6a'!K8/'5k'!$D8*1000, "na")</f>
        <v>na</v>
      </c>
      <c r="L8" s="143" t="str">
        <f>IFERROR('6a'!L8/'5k'!$D8*1000, "na")</f>
        <v>na</v>
      </c>
      <c r="M8" s="217" t="str">
        <f>IFERROR('6a'!M8/'5k'!$D8*1000, "na")</f>
        <v>na</v>
      </c>
    </row>
    <row r="9" spans="1:13">
      <c r="A9" s="185">
        <v>1984</v>
      </c>
      <c r="B9" s="216" t="str">
        <f>IFERROR('6a'!B9/'5k'!$B9*1000, "na")</f>
        <v>na</v>
      </c>
      <c r="C9" s="143" t="str">
        <f>IFERROR('6a'!C9/'5k'!$B9*1000, "na")</f>
        <v>na</v>
      </c>
      <c r="D9" s="143" t="str">
        <f>IFERROR('6a'!D9/'5k'!$B9*1000, "na")</f>
        <v>na</v>
      </c>
      <c r="E9" s="217" t="str">
        <f>IFERROR('6a'!E9/'5k'!$B9*1000, "na")</f>
        <v>na</v>
      </c>
      <c r="F9" s="216" t="str">
        <f>IFERROR('6a'!F9/'5k'!$C9*1000, "na")</f>
        <v>na</v>
      </c>
      <c r="G9" s="143" t="str">
        <f>IFERROR('6a'!G9/'5k'!$C9*1000, "na")</f>
        <v>na</v>
      </c>
      <c r="H9" s="143" t="str">
        <f>IFERROR('6a'!H9/'5k'!$C9*1000, "na")</f>
        <v>na</v>
      </c>
      <c r="I9" s="217" t="str">
        <f>IFERROR('6a'!I9/'5k'!$C9*1000, "na")</f>
        <v>na</v>
      </c>
      <c r="J9" s="216" t="str">
        <f>IFERROR('6a'!J9/'5k'!$D9*1000, "na")</f>
        <v>na</v>
      </c>
      <c r="K9" s="143" t="str">
        <f>IFERROR('6a'!K9/'5k'!$D9*1000, "na")</f>
        <v>na</v>
      </c>
      <c r="L9" s="143" t="str">
        <f>IFERROR('6a'!L9/'5k'!$D9*1000, "na")</f>
        <v>na</v>
      </c>
      <c r="M9" s="217" t="str">
        <f>IFERROR('6a'!M9/'5k'!$D9*1000, "na")</f>
        <v>na</v>
      </c>
    </row>
    <row r="10" spans="1:13">
      <c r="A10" s="185">
        <v>1985</v>
      </c>
      <c r="B10" s="216" t="str">
        <f>IFERROR('6a'!B10/'5k'!$B10*1000, "na")</f>
        <v>na</v>
      </c>
      <c r="C10" s="143" t="str">
        <f>IFERROR('6a'!C10/'5k'!$B10*1000, "na")</f>
        <v>na</v>
      </c>
      <c r="D10" s="143" t="str">
        <f>IFERROR('6a'!D10/'5k'!$B10*1000, "na")</f>
        <v>na</v>
      </c>
      <c r="E10" s="217" t="str">
        <f>IFERROR('6a'!E10/'5k'!$B10*1000, "na")</f>
        <v>na</v>
      </c>
      <c r="F10" s="216" t="str">
        <f>IFERROR('6a'!F10/'5k'!$C10*1000, "na")</f>
        <v>na</v>
      </c>
      <c r="G10" s="143" t="str">
        <f>IFERROR('6a'!G10/'5k'!$C10*1000, "na")</f>
        <v>na</v>
      </c>
      <c r="H10" s="143" t="str">
        <f>IFERROR('6a'!H10/'5k'!$C10*1000, "na")</f>
        <v>na</v>
      </c>
      <c r="I10" s="217" t="str">
        <f>IFERROR('6a'!I10/'5k'!$C10*1000, "na")</f>
        <v>na</v>
      </c>
      <c r="J10" s="216" t="str">
        <f>IFERROR('6a'!J10/'5k'!$D10*1000, "na")</f>
        <v>na</v>
      </c>
      <c r="K10" s="143" t="str">
        <f>IFERROR('6a'!K10/'5k'!$D10*1000, "na")</f>
        <v>na</v>
      </c>
      <c r="L10" s="143" t="str">
        <f>IFERROR('6a'!L10/'5k'!$D10*1000, "na")</f>
        <v>na</v>
      </c>
      <c r="M10" s="217" t="str">
        <f>IFERROR('6a'!M10/'5k'!$D10*1000, "na")</f>
        <v>na</v>
      </c>
    </row>
    <row r="11" spans="1:13">
      <c r="A11" s="185">
        <v>1986</v>
      </c>
      <c r="B11" s="216" t="str">
        <f>IFERROR('6a'!B11/'5k'!$B11*1000, "na")</f>
        <v>na</v>
      </c>
      <c r="C11" s="143" t="str">
        <f>IFERROR('6a'!C11/'5k'!$B11*1000, "na")</f>
        <v>na</v>
      </c>
      <c r="D11" s="143" t="str">
        <f>IFERROR('6a'!D11/'5k'!$B11*1000, "na")</f>
        <v>na</v>
      </c>
      <c r="E11" s="217" t="str">
        <f>IFERROR('6a'!E11/'5k'!$B11*1000, "na")</f>
        <v>na</v>
      </c>
      <c r="F11" s="216" t="str">
        <f>IFERROR('6a'!F11/'5k'!$C11*1000, "na")</f>
        <v>na</v>
      </c>
      <c r="G11" s="143" t="str">
        <f>IFERROR('6a'!G11/'5k'!$C11*1000, "na")</f>
        <v>na</v>
      </c>
      <c r="H11" s="143" t="str">
        <f>IFERROR('6a'!H11/'5k'!$C11*1000, "na")</f>
        <v>na</v>
      </c>
      <c r="I11" s="217" t="str">
        <f>IFERROR('6a'!I11/'5k'!$C11*1000, "na")</f>
        <v>na</v>
      </c>
      <c r="J11" s="216" t="str">
        <f>IFERROR('6a'!J11/'5k'!$D11*1000, "na")</f>
        <v>na</v>
      </c>
      <c r="K11" s="143" t="str">
        <f>IFERROR('6a'!K11/'5k'!$D11*1000, "na")</f>
        <v>na</v>
      </c>
      <c r="L11" s="143" t="str">
        <f>IFERROR('6a'!L11/'5k'!$D11*1000, "na")</f>
        <v>na</v>
      </c>
      <c r="M11" s="217" t="str">
        <f>IFERROR('6a'!M11/'5k'!$D11*1000, "na")</f>
        <v>na</v>
      </c>
    </row>
    <row r="12" spans="1:13">
      <c r="A12" s="185">
        <v>1987</v>
      </c>
      <c r="B12" s="216" t="str">
        <f>IFERROR('6a'!B12/'5k'!$B12*1000, "na")</f>
        <v>na</v>
      </c>
      <c r="C12" s="143" t="str">
        <f>IFERROR('6a'!C12/'5k'!$B12*1000, "na")</f>
        <v>na</v>
      </c>
      <c r="D12" s="143" t="str">
        <f>IFERROR('6a'!D12/'5k'!$B12*1000, "na")</f>
        <v>na</v>
      </c>
      <c r="E12" s="217" t="str">
        <f>IFERROR('6a'!E12/'5k'!$B12*1000, "na")</f>
        <v>na</v>
      </c>
      <c r="F12" s="216" t="str">
        <f>IFERROR('6a'!F12/'5k'!$C12*1000, "na")</f>
        <v>na</v>
      </c>
      <c r="G12" s="143" t="str">
        <f>IFERROR('6a'!G12/'5k'!$C12*1000, "na")</f>
        <v>na</v>
      </c>
      <c r="H12" s="143" t="str">
        <f>IFERROR('6a'!H12/'5k'!$C12*1000, "na")</f>
        <v>na</v>
      </c>
      <c r="I12" s="217" t="str">
        <f>IFERROR('6a'!I12/'5k'!$C12*1000, "na")</f>
        <v>na</v>
      </c>
      <c r="J12" s="216" t="str">
        <f>IFERROR('6a'!J12/'5k'!$D12*1000, "na")</f>
        <v>na</v>
      </c>
      <c r="K12" s="143" t="str">
        <f>IFERROR('6a'!K12/'5k'!$D12*1000, "na")</f>
        <v>na</v>
      </c>
      <c r="L12" s="143" t="str">
        <f>IFERROR('6a'!L12/'5k'!$D12*1000, "na")</f>
        <v>na</v>
      </c>
      <c r="M12" s="217" t="str">
        <f>IFERROR('6a'!M12/'5k'!$D12*1000, "na")</f>
        <v>na</v>
      </c>
    </row>
    <row r="13" spans="1:13">
      <c r="A13" s="185">
        <v>1988</v>
      </c>
      <c r="B13" s="216" t="str">
        <f>IFERROR('6a'!B13/'5k'!$B13*1000, "na")</f>
        <v>na</v>
      </c>
      <c r="C13" s="143" t="str">
        <f>IFERROR('6a'!C13/'5k'!$B13*1000, "na")</f>
        <v>na</v>
      </c>
      <c r="D13" s="143" t="str">
        <f>IFERROR('6a'!D13/'5k'!$B13*1000, "na")</f>
        <v>na</v>
      </c>
      <c r="E13" s="217" t="str">
        <f>IFERROR('6a'!E13/'5k'!$B13*1000, "na")</f>
        <v>na</v>
      </c>
      <c r="F13" s="216" t="str">
        <f>IFERROR('6a'!F13/'5k'!$C13*1000, "na")</f>
        <v>na</v>
      </c>
      <c r="G13" s="143" t="str">
        <f>IFERROR('6a'!G13/'5k'!$C13*1000, "na")</f>
        <v>na</v>
      </c>
      <c r="H13" s="143" t="str">
        <f>IFERROR('6a'!H13/'5k'!$C13*1000, "na")</f>
        <v>na</v>
      </c>
      <c r="I13" s="217" t="str">
        <f>IFERROR('6a'!I13/'5k'!$C13*1000, "na")</f>
        <v>na</v>
      </c>
      <c r="J13" s="216" t="str">
        <f>IFERROR('6a'!J13/'5k'!$D13*1000, "na")</f>
        <v>na</v>
      </c>
      <c r="K13" s="143" t="str">
        <f>IFERROR('6a'!K13/'5k'!$D13*1000, "na")</f>
        <v>na</v>
      </c>
      <c r="L13" s="143" t="str">
        <f>IFERROR('6a'!L13/'5k'!$D13*1000, "na")</f>
        <v>na</v>
      </c>
      <c r="M13" s="217" t="str">
        <f>IFERROR('6a'!M13/'5k'!$D13*1000, "na")</f>
        <v>na</v>
      </c>
    </row>
    <row r="14" spans="1:13">
      <c r="A14" s="185">
        <v>1989</v>
      </c>
      <c r="B14" s="216" t="str">
        <f>IFERROR('6a'!B14/'5k'!$B14*1000, "na")</f>
        <v>na</v>
      </c>
      <c r="C14" s="143" t="str">
        <f>IFERROR('6a'!C14/'5k'!$B14*1000, "na")</f>
        <v>na</v>
      </c>
      <c r="D14" s="143" t="str">
        <f>IFERROR('6a'!D14/'5k'!$B14*1000, "na")</f>
        <v>na</v>
      </c>
      <c r="E14" s="217" t="str">
        <f>IFERROR('6a'!E14/'5k'!$B14*1000, "na")</f>
        <v>na</v>
      </c>
      <c r="F14" s="216" t="str">
        <f>IFERROR('6a'!F14/'5k'!$C14*1000, "na")</f>
        <v>na</v>
      </c>
      <c r="G14" s="143" t="str">
        <f>IFERROR('6a'!G14/'5k'!$C14*1000, "na")</f>
        <v>na</v>
      </c>
      <c r="H14" s="143" t="str">
        <f>IFERROR('6a'!H14/'5k'!$C14*1000, "na")</f>
        <v>na</v>
      </c>
      <c r="I14" s="217" t="str">
        <f>IFERROR('6a'!I14/'5k'!$C14*1000, "na")</f>
        <v>na</v>
      </c>
      <c r="J14" s="216" t="str">
        <f>IFERROR('6a'!J14/'5k'!$D14*1000, "na")</f>
        <v>na</v>
      </c>
      <c r="K14" s="143" t="str">
        <f>IFERROR('6a'!K14/'5k'!$D14*1000, "na")</f>
        <v>na</v>
      </c>
      <c r="L14" s="143" t="str">
        <f>IFERROR('6a'!L14/'5k'!$D14*1000, "na")</f>
        <v>na</v>
      </c>
      <c r="M14" s="217" t="str">
        <f>IFERROR('6a'!M14/'5k'!$D14*1000, "na")</f>
        <v>na</v>
      </c>
    </row>
    <row r="15" spans="1:13">
      <c r="A15" s="185">
        <v>1990</v>
      </c>
      <c r="B15" s="216" t="str">
        <f>IFERROR('6a'!B15/'5k'!$B15*1000, "na")</f>
        <v>na</v>
      </c>
      <c r="C15" s="143" t="str">
        <f>IFERROR('6a'!C15/'5k'!$B15*1000, "na")</f>
        <v>na</v>
      </c>
      <c r="D15" s="143" t="str">
        <f>IFERROR('6a'!D15/'5k'!$B15*1000, "na")</f>
        <v>na</v>
      </c>
      <c r="E15" s="217" t="str">
        <f>IFERROR('6a'!E15/'5k'!$B15*1000, "na")</f>
        <v>na</v>
      </c>
      <c r="F15" s="216" t="str">
        <f>IFERROR('6a'!F15/'5k'!$C15*1000, "na")</f>
        <v>na</v>
      </c>
      <c r="G15" s="143" t="str">
        <f>IFERROR('6a'!G15/'5k'!$C15*1000, "na")</f>
        <v>na</v>
      </c>
      <c r="H15" s="143" t="str">
        <f>IFERROR('6a'!H15/'5k'!$C15*1000, "na")</f>
        <v>na</v>
      </c>
      <c r="I15" s="217" t="str">
        <f>IFERROR('6a'!I15/'5k'!$C15*1000, "na")</f>
        <v>na</v>
      </c>
      <c r="J15" s="216" t="str">
        <f>IFERROR('6a'!J15/'5k'!$D15*1000, "na")</f>
        <v>na</v>
      </c>
      <c r="K15" s="143" t="str">
        <f>IFERROR('6a'!K15/'5k'!$D15*1000, "na")</f>
        <v>na</v>
      </c>
      <c r="L15" s="143" t="str">
        <f>IFERROR('6a'!L15/'5k'!$D15*1000, "na")</f>
        <v>na</v>
      </c>
      <c r="M15" s="217" t="str">
        <f>IFERROR('6a'!M15/'5k'!$D15*1000, "na")</f>
        <v>na</v>
      </c>
    </row>
    <row r="16" spans="1:13">
      <c r="A16" s="185">
        <v>1991</v>
      </c>
      <c r="B16" s="216" t="str">
        <f>IFERROR('6a'!B16/'5k'!$B16*1000, "na")</f>
        <v>na</v>
      </c>
      <c r="C16" s="143" t="str">
        <f>IFERROR('6a'!C16/'5k'!$B16*1000, "na")</f>
        <v>na</v>
      </c>
      <c r="D16" s="143" t="str">
        <f>IFERROR('6a'!D16/'5k'!$B16*1000, "na")</f>
        <v>na</v>
      </c>
      <c r="E16" s="217" t="str">
        <f>IFERROR('6a'!E16/'5k'!$B16*1000, "na")</f>
        <v>na</v>
      </c>
      <c r="F16" s="216" t="str">
        <f>IFERROR('6a'!F16/'5k'!$C16*1000, "na")</f>
        <v>na</v>
      </c>
      <c r="G16" s="143" t="str">
        <f>IFERROR('6a'!G16/'5k'!$C16*1000, "na")</f>
        <v>na</v>
      </c>
      <c r="H16" s="143" t="str">
        <f>IFERROR('6a'!H16/'5k'!$C16*1000, "na")</f>
        <v>na</v>
      </c>
      <c r="I16" s="217" t="str">
        <f>IFERROR('6a'!I16/'5k'!$C16*1000, "na")</f>
        <v>na</v>
      </c>
      <c r="J16" s="216" t="str">
        <f>IFERROR('6a'!J16/'5k'!$D16*1000, "na")</f>
        <v>na</v>
      </c>
      <c r="K16" s="143" t="str">
        <f>IFERROR('6a'!K16/'5k'!$D16*1000, "na")</f>
        <v>na</v>
      </c>
      <c r="L16" s="143" t="str">
        <f>IFERROR('6a'!L16/'5k'!$D16*1000, "na")</f>
        <v>na</v>
      </c>
      <c r="M16" s="217" t="str">
        <f>IFERROR('6a'!M16/'5k'!$D16*1000, "na")</f>
        <v>na</v>
      </c>
    </row>
    <row r="17" spans="1:13">
      <c r="A17" s="185">
        <v>1992</v>
      </c>
      <c r="B17" s="216" t="str">
        <f>IFERROR('6a'!B17/'5k'!$B17*1000, "na")</f>
        <v>na</v>
      </c>
      <c r="C17" s="143" t="str">
        <f>IFERROR('6a'!C17/'5k'!$B17*1000, "na")</f>
        <v>na</v>
      </c>
      <c r="D17" s="143" t="str">
        <f>IFERROR('6a'!D17/'5k'!$B17*1000, "na")</f>
        <v>na</v>
      </c>
      <c r="E17" s="217" t="str">
        <f>IFERROR('6a'!E17/'5k'!$B17*1000, "na")</f>
        <v>na</v>
      </c>
      <c r="F17" s="216" t="str">
        <f>IFERROR('6a'!F17/'5k'!$C17*1000, "na")</f>
        <v>na</v>
      </c>
      <c r="G17" s="143" t="str">
        <f>IFERROR('6a'!G17/'5k'!$C17*1000, "na")</f>
        <v>na</v>
      </c>
      <c r="H17" s="143" t="str">
        <f>IFERROR('6a'!H17/'5k'!$C17*1000, "na")</f>
        <v>na</v>
      </c>
      <c r="I17" s="217" t="str">
        <f>IFERROR('6a'!I17/'5k'!$C17*1000, "na")</f>
        <v>na</v>
      </c>
      <c r="J17" s="216" t="str">
        <f>IFERROR('6a'!J17/'5k'!$D17*1000, "na")</f>
        <v>na</v>
      </c>
      <c r="K17" s="143" t="str">
        <f>IFERROR('6a'!K17/'5k'!$D17*1000, "na")</f>
        <v>na</v>
      </c>
      <c r="L17" s="143" t="str">
        <f>IFERROR('6a'!L17/'5k'!$D17*1000, "na")</f>
        <v>na</v>
      </c>
      <c r="M17" s="217" t="str">
        <f>IFERROR('6a'!M17/'5k'!$D17*1000, "na")</f>
        <v>na</v>
      </c>
    </row>
    <row r="18" spans="1:13">
      <c r="A18" s="185">
        <v>1993</v>
      </c>
      <c r="B18" s="216" t="str">
        <f>IFERROR('6a'!B18/'5k'!$B18*1000, "na")</f>
        <v>na</v>
      </c>
      <c r="C18" s="143" t="str">
        <f>IFERROR('6a'!C18/'5k'!$B18*1000, "na")</f>
        <v>na</v>
      </c>
      <c r="D18" s="143" t="str">
        <f>IFERROR('6a'!D18/'5k'!$B18*1000, "na")</f>
        <v>na</v>
      </c>
      <c r="E18" s="217" t="str">
        <f>IFERROR('6a'!E18/'5k'!$B18*1000, "na")</f>
        <v>na</v>
      </c>
      <c r="F18" s="216" t="str">
        <f>IFERROR('6a'!F18/'5k'!$C18*1000, "na")</f>
        <v>na</v>
      </c>
      <c r="G18" s="143" t="str">
        <f>IFERROR('6a'!G18/'5k'!$C18*1000, "na")</f>
        <v>na</v>
      </c>
      <c r="H18" s="143" t="str">
        <f>IFERROR('6a'!H18/'5k'!$C18*1000, "na")</f>
        <v>na</v>
      </c>
      <c r="I18" s="217" t="str">
        <f>IFERROR('6a'!I18/'5k'!$C18*1000, "na")</f>
        <v>na</v>
      </c>
      <c r="J18" s="216" t="str">
        <f>IFERROR('6a'!J18/'5k'!$D18*1000, "na")</f>
        <v>na</v>
      </c>
      <c r="K18" s="143" t="str">
        <f>IFERROR('6a'!K18/'5k'!$D18*1000, "na")</f>
        <v>na</v>
      </c>
      <c r="L18" s="143" t="str">
        <f>IFERROR('6a'!L18/'5k'!$D18*1000, "na")</f>
        <v>na</v>
      </c>
      <c r="M18" s="217" t="str">
        <f>IFERROR('6a'!M18/'5k'!$D18*1000, "na")</f>
        <v>na</v>
      </c>
    </row>
    <row r="19" spans="1:13">
      <c r="A19" s="185">
        <v>1994</v>
      </c>
      <c r="B19" s="216" t="str">
        <f>IFERROR('6a'!B19/'5k'!$B19*1000, "na")</f>
        <v>na</v>
      </c>
      <c r="C19" s="143" t="str">
        <f>IFERROR('6a'!C19/'5k'!$B19*1000, "na")</f>
        <v>na</v>
      </c>
      <c r="D19" s="143" t="str">
        <f>IFERROR('6a'!D19/'5k'!$B19*1000, "na")</f>
        <v>na</v>
      </c>
      <c r="E19" s="217" t="str">
        <f>IFERROR('6a'!E19/'5k'!$B19*1000, "na")</f>
        <v>na</v>
      </c>
      <c r="F19" s="216" t="str">
        <f>IFERROR('6a'!F19/'5k'!$C19*1000, "na")</f>
        <v>na</v>
      </c>
      <c r="G19" s="143" t="str">
        <f>IFERROR('6a'!G19/'5k'!$C19*1000, "na")</f>
        <v>na</v>
      </c>
      <c r="H19" s="143" t="str">
        <f>IFERROR('6a'!H19/'5k'!$C19*1000, "na")</f>
        <v>na</v>
      </c>
      <c r="I19" s="217" t="str">
        <f>IFERROR('6a'!I19/'5k'!$C19*1000, "na")</f>
        <v>na</v>
      </c>
      <c r="J19" s="216" t="str">
        <f>IFERROR('6a'!J19/'5k'!$D19*1000, "na")</f>
        <v>na</v>
      </c>
      <c r="K19" s="143" t="str">
        <f>IFERROR('6a'!K19/'5k'!$D19*1000, "na")</f>
        <v>na</v>
      </c>
      <c r="L19" s="143" t="str">
        <f>IFERROR('6a'!L19/'5k'!$D19*1000, "na")</f>
        <v>na</v>
      </c>
      <c r="M19" s="217" t="str">
        <f>IFERROR('6a'!M19/'5k'!$D19*1000, "na")</f>
        <v>na</v>
      </c>
    </row>
    <row r="20" spans="1:13">
      <c r="A20" s="185">
        <v>1995</v>
      </c>
      <c r="B20" s="216" t="str">
        <f>IFERROR('6a'!B20/'5k'!$B20*1000, "na")</f>
        <v>na</v>
      </c>
      <c r="C20" s="143" t="str">
        <f>IFERROR('6a'!C20/'5k'!$B20*1000, "na")</f>
        <v>na</v>
      </c>
      <c r="D20" s="143" t="str">
        <f>IFERROR('6a'!D20/'5k'!$B20*1000, "na")</f>
        <v>na</v>
      </c>
      <c r="E20" s="217" t="str">
        <f>IFERROR('6a'!E20/'5k'!$B20*1000, "na")</f>
        <v>na</v>
      </c>
      <c r="F20" s="216" t="str">
        <f>IFERROR('6a'!F20/'5k'!$C20*1000, "na")</f>
        <v>na</v>
      </c>
      <c r="G20" s="143" t="str">
        <f>IFERROR('6a'!G20/'5k'!$C20*1000, "na")</f>
        <v>na</v>
      </c>
      <c r="H20" s="143" t="str">
        <f>IFERROR('6a'!H20/'5k'!$C20*1000, "na")</f>
        <v>na</v>
      </c>
      <c r="I20" s="217" t="str">
        <f>IFERROR('6a'!I20/'5k'!$C20*1000, "na")</f>
        <v>na</v>
      </c>
      <c r="J20" s="216" t="str">
        <f>IFERROR('6a'!J20/'5k'!$D20*1000, "na")</f>
        <v>na</v>
      </c>
      <c r="K20" s="143" t="str">
        <f>IFERROR('6a'!K20/'5k'!$D20*1000, "na")</f>
        <v>na</v>
      </c>
      <c r="L20" s="143" t="str">
        <f>IFERROR('6a'!L20/'5k'!$D20*1000, "na")</f>
        <v>na</v>
      </c>
      <c r="M20" s="217" t="str">
        <f>IFERROR('6a'!M20/'5k'!$D20*1000, "na")</f>
        <v>na</v>
      </c>
    </row>
    <row r="21" spans="1:13">
      <c r="A21" s="185">
        <v>1996</v>
      </c>
      <c r="B21" s="216" t="str">
        <f>IFERROR('6a'!B21/'5k'!$B21*1000, "na")</f>
        <v>na</v>
      </c>
      <c r="C21" s="143" t="str">
        <f>IFERROR('6a'!C21/'5k'!$B21*1000, "na")</f>
        <v>na</v>
      </c>
      <c r="D21" s="143" t="str">
        <f>IFERROR('6a'!D21/'5k'!$B21*1000, "na")</f>
        <v>na</v>
      </c>
      <c r="E21" s="217" t="str">
        <f>IFERROR('6a'!E21/'5k'!$B21*1000, "na")</f>
        <v>na</v>
      </c>
      <c r="F21" s="216" t="str">
        <f>IFERROR('6a'!F21/'5k'!$C21*1000, "na")</f>
        <v>na</v>
      </c>
      <c r="G21" s="143" t="str">
        <f>IFERROR('6a'!G21/'5k'!$C21*1000, "na")</f>
        <v>na</v>
      </c>
      <c r="H21" s="143" t="str">
        <f>IFERROR('6a'!H21/'5k'!$C21*1000, "na")</f>
        <v>na</v>
      </c>
      <c r="I21" s="217" t="str">
        <f>IFERROR('6a'!I21/'5k'!$C21*1000, "na")</f>
        <v>na</v>
      </c>
      <c r="J21" s="216" t="str">
        <f>IFERROR('6a'!J21/'5k'!$D21*1000, "na")</f>
        <v>na</v>
      </c>
      <c r="K21" s="143" t="str">
        <f>IFERROR('6a'!K21/'5k'!$D21*1000, "na")</f>
        <v>na</v>
      </c>
      <c r="L21" s="143" t="str">
        <f>IFERROR('6a'!L21/'5k'!$D21*1000, "na")</f>
        <v>na</v>
      </c>
      <c r="M21" s="217" t="str">
        <f>IFERROR('6a'!M21/'5k'!$D21*1000, "na")</f>
        <v>na</v>
      </c>
    </row>
    <row r="22" spans="1:13">
      <c r="A22" s="185">
        <v>1997</v>
      </c>
      <c r="B22" s="216" t="str">
        <f>IFERROR('6a'!B22/'5k'!$B22*1000, "na")</f>
        <v>na</v>
      </c>
      <c r="C22" s="143" t="str">
        <f>IFERROR('6a'!C22/'5k'!$B22*1000, "na")</f>
        <v>na</v>
      </c>
      <c r="D22" s="143" t="str">
        <f>IFERROR('6a'!D22/'5k'!$B22*1000, "na")</f>
        <v>na</v>
      </c>
      <c r="E22" s="217" t="str">
        <f>IFERROR('6a'!E22/'5k'!$B22*1000, "na")</f>
        <v>na</v>
      </c>
      <c r="F22" s="216" t="str">
        <f>IFERROR('6a'!F22/'5k'!$C22*1000, "na")</f>
        <v>na</v>
      </c>
      <c r="G22" s="143" t="str">
        <f>IFERROR('6a'!G22/'5k'!$C22*1000, "na")</f>
        <v>na</v>
      </c>
      <c r="H22" s="143" t="str">
        <f>IFERROR('6a'!H22/'5k'!$C22*1000, "na")</f>
        <v>na</v>
      </c>
      <c r="I22" s="217" t="str">
        <f>IFERROR('6a'!I22/'5k'!$C22*1000, "na")</f>
        <v>na</v>
      </c>
      <c r="J22" s="216" t="str">
        <f>IFERROR('6a'!J22/'5k'!$D22*1000, "na")</f>
        <v>na</v>
      </c>
      <c r="K22" s="143" t="str">
        <f>IFERROR('6a'!K22/'5k'!$D22*1000, "na")</f>
        <v>na</v>
      </c>
      <c r="L22" s="143" t="str">
        <f>IFERROR('6a'!L22/'5k'!$D22*1000, "na")</f>
        <v>na</v>
      </c>
      <c r="M22" s="217" t="str">
        <f>IFERROR('6a'!M22/'5k'!$D22*1000, "na")</f>
        <v>na</v>
      </c>
    </row>
    <row r="23" spans="1:13">
      <c r="A23" s="185">
        <v>1998</v>
      </c>
      <c r="B23" s="216" t="str">
        <f>IFERROR('6a'!B23/'5k'!$B23*1000, "na")</f>
        <v>na</v>
      </c>
      <c r="C23" s="143" t="str">
        <f>IFERROR('6a'!C23/'5k'!$B23*1000, "na")</f>
        <v>na</v>
      </c>
      <c r="D23" s="143" t="str">
        <f>IFERROR('6a'!D23/'5k'!$B23*1000, "na")</f>
        <v>na</v>
      </c>
      <c r="E23" s="217" t="str">
        <f>IFERROR('6a'!E23/'5k'!$B23*1000, "na")</f>
        <v>na</v>
      </c>
      <c r="F23" s="216" t="str">
        <f>IFERROR('6a'!F23/'5k'!$C23*1000, "na")</f>
        <v>na</v>
      </c>
      <c r="G23" s="143" t="str">
        <f>IFERROR('6a'!G23/'5k'!$C23*1000, "na")</f>
        <v>na</v>
      </c>
      <c r="H23" s="143" t="str">
        <f>IFERROR('6a'!H23/'5k'!$C23*1000, "na")</f>
        <v>na</v>
      </c>
      <c r="I23" s="217" t="str">
        <f>IFERROR('6a'!I23/'5k'!$C23*1000, "na")</f>
        <v>na</v>
      </c>
      <c r="J23" s="216" t="str">
        <f>IFERROR('6a'!J23/'5k'!$D23*1000, "na")</f>
        <v>na</v>
      </c>
      <c r="K23" s="143" t="str">
        <f>IFERROR('6a'!K23/'5k'!$D23*1000, "na")</f>
        <v>na</v>
      </c>
      <c r="L23" s="143" t="str">
        <f>IFERROR('6a'!L23/'5k'!$D23*1000, "na")</f>
        <v>na</v>
      </c>
      <c r="M23" s="217" t="str">
        <f>IFERROR('6a'!M23/'5k'!$D23*1000, "na")</f>
        <v>na</v>
      </c>
    </row>
    <row r="24" spans="1:13">
      <c r="A24" s="185">
        <v>1999</v>
      </c>
      <c r="B24" s="216" t="str">
        <f>IFERROR('6a'!B24/'5k'!$B24*1000, "na")</f>
        <v>na</v>
      </c>
      <c r="C24" s="143" t="str">
        <f>IFERROR('6a'!C24/'5k'!$B24*1000, "na")</f>
        <v>na</v>
      </c>
      <c r="D24" s="143" t="str">
        <f>IFERROR('6a'!D24/'5k'!$B24*1000, "na")</f>
        <v>na</v>
      </c>
      <c r="E24" s="217" t="str">
        <f>IFERROR('6a'!E24/'5k'!$B24*1000, "na")</f>
        <v>na</v>
      </c>
      <c r="F24" s="216" t="str">
        <f>IFERROR('6a'!F24/'5k'!$C24*1000, "na")</f>
        <v>na</v>
      </c>
      <c r="G24" s="143" t="str">
        <f>IFERROR('6a'!G24/'5k'!$C24*1000, "na")</f>
        <v>na</v>
      </c>
      <c r="H24" s="143" t="str">
        <f>IFERROR('6a'!H24/'5k'!$C24*1000, "na")</f>
        <v>na</v>
      </c>
      <c r="I24" s="217" t="str">
        <f>IFERROR('6a'!I24/'5k'!$C24*1000, "na")</f>
        <v>na</v>
      </c>
      <c r="J24" s="216" t="str">
        <f>IFERROR('6a'!J24/'5k'!$D24*1000, "na")</f>
        <v>na</v>
      </c>
      <c r="K24" s="143" t="str">
        <f>IFERROR('6a'!K24/'5k'!$D24*1000, "na")</f>
        <v>na</v>
      </c>
      <c r="L24" s="143" t="str">
        <f>IFERROR('6a'!L24/'5k'!$D24*1000, "na")</f>
        <v>na</v>
      </c>
      <c r="M24" s="217" t="str">
        <f>IFERROR('6a'!M24/'5k'!$D24*1000, "na")</f>
        <v>na</v>
      </c>
    </row>
    <row r="25" spans="1:13">
      <c r="A25" s="185">
        <v>2000</v>
      </c>
      <c r="B25" s="216" t="str">
        <f>IFERROR('6a'!B25/'5k'!$B25*1000, "na")</f>
        <v>na</v>
      </c>
      <c r="C25" s="143" t="str">
        <f>IFERROR('6a'!C25/'5k'!$B25*1000, "na")</f>
        <v>na</v>
      </c>
      <c r="D25" s="143" t="str">
        <f>IFERROR('6a'!D25/'5k'!$B25*1000, "na")</f>
        <v>na</v>
      </c>
      <c r="E25" s="217" t="str">
        <f>IFERROR('6a'!E25/'5k'!$B25*1000, "na")</f>
        <v>na</v>
      </c>
      <c r="F25" s="216" t="str">
        <f>IFERROR('6a'!F25/'5k'!$C25*1000, "na")</f>
        <v>na</v>
      </c>
      <c r="G25" s="143" t="str">
        <f>IFERROR('6a'!G25/'5k'!$C25*1000, "na")</f>
        <v>na</v>
      </c>
      <c r="H25" s="143" t="str">
        <f>IFERROR('6a'!H25/'5k'!$C25*1000, "na")</f>
        <v>na</v>
      </c>
      <c r="I25" s="217" t="str">
        <f>IFERROR('6a'!I25/'5k'!$C25*1000, "na")</f>
        <v>na</v>
      </c>
      <c r="J25" s="216" t="str">
        <f>IFERROR('6a'!J25/'5k'!$D25*1000, "na")</f>
        <v>na</v>
      </c>
      <c r="K25" s="143" t="str">
        <f>IFERROR('6a'!K25/'5k'!$D25*1000, "na")</f>
        <v>na</v>
      </c>
      <c r="L25" s="143" t="str">
        <f>IFERROR('6a'!L25/'5k'!$D25*1000, "na")</f>
        <v>na</v>
      </c>
      <c r="M25" s="217" t="str">
        <f>IFERROR('6a'!M25/'5k'!$D25*1000, "na")</f>
        <v>na</v>
      </c>
    </row>
    <row r="26" spans="1:13">
      <c r="A26" s="185">
        <v>2001</v>
      </c>
      <c r="B26" s="216" t="str">
        <f>IFERROR('6a'!B26/'5k'!$B26*1000, "na")</f>
        <v>na</v>
      </c>
      <c r="C26" s="143" t="str">
        <f>IFERROR('6a'!C26/'5k'!$B26*1000, "na")</f>
        <v>na</v>
      </c>
      <c r="D26" s="143" t="str">
        <f>IFERROR('6a'!D26/'5k'!$B26*1000, "na")</f>
        <v>na</v>
      </c>
      <c r="E26" s="217" t="str">
        <f>IFERROR('6a'!E26/'5k'!$B26*1000, "na")</f>
        <v>na</v>
      </c>
      <c r="F26" s="216" t="str">
        <f>IFERROR('6a'!F26/'5k'!$C26*1000, "na")</f>
        <v>na</v>
      </c>
      <c r="G26" s="143" t="str">
        <f>IFERROR('6a'!G26/'5k'!$C26*1000, "na")</f>
        <v>na</v>
      </c>
      <c r="H26" s="143" t="str">
        <f>IFERROR('6a'!H26/'5k'!$C26*1000, "na")</f>
        <v>na</v>
      </c>
      <c r="I26" s="217" t="str">
        <f>IFERROR('6a'!I26/'5k'!$C26*1000, "na")</f>
        <v>na</v>
      </c>
      <c r="J26" s="216" t="str">
        <f>IFERROR('6a'!J26/'5k'!$D26*1000, "na")</f>
        <v>na</v>
      </c>
      <c r="K26" s="143" t="str">
        <f>IFERROR('6a'!K26/'5k'!$D26*1000, "na")</f>
        <v>na</v>
      </c>
      <c r="L26" s="143" t="str">
        <f>IFERROR('6a'!L26/'5k'!$D26*1000, "na")</f>
        <v>na</v>
      </c>
      <c r="M26" s="217" t="str">
        <f>IFERROR('6a'!M26/'5k'!$D26*1000, "na")</f>
        <v>na</v>
      </c>
    </row>
    <row r="27" spans="1:13">
      <c r="A27" s="185">
        <v>2002</v>
      </c>
      <c r="B27" s="216" t="str">
        <f>IFERROR('6a'!B27/'5k'!$B27*1000, "na")</f>
        <v>na</v>
      </c>
      <c r="C27" s="143" t="str">
        <f>IFERROR('6a'!C27/'5k'!$B27*1000, "na")</f>
        <v>na</v>
      </c>
      <c r="D27" s="143" t="str">
        <f>IFERROR('6a'!D27/'5k'!$B27*1000, "na")</f>
        <v>na</v>
      </c>
      <c r="E27" s="217" t="str">
        <f>IFERROR('6a'!E27/'5k'!$B27*1000, "na")</f>
        <v>na</v>
      </c>
      <c r="F27" s="216" t="str">
        <f>IFERROR('6a'!F27/'5k'!$C27*1000, "na")</f>
        <v>na</v>
      </c>
      <c r="G27" s="143" t="str">
        <f>IFERROR('6a'!G27/'5k'!$C27*1000, "na")</f>
        <v>na</v>
      </c>
      <c r="H27" s="143" t="str">
        <f>IFERROR('6a'!H27/'5k'!$C27*1000, "na")</f>
        <v>na</v>
      </c>
      <c r="I27" s="217" t="str">
        <f>IFERROR('6a'!I27/'5k'!$C27*1000, "na")</f>
        <v>na</v>
      </c>
      <c r="J27" s="216" t="str">
        <f>IFERROR('6a'!J27/'5k'!$D27*1000, "na")</f>
        <v>na</v>
      </c>
      <c r="K27" s="143" t="str">
        <f>IFERROR('6a'!K27/'5k'!$D27*1000, "na")</f>
        <v>na</v>
      </c>
      <c r="L27" s="143" t="str">
        <f>IFERROR('6a'!L27/'5k'!$D27*1000, "na")</f>
        <v>na</v>
      </c>
      <c r="M27" s="217" t="str">
        <f>IFERROR('6a'!M27/'5k'!$D27*1000, "na")</f>
        <v>na</v>
      </c>
    </row>
    <row r="28" spans="1:13">
      <c r="A28" s="185">
        <v>2003</v>
      </c>
      <c r="B28" s="216" t="str">
        <f>IFERROR('6a'!B28/'5k'!$B28*1000, "na")</f>
        <v>na</v>
      </c>
      <c r="C28" s="143" t="str">
        <f>IFERROR('6a'!C28/'5k'!$B28*1000, "na")</f>
        <v>na</v>
      </c>
      <c r="D28" s="143" t="str">
        <f>IFERROR('6a'!D28/'5k'!$B28*1000, "na")</f>
        <v>na</v>
      </c>
      <c r="E28" s="217" t="str">
        <f>IFERROR('6a'!E28/'5k'!$B28*1000, "na")</f>
        <v>na</v>
      </c>
      <c r="F28" s="216" t="str">
        <f>IFERROR('6a'!F28/'5k'!$C28*1000, "na")</f>
        <v>na</v>
      </c>
      <c r="G28" s="143" t="str">
        <f>IFERROR('6a'!G28/'5k'!$C28*1000, "na")</f>
        <v>na</v>
      </c>
      <c r="H28" s="143" t="str">
        <f>IFERROR('6a'!H28/'5k'!$C28*1000, "na")</f>
        <v>na</v>
      </c>
      <c r="I28" s="217" t="str">
        <f>IFERROR('6a'!I28/'5k'!$C28*1000, "na")</f>
        <v>na</v>
      </c>
      <c r="J28" s="216" t="str">
        <f>IFERROR('6a'!J28/'5k'!$D28*1000, "na")</f>
        <v>na</v>
      </c>
      <c r="K28" s="143" t="str">
        <f>IFERROR('6a'!K28/'5k'!$D28*1000, "na")</f>
        <v>na</v>
      </c>
      <c r="L28" s="143" t="str">
        <f>IFERROR('6a'!L28/'5k'!$D28*1000, "na")</f>
        <v>na</v>
      </c>
      <c r="M28" s="217" t="str">
        <f>IFERROR('6a'!M28/'5k'!$D28*1000, "na")</f>
        <v>na</v>
      </c>
    </row>
    <row r="29" spans="1:13">
      <c r="A29" s="185">
        <v>2004</v>
      </c>
      <c r="B29" s="216" t="str">
        <f>IFERROR('6a'!B29/'5k'!$B29*1000, "na")</f>
        <v>na</v>
      </c>
      <c r="C29" s="143" t="str">
        <f>IFERROR('6a'!C29/'5k'!$B29*1000, "na")</f>
        <v>na</v>
      </c>
      <c r="D29" s="143" t="str">
        <f>IFERROR('6a'!D29/'5k'!$B29*1000, "na")</f>
        <v>na</v>
      </c>
      <c r="E29" s="217" t="str">
        <f>IFERROR('6a'!E29/'5k'!$B29*1000, "na")</f>
        <v>na</v>
      </c>
      <c r="F29" s="216" t="str">
        <f>IFERROR('6a'!F29/'5k'!$C29*1000, "na")</f>
        <v>na</v>
      </c>
      <c r="G29" s="143" t="str">
        <f>IFERROR('6a'!G29/'5k'!$C29*1000, "na")</f>
        <v>na</v>
      </c>
      <c r="H29" s="143" t="str">
        <f>IFERROR('6a'!H29/'5k'!$C29*1000, "na")</f>
        <v>na</v>
      </c>
      <c r="I29" s="217" t="str">
        <f>IFERROR('6a'!I29/'5k'!$C29*1000, "na")</f>
        <v>na</v>
      </c>
      <c r="J29" s="216" t="str">
        <f>IFERROR('6a'!J29/'5k'!$D29*1000, "na")</f>
        <v>na</v>
      </c>
      <c r="K29" s="143" t="str">
        <f>IFERROR('6a'!K29/'5k'!$D29*1000, "na")</f>
        <v>na</v>
      </c>
      <c r="L29" s="143" t="str">
        <f>IFERROR('6a'!L29/'5k'!$D29*1000, "na")</f>
        <v>na</v>
      </c>
      <c r="M29" s="217" t="str">
        <f>IFERROR('6a'!M29/'5k'!$D29*1000, "na")</f>
        <v>na</v>
      </c>
    </row>
    <row r="30" spans="1:13">
      <c r="A30" s="185">
        <v>2005</v>
      </c>
      <c r="B30" s="216" t="str">
        <f>IFERROR('6a'!B30/'5k'!$B30*1000, "na")</f>
        <v>na</v>
      </c>
      <c r="C30" s="143" t="str">
        <f>IFERROR('6a'!C30/'5k'!$B30*1000, "na")</f>
        <v>na</v>
      </c>
      <c r="D30" s="143" t="str">
        <f>IFERROR('6a'!D30/'5k'!$B30*1000, "na")</f>
        <v>na</v>
      </c>
      <c r="E30" s="217" t="str">
        <f>IFERROR('6a'!E30/'5k'!$B30*1000, "na")</f>
        <v>na</v>
      </c>
      <c r="F30" s="216" t="str">
        <f>IFERROR('6a'!F30/'5k'!$C30*1000, "na")</f>
        <v>na</v>
      </c>
      <c r="G30" s="143" t="str">
        <f>IFERROR('6a'!G30/'5k'!$C30*1000, "na")</f>
        <v>na</v>
      </c>
      <c r="H30" s="143" t="str">
        <f>IFERROR('6a'!H30/'5k'!$C30*1000, "na")</f>
        <v>na</v>
      </c>
      <c r="I30" s="217" t="str">
        <f>IFERROR('6a'!I30/'5k'!$C30*1000, "na")</f>
        <v>na</v>
      </c>
      <c r="J30" s="216" t="str">
        <f>IFERROR('6a'!J30/'5k'!$D30*1000, "na")</f>
        <v>na</v>
      </c>
      <c r="K30" s="143" t="str">
        <f>IFERROR('6a'!K30/'5k'!$D30*1000, "na")</f>
        <v>na</v>
      </c>
      <c r="L30" s="143" t="str">
        <f>IFERROR('6a'!L30/'5k'!$D30*1000, "na")</f>
        <v>na</v>
      </c>
      <c r="M30" s="217" t="str">
        <f>IFERROR('6a'!M30/'5k'!$D30*1000, "na")</f>
        <v>na</v>
      </c>
    </row>
    <row r="31" spans="1:13">
      <c r="A31" s="185">
        <v>2006</v>
      </c>
      <c r="B31" s="216" t="str">
        <f>IFERROR('6a'!B31/'5k'!$B31*1000, "na")</f>
        <v>na</v>
      </c>
      <c r="C31" s="143" t="str">
        <f>IFERROR('6a'!C31/'5k'!$B31*1000, "na")</f>
        <v>na</v>
      </c>
      <c r="D31" s="143" t="str">
        <f>IFERROR('6a'!D31/'5k'!$B31*1000, "na")</f>
        <v>na</v>
      </c>
      <c r="E31" s="217" t="str">
        <f>IFERROR('6a'!E31/'5k'!$B31*1000, "na")</f>
        <v>na</v>
      </c>
      <c r="F31" s="216" t="str">
        <f>IFERROR('6a'!F31/'5k'!$C31*1000, "na")</f>
        <v>na</v>
      </c>
      <c r="G31" s="143" t="str">
        <f>IFERROR('6a'!G31/'5k'!$C31*1000, "na")</f>
        <v>na</v>
      </c>
      <c r="H31" s="143" t="str">
        <f>IFERROR('6a'!H31/'5k'!$C31*1000, "na")</f>
        <v>na</v>
      </c>
      <c r="I31" s="217" t="str">
        <f>IFERROR('6a'!I31/'5k'!$C31*1000, "na")</f>
        <v>na</v>
      </c>
      <c r="J31" s="216" t="str">
        <f>IFERROR('6a'!J31/'5k'!$D31*1000, "na")</f>
        <v>na</v>
      </c>
      <c r="K31" s="143" t="str">
        <f>IFERROR('6a'!K31/'5k'!$D31*1000, "na")</f>
        <v>na</v>
      </c>
      <c r="L31" s="143" t="str">
        <f>IFERROR('6a'!L31/'5k'!$D31*1000, "na")</f>
        <v>na</v>
      </c>
      <c r="M31" s="217" t="str">
        <f>IFERROR('6a'!M31/'5k'!$D31*1000, "na")</f>
        <v>na</v>
      </c>
    </row>
    <row r="32" spans="1:13">
      <c r="A32" s="185">
        <v>2007</v>
      </c>
      <c r="B32" s="216">
        <f>IFERROR('6a'!B32/'5k'!$B32*1000, "na")</f>
        <v>0.33806420006650989</v>
      </c>
      <c r="C32" s="143">
        <f>IFERROR('6a'!C32/'5k'!$B32*1000, "na")</f>
        <v>0.5077447484109302</v>
      </c>
      <c r="D32" s="143">
        <f>IFERROR('6a'!D32/'5k'!$B32*1000, "na")</f>
        <v>1.7117854482159474</v>
      </c>
      <c r="E32" s="217">
        <f>IFERROR('6a'!E32/'5k'!$B32*1000, "na")</f>
        <v>2.5575943966933874</v>
      </c>
      <c r="F32" s="216" t="str">
        <f>IFERROR('6a'!F32/'5k'!$C32*1000, "na")</f>
        <v>na</v>
      </c>
      <c r="G32" s="143" t="str">
        <f>IFERROR('6a'!G32/'5k'!$C32*1000, "na")</f>
        <v>na</v>
      </c>
      <c r="H32" s="143" t="str">
        <f>IFERROR('6a'!H32/'5k'!$C32*1000, "na")</f>
        <v>na</v>
      </c>
      <c r="I32" s="217" t="str">
        <f>IFERROR('6a'!I32/'5k'!$C32*1000, "na")</f>
        <v>na</v>
      </c>
      <c r="J32" s="216">
        <f>IFERROR('6a'!J32/'5k'!$D32*1000, "na")</f>
        <v>0.71010784949241967</v>
      </c>
      <c r="K32" s="143">
        <f>IFERROR('6a'!K32/'5k'!$D32*1000, "na")</f>
        <v>1.2242433915179669</v>
      </c>
      <c r="L32" s="143">
        <f>IFERROR('6a'!L32/'5k'!$D32*1000, "na")</f>
        <v>0.56259976632101227</v>
      </c>
      <c r="M32" s="217">
        <f>IFERROR('6a'!M32/'5k'!$D32*1000, "na")</f>
        <v>2.4969510073313987</v>
      </c>
    </row>
    <row r="33" spans="1:13">
      <c r="A33" s="185">
        <v>2008</v>
      </c>
      <c r="B33" s="216">
        <f>IFERROR('6a'!B33/'5k'!$B33*1000, "na")</f>
        <v>0.41632559471730463</v>
      </c>
      <c r="C33" s="143">
        <f>IFERROR('6a'!C33/'5k'!$B33*1000, "na")</f>
        <v>0.5630593499221066</v>
      </c>
      <c r="D33" s="143">
        <f>IFERROR('6a'!D33/'5k'!$B33*1000, "na")</f>
        <v>1.7584176631257764</v>
      </c>
      <c r="E33" s="217">
        <f>IFERROR('6a'!E33/'5k'!$B33*1000, "na")</f>
        <v>2.7378026077651878</v>
      </c>
      <c r="F33" s="216" t="str">
        <f>IFERROR('6a'!F33/'5k'!$C33*1000, "na")</f>
        <v>na</v>
      </c>
      <c r="G33" s="143" t="str">
        <f>IFERROR('6a'!G33/'5k'!$C33*1000, "na")</f>
        <v>na</v>
      </c>
      <c r="H33" s="143" t="str">
        <f>IFERROR('6a'!H33/'5k'!$C33*1000, "na")</f>
        <v>na</v>
      </c>
      <c r="I33" s="217" t="str">
        <f>IFERROR('6a'!I33/'5k'!$C33*1000, "na")</f>
        <v>na</v>
      </c>
      <c r="J33" s="216">
        <f>IFERROR('6a'!J33/'5k'!$D33*1000, "na")</f>
        <v>0.77996488485883797</v>
      </c>
      <c r="K33" s="143">
        <f>IFERROR('6a'!K33/'5k'!$D33*1000, "na")</f>
        <v>1.291830906280752</v>
      </c>
      <c r="L33" s="143">
        <f>IFERROR('6a'!L33/'5k'!$D33*1000, "na")</f>
        <v>0.54181639219679301</v>
      </c>
      <c r="M33" s="217">
        <f>IFERROR('6a'!M33/'5k'!$D33*1000, "na")</f>
        <v>2.6136121833363828</v>
      </c>
    </row>
    <row r="34" spans="1:13">
      <c r="A34" s="57">
        <f>A33+1</f>
        <v>2009</v>
      </c>
      <c r="B34" s="216">
        <f>IFERROR('6a'!B34/'5k'!$B34*1000, "na")</f>
        <v>0.38160503602748264</v>
      </c>
      <c r="C34" s="143">
        <f>IFERROR('6a'!C34/'5k'!$B34*1000, "na")</f>
        <v>0.49791211435781324</v>
      </c>
      <c r="D34" s="143">
        <f>IFERROR('6a'!D34/'5k'!$B34*1000, "na")</f>
        <v>1.4764554388138549</v>
      </c>
      <c r="E34" s="217">
        <f>IFERROR('6a'!E34/'5k'!$B34*1000, "na")</f>
        <v>2.3559725891991508</v>
      </c>
      <c r="F34" s="216" t="str">
        <f>IFERROR('6a'!F34/'5k'!$C34*1000, "na")</f>
        <v>na</v>
      </c>
      <c r="G34" s="143" t="str">
        <f>IFERROR('6a'!G34/'5k'!$C34*1000, "na")</f>
        <v>na</v>
      </c>
      <c r="H34" s="143" t="str">
        <f>IFERROR('6a'!H34/'5k'!$C34*1000, "na")</f>
        <v>na</v>
      </c>
      <c r="I34" s="217" t="str">
        <f>IFERROR('6a'!I34/'5k'!$C34*1000, "na")</f>
        <v>na</v>
      </c>
      <c r="J34" s="216">
        <f>IFERROR('6a'!J34/'5k'!$D34*1000, "na")</f>
        <v>0.81139081175692329</v>
      </c>
      <c r="K34" s="143">
        <f>IFERROR('6a'!K34/'5k'!$D34*1000, "na")</f>
        <v>1.3761150078457165</v>
      </c>
      <c r="L34" s="143">
        <f>IFERROR('6a'!L34/'5k'!$D34*1000, "na")</f>
        <v>0.53737921516154474</v>
      </c>
      <c r="M34" s="217">
        <f>IFERROR('6a'!M34/'5k'!$D34*1000, "na")</f>
        <v>2.7248850347641849</v>
      </c>
    </row>
    <row r="35" spans="1:13">
      <c r="A35" s="58">
        <f t="shared" ref="A35" si="0">A34+1</f>
        <v>2010</v>
      </c>
      <c r="B35" s="234">
        <f>IFERROR('6a'!B35/'5k'!$B35*1000, "na")</f>
        <v>0.47558649955528798</v>
      </c>
      <c r="C35" s="215">
        <f>IFERROR('6a'!C35/'5k'!$B35*1000, "na")</f>
        <v>0.49419416077208073</v>
      </c>
      <c r="D35" s="215">
        <f>IFERROR('6a'!D35/'5k'!$B35*1000, "na")</f>
        <v>1.587261510891441</v>
      </c>
      <c r="E35" s="235">
        <f>IFERROR('6a'!E35/'5k'!$B35*1000, "na")</f>
        <v>2.5570421712188098</v>
      </c>
      <c r="F35" s="234" t="str">
        <f>IFERROR('6a'!F35/'5k'!$C35*1000, "na")</f>
        <v>na</v>
      </c>
      <c r="G35" s="215" t="str">
        <f>IFERROR('6a'!G35/'5k'!$C35*1000, "na")</f>
        <v>na</v>
      </c>
      <c r="H35" s="215" t="str">
        <f>IFERROR('6a'!H35/'5k'!$C35*1000, "na")</f>
        <v>na</v>
      </c>
      <c r="I35" s="235" t="str">
        <f>IFERROR('6a'!I35/'5k'!$C35*1000, "na")</f>
        <v>na</v>
      </c>
      <c r="J35" s="234">
        <f>IFERROR('6a'!J35/'5k'!$D35*1000, "na")</f>
        <v>1.0594259346895087</v>
      </c>
      <c r="K35" s="215">
        <f>IFERROR('6a'!K35/'5k'!$D35*1000, "na")</f>
        <v>1.4186813780367467</v>
      </c>
      <c r="L35" s="215">
        <f>IFERROR('6a'!L35/'5k'!$D35*1000, "na")</f>
        <v>0.60740321398454744</v>
      </c>
      <c r="M35" s="235">
        <f>IFERROR('6a'!M35/'5k'!$D35*1000, "na")</f>
        <v>3.0855105267108032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IFERROR((POWER(B$24/B14,1/($A$24-$A$14))-1)*100,"na")</f>
        <v>na</v>
      </c>
      <c r="C39" s="86" t="str">
        <f t="shared" ref="C39:M39" si="2">IFERROR((POWER(C$24/C14,1/($A$24-$A$14))-1)*100,"na")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 t="str">
        <f t="shared" si="3"/>
        <v>na</v>
      </c>
      <c r="K40" s="86" t="str">
        <f t="shared" si="3"/>
        <v>na</v>
      </c>
      <c r="L40" s="86" t="str">
        <f t="shared" si="3"/>
        <v>na</v>
      </c>
      <c r="M40" s="87" t="str">
        <f t="shared" si="3"/>
        <v>na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227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4" orientation="landscape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70"/>
  <dimension ref="A1:M37"/>
  <sheetViews>
    <sheetView zoomScaleNormal="100" workbookViewId="0">
      <selection activeCell="B15" sqref="B15"/>
    </sheetView>
  </sheetViews>
  <sheetFormatPr defaultRowHeight="15"/>
  <cols>
    <col min="2" max="2" width="12.7109375" customWidth="1"/>
    <col min="4" max="4" width="17.42578125" customWidth="1"/>
    <col min="6" max="6" width="11" customWidth="1"/>
    <col min="8" max="8" width="18.7109375" customWidth="1"/>
    <col min="10" max="10" width="11" customWidth="1"/>
    <col min="12" max="12" width="17.7109375" customWidth="1"/>
  </cols>
  <sheetData>
    <row r="1" spans="1:13">
      <c r="A1" s="387" t="s">
        <v>248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IFERROR('6f'!B6/'6f'!J6*100, "na")</f>
        <v>na</v>
      </c>
      <c r="C6" s="214" t="str">
        <f>IFERROR('6f'!C6/'6f'!K6*100, "na")</f>
        <v>na</v>
      </c>
      <c r="D6" s="214" t="str">
        <f>IFERROR('6f'!D6/'6f'!L6*100, "na")</f>
        <v>na</v>
      </c>
      <c r="E6" s="237" t="str">
        <f>IFERROR('6f'!E6/'6f'!M6*100, "na")</f>
        <v>na</v>
      </c>
      <c r="F6" s="236" t="str">
        <f>IFERROR('6f'!F6/'6f'!N6*100, "na")</f>
        <v>na</v>
      </c>
      <c r="G6" s="214" t="str">
        <f>IFERROR('6f'!G6/'6f'!O6*100, "na")</f>
        <v>na</v>
      </c>
      <c r="H6" s="214" t="str">
        <f>IFERROR('6f'!H6/'6f'!P6*100, "na")</f>
        <v>na</v>
      </c>
      <c r="I6" s="237" t="str">
        <f>IFERROR('6f'!I6/'6f'!Q6*100, "na")</f>
        <v>na</v>
      </c>
      <c r="J6" s="347" t="str">
        <f>IFERROR('6f'!J6/'6f'!J6*100, "na")</f>
        <v>na</v>
      </c>
      <c r="K6" s="348" t="str">
        <f>IFERROR('6f'!K6/'6f'!K6*100, "na")</f>
        <v>na</v>
      </c>
      <c r="L6" s="348" t="str">
        <f>IFERROR('6f'!L6/'6f'!L6*100, "na")</f>
        <v>na</v>
      </c>
      <c r="M6" s="349" t="str">
        <f>IFERROR('6f'!M6/'6f'!M6*100, "na")</f>
        <v>na</v>
      </c>
    </row>
    <row r="7" spans="1:13">
      <c r="A7" s="185">
        <v>1982</v>
      </c>
      <c r="B7" s="216" t="str">
        <f>IFERROR('6f'!B7/'6f'!J7*100, "na")</f>
        <v>na</v>
      </c>
      <c r="C7" s="143" t="str">
        <f>IFERROR('6f'!C7/'6f'!K7*100, "na")</f>
        <v>na</v>
      </c>
      <c r="D7" s="143" t="str">
        <f>IFERROR('6f'!D7/'6f'!L7*100, "na")</f>
        <v>na</v>
      </c>
      <c r="E7" s="217" t="str">
        <f>IFERROR('6f'!E7/'6f'!M7*100, "na")</f>
        <v>na</v>
      </c>
      <c r="F7" s="216" t="str">
        <f>IFERROR('6f'!F7/'6f'!N7*100, "na")</f>
        <v>na</v>
      </c>
      <c r="G7" s="143" t="str">
        <f>IFERROR('6f'!G7/'6f'!O7*100, "na")</f>
        <v>na</v>
      </c>
      <c r="H7" s="143" t="str">
        <f>IFERROR('6f'!H7/'6f'!P7*100, "na")</f>
        <v>na</v>
      </c>
      <c r="I7" s="217" t="str">
        <f>IFERROR('6f'!I7/'6f'!Q7*100, "na")</f>
        <v>na</v>
      </c>
      <c r="J7" s="350" t="str">
        <f>IFERROR('6f'!J7/'6f'!J7*100, "na")</f>
        <v>na</v>
      </c>
      <c r="K7" s="351" t="str">
        <f>IFERROR('6f'!K7/'6f'!K7*100, "na")</f>
        <v>na</v>
      </c>
      <c r="L7" s="351" t="str">
        <f>IFERROR('6f'!L7/'6f'!L7*100, "na")</f>
        <v>na</v>
      </c>
      <c r="M7" s="300" t="str">
        <f>IFERROR('6f'!M7/'6f'!M7*100, "na")</f>
        <v>na</v>
      </c>
    </row>
    <row r="8" spans="1:13">
      <c r="A8" s="185">
        <v>1983</v>
      </c>
      <c r="B8" s="216" t="str">
        <f>IFERROR('6f'!B8/'6f'!J8*100, "na")</f>
        <v>na</v>
      </c>
      <c r="C8" s="143" t="str">
        <f>IFERROR('6f'!C8/'6f'!K8*100, "na")</f>
        <v>na</v>
      </c>
      <c r="D8" s="143" t="str">
        <f>IFERROR('6f'!D8/'6f'!L8*100, "na")</f>
        <v>na</v>
      </c>
      <c r="E8" s="217" t="str">
        <f>IFERROR('6f'!E8/'6f'!M8*100, "na")</f>
        <v>na</v>
      </c>
      <c r="F8" s="216" t="str">
        <f>IFERROR('6f'!F8/'6f'!N8*100, "na")</f>
        <v>na</v>
      </c>
      <c r="G8" s="143" t="str">
        <f>IFERROR('6f'!G8/'6f'!O8*100, "na")</f>
        <v>na</v>
      </c>
      <c r="H8" s="143" t="str">
        <f>IFERROR('6f'!H8/'6f'!P8*100, "na")</f>
        <v>na</v>
      </c>
      <c r="I8" s="217" t="str">
        <f>IFERROR('6f'!I8/'6f'!Q8*100, "na")</f>
        <v>na</v>
      </c>
      <c r="J8" s="350" t="str">
        <f>IFERROR('6f'!J8/'6f'!J8*100, "na")</f>
        <v>na</v>
      </c>
      <c r="K8" s="351" t="str">
        <f>IFERROR('6f'!K8/'6f'!K8*100, "na")</f>
        <v>na</v>
      </c>
      <c r="L8" s="351" t="str">
        <f>IFERROR('6f'!L8/'6f'!L8*100, "na")</f>
        <v>na</v>
      </c>
      <c r="M8" s="300" t="str">
        <f>IFERROR('6f'!M8/'6f'!M8*100, "na")</f>
        <v>na</v>
      </c>
    </row>
    <row r="9" spans="1:13">
      <c r="A9" s="185">
        <v>1984</v>
      </c>
      <c r="B9" s="216" t="str">
        <f>IFERROR('6f'!B9/'6f'!J9*100, "na")</f>
        <v>na</v>
      </c>
      <c r="C9" s="143" t="str">
        <f>IFERROR('6f'!C9/'6f'!K9*100, "na")</f>
        <v>na</v>
      </c>
      <c r="D9" s="143" t="str">
        <f>IFERROR('6f'!D9/'6f'!L9*100, "na")</f>
        <v>na</v>
      </c>
      <c r="E9" s="217" t="str">
        <f>IFERROR('6f'!E9/'6f'!M9*100, "na")</f>
        <v>na</v>
      </c>
      <c r="F9" s="216" t="str">
        <f>IFERROR('6f'!F9/'6f'!N9*100, "na")</f>
        <v>na</v>
      </c>
      <c r="G9" s="143" t="str">
        <f>IFERROR('6f'!G9/'6f'!O9*100, "na")</f>
        <v>na</v>
      </c>
      <c r="H9" s="143" t="str">
        <f>IFERROR('6f'!H9/'6f'!P9*100, "na")</f>
        <v>na</v>
      </c>
      <c r="I9" s="217" t="str">
        <f>IFERROR('6f'!I9/'6f'!Q9*100, "na")</f>
        <v>na</v>
      </c>
      <c r="J9" s="350" t="str">
        <f>IFERROR('6f'!J9/'6f'!J9*100, "na")</f>
        <v>na</v>
      </c>
      <c r="K9" s="351" t="str">
        <f>IFERROR('6f'!K9/'6f'!K9*100, "na")</f>
        <v>na</v>
      </c>
      <c r="L9" s="351" t="str">
        <f>IFERROR('6f'!L9/'6f'!L9*100, "na")</f>
        <v>na</v>
      </c>
      <c r="M9" s="300" t="str">
        <f>IFERROR('6f'!M9/'6f'!M9*100, "na")</f>
        <v>na</v>
      </c>
    </row>
    <row r="10" spans="1:13">
      <c r="A10" s="185">
        <v>1985</v>
      </c>
      <c r="B10" s="216" t="str">
        <f>IFERROR('6f'!B10/'6f'!J10*100, "na")</f>
        <v>na</v>
      </c>
      <c r="C10" s="143" t="str">
        <f>IFERROR('6f'!C10/'6f'!K10*100, "na")</f>
        <v>na</v>
      </c>
      <c r="D10" s="143" t="str">
        <f>IFERROR('6f'!D10/'6f'!L10*100, "na")</f>
        <v>na</v>
      </c>
      <c r="E10" s="217" t="str">
        <f>IFERROR('6f'!E10/'6f'!M10*100, "na")</f>
        <v>na</v>
      </c>
      <c r="F10" s="216" t="str">
        <f>IFERROR('6f'!F10/'6f'!N10*100, "na")</f>
        <v>na</v>
      </c>
      <c r="G10" s="143" t="str">
        <f>IFERROR('6f'!G10/'6f'!O10*100, "na")</f>
        <v>na</v>
      </c>
      <c r="H10" s="143" t="str">
        <f>IFERROR('6f'!H10/'6f'!P10*100, "na")</f>
        <v>na</v>
      </c>
      <c r="I10" s="217" t="str">
        <f>IFERROR('6f'!I10/'6f'!Q10*100, "na")</f>
        <v>na</v>
      </c>
      <c r="J10" s="350" t="str">
        <f>IFERROR('6f'!J10/'6f'!J10*100, "na")</f>
        <v>na</v>
      </c>
      <c r="K10" s="351" t="str">
        <f>IFERROR('6f'!K10/'6f'!K10*100, "na")</f>
        <v>na</v>
      </c>
      <c r="L10" s="351" t="str">
        <f>IFERROR('6f'!L10/'6f'!L10*100, "na")</f>
        <v>na</v>
      </c>
      <c r="M10" s="300" t="str">
        <f>IFERROR('6f'!M10/'6f'!M10*100, "na")</f>
        <v>na</v>
      </c>
    </row>
    <row r="11" spans="1:13">
      <c r="A11" s="185">
        <v>1986</v>
      </c>
      <c r="B11" s="216" t="str">
        <f>IFERROR('6f'!B11/'6f'!J11*100, "na")</f>
        <v>na</v>
      </c>
      <c r="C11" s="143" t="str">
        <f>IFERROR('6f'!C11/'6f'!K11*100, "na")</f>
        <v>na</v>
      </c>
      <c r="D11" s="143" t="str">
        <f>IFERROR('6f'!D11/'6f'!L11*100, "na")</f>
        <v>na</v>
      </c>
      <c r="E11" s="217" t="str">
        <f>IFERROR('6f'!E11/'6f'!M11*100, "na")</f>
        <v>na</v>
      </c>
      <c r="F11" s="216" t="str">
        <f>IFERROR('6f'!F11/'6f'!N11*100, "na")</f>
        <v>na</v>
      </c>
      <c r="G11" s="143" t="str">
        <f>IFERROR('6f'!G11/'6f'!O11*100, "na")</f>
        <v>na</v>
      </c>
      <c r="H11" s="143" t="str">
        <f>IFERROR('6f'!H11/'6f'!P11*100, "na")</f>
        <v>na</v>
      </c>
      <c r="I11" s="217" t="str">
        <f>IFERROR('6f'!I11/'6f'!Q11*100, "na")</f>
        <v>na</v>
      </c>
      <c r="J11" s="350" t="str">
        <f>IFERROR('6f'!J11/'6f'!J11*100, "na")</f>
        <v>na</v>
      </c>
      <c r="K11" s="351" t="str">
        <f>IFERROR('6f'!K11/'6f'!K11*100, "na")</f>
        <v>na</v>
      </c>
      <c r="L11" s="351" t="str">
        <f>IFERROR('6f'!L11/'6f'!L11*100, "na")</f>
        <v>na</v>
      </c>
      <c r="M11" s="300" t="str">
        <f>IFERROR('6f'!M11/'6f'!M11*100, "na")</f>
        <v>na</v>
      </c>
    </row>
    <row r="12" spans="1:13">
      <c r="A12" s="185">
        <v>1987</v>
      </c>
      <c r="B12" s="216" t="str">
        <f>IFERROR('6f'!B12/'6f'!J12*100, "na")</f>
        <v>na</v>
      </c>
      <c r="C12" s="143" t="str">
        <f>IFERROR('6f'!C12/'6f'!K12*100, "na")</f>
        <v>na</v>
      </c>
      <c r="D12" s="143" t="str">
        <f>IFERROR('6f'!D12/'6f'!L12*100, "na")</f>
        <v>na</v>
      </c>
      <c r="E12" s="217" t="str">
        <f>IFERROR('6f'!E12/'6f'!M12*100, "na")</f>
        <v>na</v>
      </c>
      <c r="F12" s="216" t="str">
        <f>IFERROR('6f'!F12/'6f'!N12*100, "na")</f>
        <v>na</v>
      </c>
      <c r="G12" s="143" t="str">
        <f>IFERROR('6f'!G12/'6f'!O12*100, "na")</f>
        <v>na</v>
      </c>
      <c r="H12" s="143" t="str">
        <f>IFERROR('6f'!H12/'6f'!P12*100, "na")</f>
        <v>na</v>
      </c>
      <c r="I12" s="217" t="str">
        <f>IFERROR('6f'!I12/'6f'!Q12*100, "na")</f>
        <v>na</v>
      </c>
      <c r="J12" s="350" t="str">
        <f>IFERROR('6f'!J12/'6f'!J12*100, "na")</f>
        <v>na</v>
      </c>
      <c r="K12" s="351" t="str">
        <f>IFERROR('6f'!K12/'6f'!K12*100, "na")</f>
        <v>na</v>
      </c>
      <c r="L12" s="351" t="str">
        <f>IFERROR('6f'!L12/'6f'!L12*100, "na")</f>
        <v>na</v>
      </c>
      <c r="M12" s="300" t="str">
        <f>IFERROR('6f'!M12/'6f'!M12*100, "na")</f>
        <v>na</v>
      </c>
    </row>
    <row r="13" spans="1:13">
      <c r="A13" s="185">
        <v>1988</v>
      </c>
      <c r="B13" s="216" t="str">
        <f>IFERROR('6f'!B13/'6f'!J13*100, "na")</f>
        <v>na</v>
      </c>
      <c r="C13" s="143" t="str">
        <f>IFERROR('6f'!C13/'6f'!K13*100, "na")</f>
        <v>na</v>
      </c>
      <c r="D13" s="143" t="str">
        <f>IFERROR('6f'!D13/'6f'!L13*100, "na")</f>
        <v>na</v>
      </c>
      <c r="E13" s="217" t="str">
        <f>IFERROR('6f'!E13/'6f'!M13*100, "na")</f>
        <v>na</v>
      </c>
      <c r="F13" s="216" t="str">
        <f>IFERROR('6f'!F13/'6f'!N13*100, "na")</f>
        <v>na</v>
      </c>
      <c r="G13" s="143" t="str">
        <f>IFERROR('6f'!G13/'6f'!O13*100, "na")</f>
        <v>na</v>
      </c>
      <c r="H13" s="143" t="str">
        <f>IFERROR('6f'!H13/'6f'!P13*100, "na")</f>
        <v>na</v>
      </c>
      <c r="I13" s="217" t="str">
        <f>IFERROR('6f'!I13/'6f'!Q13*100, "na")</f>
        <v>na</v>
      </c>
      <c r="J13" s="350" t="str">
        <f>IFERROR('6f'!J13/'6f'!J13*100, "na")</f>
        <v>na</v>
      </c>
      <c r="K13" s="351" t="str">
        <f>IFERROR('6f'!K13/'6f'!K13*100, "na")</f>
        <v>na</v>
      </c>
      <c r="L13" s="351" t="str">
        <f>IFERROR('6f'!L13/'6f'!L13*100, "na")</f>
        <v>na</v>
      </c>
      <c r="M13" s="300" t="str">
        <f>IFERROR('6f'!M13/'6f'!M13*100, "na")</f>
        <v>na</v>
      </c>
    </row>
    <row r="14" spans="1:13">
      <c r="A14" s="185">
        <v>1989</v>
      </c>
      <c r="B14" s="216" t="str">
        <f>IFERROR('6f'!B14/'6f'!J14*100, "na")</f>
        <v>na</v>
      </c>
      <c r="C14" s="143" t="str">
        <f>IFERROR('6f'!C14/'6f'!K14*100, "na")</f>
        <v>na</v>
      </c>
      <c r="D14" s="143" t="str">
        <f>IFERROR('6f'!D14/'6f'!L14*100, "na")</f>
        <v>na</v>
      </c>
      <c r="E14" s="217" t="str">
        <f>IFERROR('6f'!E14/'6f'!M14*100, "na")</f>
        <v>na</v>
      </c>
      <c r="F14" s="216" t="str">
        <f>IFERROR('6f'!F14/'6f'!N14*100, "na")</f>
        <v>na</v>
      </c>
      <c r="G14" s="143" t="str">
        <f>IFERROR('6f'!G14/'6f'!O14*100, "na")</f>
        <v>na</v>
      </c>
      <c r="H14" s="143" t="str">
        <f>IFERROR('6f'!H14/'6f'!P14*100, "na")</f>
        <v>na</v>
      </c>
      <c r="I14" s="217" t="str">
        <f>IFERROR('6f'!I14/'6f'!Q14*100, "na")</f>
        <v>na</v>
      </c>
      <c r="J14" s="350" t="str">
        <f>IFERROR('6f'!J14/'6f'!J14*100, "na")</f>
        <v>na</v>
      </c>
      <c r="K14" s="351" t="str">
        <f>IFERROR('6f'!K14/'6f'!K14*100, "na")</f>
        <v>na</v>
      </c>
      <c r="L14" s="351" t="str">
        <f>IFERROR('6f'!L14/'6f'!L14*100, "na")</f>
        <v>na</v>
      </c>
      <c r="M14" s="300" t="str">
        <f>IFERROR('6f'!M14/'6f'!M14*100, "na")</f>
        <v>na</v>
      </c>
    </row>
    <row r="15" spans="1:13">
      <c r="A15" s="185">
        <v>1990</v>
      </c>
      <c r="B15" s="216" t="str">
        <f>IFERROR('6f'!B15/'6f'!J15*100, "na")</f>
        <v>na</v>
      </c>
      <c r="C15" s="143" t="str">
        <f>IFERROR('6f'!C15/'6f'!K15*100, "na")</f>
        <v>na</v>
      </c>
      <c r="D15" s="143" t="str">
        <f>IFERROR('6f'!D15/'6f'!L15*100, "na")</f>
        <v>na</v>
      </c>
      <c r="E15" s="217" t="str">
        <f>IFERROR('6f'!E15/'6f'!M15*100, "na")</f>
        <v>na</v>
      </c>
      <c r="F15" s="216" t="str">
        <f>IFERROR('6f'!F15/'6f'!N15*100, "na")</f>
        <v>na</v>
      </c>
      <c r="G15" s="143" t="str">
        <f>IFERROR('6f'!G15/'6f'!O15*100, "na")</f>
        <v>na</v>
      </c>
      <c r="H15" s="143" t="str">
        <f>IFERROR('6f'!H15/'6f'!P15*100, "na")</f>
        <v>na</v>
      </c>
      <c r="I15" s="217" t="str">
        <f>IFERROR('6f'!I15/'6f'!Q15*100, "na")</f>
        <v>na</v>
      </c>
      <c r="J15" s="350" t="str">
        <f>IFERROR('6f'!J15/'6f'!J15*100, "na")</f>
        <v>na</v>
      </c>
      <c r="K15" s="351" t="str">
        <f>IFERROR('6f'!K15/'6f'!K15*100, "na")</f>
        <v>na</v>
      </c>
      <c r="L15" s="351" t="str">
        <f>IFERROR('6f'!L15/'6f'!L15*100, "na")</f>
        <v>na</v>
      </c>
      <c r="M15" s="300" t="str">
        <f>IFERROR('6f'!M15/'6f'!M15*100, "na")</f>
        <v>na</v>
      </c>
    </row>
    <row r="16" spans="1:13">
      <c r="A16" s="185">
        <v>1991</v>
      </c>
      <c r="B16" s="216" t="str">
        <f>IFERROR('6f'!B16/'6f'!J16*100, "na")</f>
        <v>na</v>
      </c>
      <c r="C16" s="143" t="str">
        <f>IFERROR('6f'!C16/'6f'!K16*100, "na")</f>
        <v>na</v>
      </c>
      <c r="D16" s="143" t="str">
        <f>IFERROR('6f'!D16/'6f'!L16*100, "na")</f>
        <v>na</v>
      </c>
      <c r="E16" s="217" t="str">
        <f>IFERROR('6f'!E16/'6f'!M16*100, "na")</f>
        <v>na</v>
      </c>
      <c r="F16" s="216" t="str">
        <f>IFERROR('6f'!F16/'6f'!N16*100, "na")</f>
        <v>na</v>
      </c>
      <c r="G16" s="143" t="str">
        <f>IFERROR('6f'!G16/'6f'!O16*100, "na")</f>
        <v>na</v>
      </c>
      <c r="H16" s="143" t="str">
        <f>IFERROR('6f'!H16/'6f'!P16*100, "na")</f>
        <v>na</v>
      </c>
      <c r="I16" s="217" t="str">
        <f>IFERROR('6f'!I16/'6f'!Q16*100, "na")</f>
        <v>na</v>
      </c>
      <c r="J16" s="350" t="str">
        <f>IFERROR('6f'!J16/'6f'!J16*100, "na")</f>
        <v>na</v>
      </c>
      <c r="K16" s="351" t="str">
        <f>IFERROR('6f'!K16/'6f'!K16*100, "na")</f>
        <v>na</v>
      </c>
      <c r="L16" s="351" t="str">
        <f>IFERROR('6f'!L16/'6f'!L16*100, "na")</f>
        <v>na</v>
      </c>
      <c r="M16" s="300" t="str">
        <f>IFERROR('6f'!M16/'6f'!M16*100, "na")</f>
        <v>na</v>
      </c>
    </row>
    <row r="17" spans="1:13">
      <c r="A17" s="185">
        <v>1992</v>
      </c>
      <c r="B17" s="216" t="str">
        <f>IFERROR('6f'!B17/'6f'!J17*100, "na")</f>
        <v>na</v>
      </c>
      <c r="C17" s="143" t="str">
        <f>IFERROR('6f'!C17/'6f'!K17*100, "na")</f>
        <v>na</v>
      </c>
      <c r="D17" s="143" t="str">
        <f>IFERROR('6f'!D17/'6f'!L17*100, "na")</f>
        <v>na</v>
      </c>
      <c r="E17" s="217" t="str">
        <f>IFERROR('6f'!E17/'6f'!M17*100, "na")</f>
        <v>na</v>
      </c>
      <c r="F17" s="216" t="str">
        <f>IFERROR('6f'!F17/'6f'!N17*100, "na")</f>
        <v>na</v>
      </c>
      <c r="G17" s="143" t="str">
        <f>IFERROR('6f'!G17/'6f'!O17*100, "na")</f>
        <v>na</v>
      </c>
      <c r="H17" s="143" t="str">
        <f>IFERROR('6f'!H17/'6f'!P17*100, "na")</f>
        <v>na</v>
      </c>
      <c r="I17" s="217" t="str">
        <f>IFERROR('6f'!I17/'6f'!Q17*100, "na")</f>
        <v>na</v>
      </c>
      <c r="J17" s="350" t="str">
        <f>IFERROR('6f'!J17/'6f'!J17*100, "na")</f>
        <v>na</v>
      </c>
      <c r="K17" s="351" t="str">
        <f>IFERROR('6f'!K17/'6f'!K17*100, "na")</f>
        <v>na</v>
      </c>
      <c r="L17" s="351" t="str">
        <f>IFERROR('6f'!L17/'6f'!L17*100, "na")</f>
        <v>na</v>
      </c>
      <c r="M17" s="300" t="str">
        <f>IFERROR('6f'!M17/'6f'!M17*100, "na")</f>
        <v>na</v>
      </c>
    </row>
    <row r="18" spans="1:13">
      <c r="A18" s="185">
        <v>1993</v>
      </c>
      <c r="B18" s="216" t="str">
        <f>IFERROR('6f'!B18/'6f'!J18*100, "na")</f>
        <v>na</v>
      </c>
      <c r="C18" s="143" t="str">
        <f>IFERROR('6f'!C18/'6f'!K18*100, "na")</f>
        <v>na</v>
      </c>
      <c r="D18" s="143" t="str">
        <f>IFERROR('6f'!D18/'6f'!L18*100, "na")</f>
        <v>na</v>
      </c>
      <c r="E18" s="217" t="str">
        <f>IFERROR('6f'!E18/'6f'!M18*100, "na")</f>
        <v>na</v>
      </c>
      <c r="F18" s="216" t="str">
        <f>IFERROR('6f'!F18/'6f'!N18*100, "na")</f>
        <v>na</v>
      </c>
      <c r="G18" s="143" t="str">
        <f>IFERROR('6f'!G18/'6f'!O18*100, "na")</f>
        <v>na</v>
      </c>
      <c r="H18" s="143" t="str">
        <f>IFERROR('6f'!H18/'6f'!P18*100, "na")</f>
        <v>na</v>
      </c>
      <c r="I18" s="217" t="str">
        <f>IFERROR('6f'!I18/'6f'!Q18*100, "na")</f>
        <v>na</v>
      </c>
      <c r="J18" s="350" t="str">
        <f>IFERROR('6f'!J18/'6f'!J18*100, "na")</f>
        <v>na</v>
      </c>
      <c r="K18" s="351" t="str">
        <f>IFERROR('6f'!K18/'6f'!K18*100, "na")</f>
        <v>na</v>
      </c>
      <c r="L18" s="351" t="str">
        <f>IFERROR('6f'!L18/'6f'!L18*100, "na")</f>
        <v>na</v>
      </c>
      <c r="M18" s="300" t="str">
        <f>IFERROR('6f'!M18/'6f'!M18*100, "na")</f>
        <v>na</v>
      </c>
    </row>
    <row r="19" spans="1:13">
      <c r="A19" s="185">
        <v>1994</v>
      </c>
      <c r="B19" s="216" t="str">
        <f>IFERROR('6f'!B19/'6f'!J19*100, "na")</f>
        <v>na</v>
      </c>
      <c r="C19" s="143" t="str">
        <f>IFERROR('6f'!C19/'6f'!K19*100, "na")</f>
        <v>na</v>
      </c>
      <c r="D19" s="143" t="str">
        <f>IFERROR('6f'!D19/'6f'!L19*100, "na")</f>
        <v>na</v>
      </c>
      <c r="E19" s="217" t="str">
        <f>IFERROR('6f'!E19/'6f'!M19*100, "na")</f>
        <v>na</v>
      </c>
      <c r="F19" s="216" t="str">
        <f>IFERROR('6f'!F19/'6f'!N19*100, "na")</f>
        <v>na</v>
      </c>
      <c r="G19" s="143" t="str">
        <f>IFERROR('6f'!G19/'6f'!O19*100, "na")</f>
        <v>na</v>
      </c>
      <c r="H19" s="143" t="str">
        <f>IFERROR('6f'!H19/'6f'!P19*100, "na")</f>
        <v>na</v>
      </c>
      <c r="I19" s="217" t="str">
        <f>IFERROR('6f'!I19/'6f'!Q19*100, "na")</f>
        <v>na</v>
      </c>
      <c r="J19" s="350" t="str">
        <f>IFERROR('6f'!J19/'6f'!J19*100, "na")</f>
        <v>na</v>
      </c>
      <c r="K19" s="351" t="str">
        <f>IFERROR('6f'!K19/'6f'!K19*100, "na")</f>
        <v>na</v>
      </c>
      <c r="L19" s="351" t="str">
        <f>IFERROR('6f'!L19/'6f'!L19*100, "na")</f>
        <v>na</v>
      </c>
      <c r="M19" s="300" t="str">
        <f>IFERROR('6f'!M19/'6f'!M19*100, "na")</f>
        <v>na</v>
      </c>
    </row>
    <row r="20" spans="1:13">
      <c r="A20" s="185">
        <v>1995</v>
      </c>
      <c r="B20" s="216" t="str">
        <f>IFERROR('6f'!B20/'6f'!J20*100, "na")</f>
        <v>na</v>
      </c>
      <c r="C20" s="143" t="str">
        <f>IFERROR('6f'!C20/'6f'!K20*100, "na")</f>
        <v>na</v>
      </c>
      <c r="D20" s="143" t="str">
        <f>IFERROR('6f'!D20/'6f'!L20*100, "na")</f>
        <v>na</v>
      </c>
      <c r="E20" s="217" t="str">
        <f>IFERROR('6f'!E20/'6f'!M20*100, "na")</f>
        <v>na</v>
      </c>
      <c r="F20" s="216" t="str">
        <f>IFERROR('6f'!F20/'6f'!N20*100, "na")</f>
        <v>na</v>
      </c>
      <c r="G20" s="143" t="str">
        <f>IFERROR('6f'!G20/'6f'!O20*100, "na")</f>
        <v>na</v>
      </c>
      <c r="H20" s="143" t="str">
        <f>IFERROR('6f'!H20/'6f'!P20*100, "na")</f>
        <v>na</v>
      </c>
      <c r="I20" s="217" t="str">
        <f>IFERROR('6f'!I20/'6f'!Q20*100, "na")</f>
        <v>na</v>
      </c>
      <c r="J20" s="350" t="str">
        <f>IFERROR('6f'!J20/'6f'!J20*100, "na")</f>
        <v>na</v>
      </c>
      <c r="K20" s="351" t="str">
        <f>IFERROR('6f'!K20/'6f'!K20*100, "na")</f>
        <v>na</v>
      </c>
      <c r="L20" s="351" t="str">
        <f>IFERROR('6f'!L20/'6f'!L20*100, "na")</f>
        <v>na</v>
      </c>
      <c r="M20" s="300" t="str">
        <f>IFERROR('6f'!M20/'6f'!M20*100, "na")</f>
        <v>na</v>
      </c>
    </row>
    <row r="21" spans="1:13">
      <c r="A21" s="185">
        <v>1996</v>
      </c>
      <c r="B21" s="216" t="str">
        <f>IFERROR('6f'!B21/'6f'!J21*100, "na")</f>
        <v>na</v>
      </c>
      <c r="C21" s="143" t="str">
        <f>IFERROR('6f'!C21/'6f'!K21*100, "na")</f>
        <v>na</v>
      </c>
      <c r="D21" s="143" t="str">
        <f>IFERROR('6f'!D21/'6f'!L21*100, "na")</f>
        <v>na</v>
      </c>
      <c r="E21" s="217" t="str">
        <f>IFERROR('6f'!E21/'6f'!M21*100, "na")</f>
        <v>na</v>
      </c>
      <c r="F21" s="216" t="str">
        <f>IFERROR('6f'!F21/'6f'!N21*100, "na")</f>
        <v>na</v>
      </c>
      <c r="G21" s="143" t="str">
        <f>IFERROR('6f'!G21/'6f'!O21*100, "na")</f>
        <v>na</v>
      </c>
      <c r="H21" s="143" t="str">
        <f>IFERROR('6f'!H21/'6f'!P21*100, "na")</f>
        <v>na</v>
      </c>
      <c r="I21" s="217" t="str">
        <f>IFERROR('6f'!I21/'6f'!Q21*100, "na")</f>
        <v>na</v>
      </c>
      <c r="J21" s="350" t="str">
        <f>IFERROR('6f'!J21/'6f'!J21*100, "na")</f>
        <v>na</v>
      </c>
      <c r="K21" s="351" t="str">
        <f>IFERROR('6f'!K21/'6f'!K21*100, "na")</f>
        <v>na</v>
      </c>
      <c r="L21" s="351" t="str">
        <f>IFERROR('6f'!L21/'6f'!L21*100, "na")</f>
        <v>na</v>
      </c>
      <c r="M21" s="300" t="str">
        <f>IFERROR('6f'!M21/'6f'!M21*100, "na")</f>
        <v>na</v>
      </c>
    </row>
    <row r="22" spans="1:13">
      <c r="A22" s="185">
        <v>1997</v>
      </c>
      <c r="B22" s="216" t="str">
        <f>IFERROR('6f'!B22/'6f'!J22*100, "na")</f>
        <v>na</v>
      </c>
      <c r="C22" s="143" t="str">
        <f>IFERROR('6f'!C22/'6f'!K22*100, "na")</f>
        <v>na</v>
      </c>
      <c r="D22" s="143" t="str">
        <f>IFERROR('6f'!D22/'6f'!L22*100, "na")</f>
        <v>na</v>
      </c>
      <c r="E22" s="217" t="str">
        <f>IFERROR('6f'!E22/'6f'!M22*100, "na")</f>
        <v>na</v>
      </c>
      <c r="F22" s="216" t="str">
        <f>IFERROR('6f'!F22/'6f'!N22*100, "na")</f>
        <v>na</v>
      </c>
      <c r="G22" s="143" t="str">
        <f>IFERROR('6f'!G22/'6f'!O22*100, "na")</f>
        <v>na</v>
      </c>
      <c r="H22" s="143" t="str">
        <f>IFERROR('6f'!H22/'6f'!P22*100, "na")</f>
        <v>na</v>
      </c>
      <c r="I22" s="217" t="str">
        <f>IFERROR('6f'!I22/'6f'!Q22*100, "na")</f>
        <v>na</v>
      </c>
      <c r="J22" s="350" t="str">
        <f>IFERROR('6f'!J22/'6f'!J22*100, "na")</f>
        <v>na</v>
      </c>
      <c r="K22" s="351" t="str">
        <f>IFERROR('6f'!K22/'6f'!K22*100, "na")</f>
        <v>na</v>
      </c>
      <c r="L22" s="351" t="str">
        <f>IFERROR('6f'!L22/'6f'!L22*100, "na")</f>
        <v>na</v>
      </c>
      <c r="M22" s="300" t="str">
        <f>IFERROR('6f'!M22/'6f'!M22*100, "na")</f>
        <v>na</v>
      </c>
    </row>
    <row r="23" spans="1:13">
      <c r="A23" s="185">
        <v>1998</v>
      </c>
      <c r="B23" s="216" t="str">
        <f>IFERROR('6f'!B23/'6f'!J23*100, "na")</f>
        <v>na</v>
      </c>
      <c r="C23" s="143" t="str">
        <f>IFERROR('6f'!C23/'6f'!K23*100, "na")</f>
        <v>na</v>
      </c>
      <c r="D23" s="143" t="str">
        <f>IFERROR('6f'!D23/'6f'!L23*100, "na")</f>
        <v>na</v>
      </c>
      <c r="E23" s="217" t="str">
        <f>IFERROR('6f'!E23/'6f'!M23*100, "na")</f>
        <v>na</v>
      </c>
      <c r="F23" s="216" t="str">
        <f>IFERROR('6f'!F23/'6f'!N23*100, "na")</f>
        <v>na</v>
      </c>
      <c r="G23" s="143" t="str">
        <f>IFERROR('6f'!G23/'6f'!O23*100, "na")</f>
        <v>na</v>
      </c>
      <c r="H23" s="143" t="str">
        <f>IFERROR('6f'!H23/'6f'!P23*100, "na")</f>
        <v>na</v>
      </c>
      <c r="I23" s="217" t="str">
        <f>IFERROR('6f'!I23/'6f'!Q23*100, "na")</f>
        <v>na</v>
      </c>
      <c r="J23" s="350" t="str">
        <f>IFERROR('6f'!J23/'6f'!J23*100, "na")</f>
        <v>na</v>
      </c>
      <c r="K23" s="351" t="str">
        <f>IFERROR('6f'!K23/'6f'!K23*100, "na")</f>
        <v>na</v>
      </c>
      <c r="L23" s="351" t="str">
        <f>IFERROR('6f'!L23/'6f'!L23*100, "na")</f>
        <v>na</v>
      </c>
      <c r="M23" s="300" t="str">
        <f>IFERROR('6f'!M23/'6f'!M23*100, "na")</f>
        <v>na</v>
      </c>
    </row>
    <row r="24" spans="1:13">
      <c r="A24" s="185">
        <v>1999</v>
      </c>
      <c r="B24" s="216" t="str">
        <f>IFERROR('6f'!B24/'6f'!J24*100, "na")</f>
        <v>na</v>
      </c>
      <c r="C24" s="143" t="str">
        <f>IFERROR('6f'!C24/'6f'!K24*100, "na")</f>
        <v>na</v>
      </c>
      <c r="D24" s="143" t="str">
        <f>IFERROR('6f'!D24/'6f'!L24*100, "na")</f>
        <v>na</v>
      </c>
      <c r="E24" s="217" t="str">
        <f>IFERROR('6f'!E24/'6f'!M24*100, "na")</f>
        <v>na</v>
      </c>
      <c r="F24" s="216" t="str">
        <f>IFERROR('6f'!F24/'6f'!N24*100, "na")</f>
        <v>na</v>
      </c>
      <c r="G24" s="143" t="str">
        <f>IFERROR('6f'!G24/'6f'!O24*100, "na")</f>
        <v>na</v>
      </c>
      <c r="H24" s="143" t="str">
        <f>IFERROR('6f'!H24/'6f'!P24*100, "na")</f>
        <v>na</v>
      </c>
      <c r="I24" s="217" t="str">
        <f>IFERROR('6f'!I24/'6f'!Q24*100, "na")</f>
        <v>na</v>
      </c>
      <c r="J24" s="350" t="str">
        <f>IFERROR('6f'!J24/'6f'!J24*100, "na")</f>
        <v>na</v>
      </c>
      <c r="K24" s="351" t="str">
        <f>IFERROR('6f'!K24/'6f'!K24*100, "na")</f>
        <v>na</v>
      </c>
      <c r="L24" s="351" t="str">
        <f>IFERROR('6f'!L24/'6f'!L24*100, "na")</f>
        <v>na</v>
      </c>
      <c r="M24" s="300" t="str">
        <f>IFERROR('6f'!M24/'6f'!M24*100, "na")</f>
        <v>na</v>
      </c>
    </row>
    <row r="25" spans="1:13">
      <c r="A25" s="185">
        <v>2000</v>
      </c>
      <c r="B25" s="216" t="str">
        <f>IFERROR('6f'!B25/'6f'!J25*100, "na")</f>
        <v>na</v>
      </c>
      <c r="C25" s="143" t="str">
        <f>IFERROR('6f'!C25/'6f'!K25*100, "na")</f>
        <v>na</v>
      </c>
      <c r="D25" s="143" t="str">
        <f>IFERROR('6f'!D25/'6f'!L25*100, "na")</f>
        <v>na</v>
      </c>
      <c r="E25" s="217" t="str">
        <f>IFERROR('6f'!E25/'6f'!M25*100, "na")</f>
        <v>na</v>
      </c>
      <c r="F25" s="216" t="str">
        <f>IFERROR('6f'!F25/'6f'!N25*100, "na")</f>
        <v>na</v>
      </c>
      <c r="G25" s="143" t="str">
        <f>IFERROR('6f'!G25/'6f'!O25*100, "na")</f>
        <v>na</v>
      </c>
      <c r="H25" s="143" t="str">
        <f>IFERROR('6f'!H25/'6f'!P25*100, "na")</f>
        <v>na</v>
      </c>
      <c r="I25" s="217" t="str">
        <f>IFERROR('6f'!I25/'6f'!Q25*100, "na")</f>
        <v>na</v>
      </c>
      <c r="J25" s="350" t="str">
        <f>IFERROR('6f'!J25/'6f'!J25*100, "na")</f>
        <v>na</v>
      </c>
      <c r="K25" s="351" t="str">
        <f>IFERROR('6f'!K25/'6f'!K25*100, "na")</f>
        <v>na</v>
      </c>
      <c r="L25" s="351" t="str">
        <f>IFERROR('6f'!L25/'6f'!L25*100, "na")</f>
        <v>na</v>
      </c>
      <c r="M25" s="300" t="str">
        <f>IFERROR('6f'!M25/'6f'!M25*100, "na")</f>
        <v>na</v>
      </c>
    </row>
    <row r="26" spans="1:13">
      <c r="A26" s="185">
        <v>2001</v>
      </c>
      <c r="B26" s="216" t="str">
        <f>IFERROR('6f'!B26/'6f'!J26*100, "na")</f>
        <v>na</v>
      </c>
      <c r="C26" s="143" t="str">
        <f>IFERROR('6f'!C26/'6f'!K26*100, "na")</f>
        <v>na</v>
      </c>
      <c r="D26" s="143" t="str">
        <f>IFERROR('6f'!D26/'6f'!L26*100, "na")</f>
        <v>na</v>
      </c>
      <c r="E26" s="217" t="str">
        <f>IFERROR('6f'!E26/'6f'!M26*100, "na")</f>
        <v>na</v>
      </c>
      <c r="F26" s="216" t="str">
        <f>IFERROR('6f'!F26/'6f'!N26*100, "na")</f>
        <v>na</v>
      </c>
      <c r="G26" s="143" t="str">
        <f>IFERROR('6f'!G26/'6f'!O26*100, "na")</f>
        <v>na</v>
      </c>
      <c r="H26" s="143" t="str">
        <f>IFERROR('6f'!H26/'6f'!P26*100, "na")</f>
        <v>na</v>
      </c>
      <c r="I26" s="217" t="str">
        <f>IFERROR('6f'!I26/'6f'!Q26*100, "na")</f>
        <v>na</v>
      </c>
      <c r="J26" s="350" t="str">
        <f>IFERROR('6f'!J26/'6f'!J26*100, "na")</f>
        <v>na</v>
      </c>
      <c r="K26" s="351" t="str">
        <f>IFERROR('6f'!K26/'6f'!K26*100, "na")</f>
        <v>na</v>
      </c>
      <c r="L26" s="351" t="str">
        <f>IFERROR('6f'!L26/'6f'!L26*100, "na")</f>
        <v>na</v>
      </c>
      <c r="M26" s="300" t="str">
        <f>IFERROR('6f'!M26/'6f'!M26*100, "na")</f>
        <v>na</v>
      </c>
    </row>
    <row r="27" spans="1:13">
      <c r="A27" s="185">
        <v>2002</v>
      </c>
      <c r="B27" s="216" t="str">
        <f>IFERROR('6f'!B27/'6f'!J27*100, "na")</f>
        <v>na</v>
      </c>
      <c r="C27" s="143" t="str">
        <f>IFERROR('6f'!C27/'6f'!K27*100, "na")</f>
        <v>na</v>
      </c>
      <c r="D27" s="143" t="str">
        <f>IFERROR('6f'!D27/'6f'!L27*100, "na")</f>
        <v>na</v>
      </c>
      <c r="E27" s="217" t="str">
        <f>IFERROR('6f'!E27/'6f'!M27*100, "na")</f>
        <v>na</v>
      </c>
      <c r="F27" s="216" t="str">
        <f>IFERROR('6f'!F27/'6f'!N27*100, "na")</f>
        <v>na</v>
      </c>
      <c r="G27" s="143" t="str">
        <f>IFERROR('6f'!G27/'6f'!O27*100, "na")</f>
        <v>na</v>
      </c>
      <c r="H27" s="143" t="str">
        <f>IFERROR('6f'!H27/'6f'!P27*100, "na")</f>
        <v>na</v>
      </c>
      <c r="I27" s="217" t="str">
        <f>IFERROR('6f'!I27/'6f'!Q27*100, "na")</f>
        <v>na</v>
      </c>
      <c r="J27" s="350" t="str">
        <f>IFERROR('6f'!J27/'6f'!J27*100, "na")</f>
        <v>na</v>
      </c>
      <c r="K27" s="351" t="str">
        <f>IFERROR('6f'!K27/'6f'!K27*100, "na")</f>
        <v>na</v>
      </c>
      <c r="L27" s="351" t="str">
        <f>IFERROR('6f'!L27/'6f'!L27*100, "na")</f>
        <v>na</v>
      </c>
      <c r="M27" s="300" t="str">
        <f>IFERROR('6f'!M27/'6f'!M27*100, "na")</f>
        <v>na</v>
      </c>
    </row>
    <row r="28" spans="1:13">
      <c r="A28" s="185">
        <v>2003</v>
      </c>
      <c r="B28" s="216" t="str">
        <f>IFERROR('6f'!B28/'6f'!J28*100, "na")</f>
        <v>na</v>
      </c>
      <c r="C28" s="143" t="str">
        <f>IFERROR('6f'!C28/'6f'!K28*100, "na")</f>
        <v>na</v>
      </c>
      <c r="D28" s="143" t="str">
        <f>IFERROR('6f'!D28/'6f'!L28*100, "na")</f>
        <v>na</v>
      </c>
      <c r="E28" s="217" t="str">
        <f>IFERROR('6f'!E28/'6f'!M28*100, "na")</f>
        <v>na</v>
      </c>
      <c r="F28" s="216" t="str">
        <f>IFERROR('6f'!F28/'6f'!N28*100, "na")</f>
        <v>na</v>
      </c>
      <c r="G28" s="143" t="str">
        <f>IFERROR('6f'!G28/'6f'!O28*100, "na")</f>
        <v>na</v>
      </c>
      <c r="H28" s="143" t="str">
        <f>IFERROR('6f'!H28/'6f'!P28*100, "na")</f>
        <v>na</v>
      </c>
      <c r="I28" s="217" t="str">
        <f>IFERROR('6f'!I28/'6f'!Q28*100, "na")</f>
        <v>na</v>
      </c>
      <c r="J28" s="350" t="str">
        <f>IFERROR('6f'!J28/'6f'!J28*100, "na")</f>
        <v>na</v>
      </c>
      <c r="K28" s="351" t="str">
        <f>IFERROR('6f'!K28/'6f'!K28*100, "na")</f>
        <v>na</v>
      </c>
      <c r="L28" s="351" t="str">
        <f>IFERROR('6f'!L28/'6f'!L28*100, "na")</f>
        <v>na</v>
      </c>
      <c r="M28" s="300" t="str">
        <f>IFERROR('6f'!M28/'6f'!M28*100, "na")</f>
        <v>na</v>
      </c>
    </row>
    <row r="29" spans="1:13">
      <c r="A29" s="185">
        <v>2004</v>
      </c>
      <c r="B29" s="216" t="str">
        <f>IFERROR('6f'!B29/'6f'!J29*100, "na")</f>
        <v>na</v>
      </c>
      <c r="C29" s="143" t="str">
        <f>IFERROR('6f'!C29/'6f'!K29*100, "na")</f>
        <v>na</v>
      </c>
      <c r="D29" s="143" t="str">
        <f>IFERROR('6f'!D29/'6f'!L29*100, "na")</f>
        <v>na</v>
      </c>
      <c r="E29" s="217" t="str">
        <f>IFERROR('6f'!E29/'6f'!M29*100, "na")</f>
        <v>na</v>
      </c>
      <c r="F29" s="216" t="str">
        <f>IFERROR('6f'!F29/'6f'!N29*100, "na")</f>
        <v>na</v>
      </c>
      <c r="G29" s="143" t="str">
        <f>IFERROR('6f'!G29/'6f'!O29*100, "na")</f>
        <v>na</v>
      </c>
      <c r="H29" s="143" t="str">
        <f>IFERROR('6f'!H29/'6f'!P29*100, "na")</f>
        <v>na</v>
      </c>
      <c r="I29" s="217" t="str">
        <f>IFERROR('6f'!I29/'6f'!Q29*100, "na")</f>
        <v>na</v>
      </c>
      <c r="J29" s="350" t="str">
        <f>IFERROR('6f'!J29/'6f'!J29*100, "na")</f>
        <v>na</v>
      </c>
      <c r="K29" s="351" t="str">
        <f>IFERROR('6f'!K29/'6f'!K29*100, "na")</f>
        <v>na</v>
      </c>
      <c r="L29" s="351" t="str">
        <f>IFERROR('6f'!L29/'6f'!L29*100, "na")</f>
        <v>na</v>
      </c>
      <c r="M29" s="300" t="str">
        <f>IFERROR('6f'!M29/'6f'!M29*100, "na")</f>
        <v>na</v>
      </c>
    </row>
    <row r="30" spans="1:13">
      <c r="A30" s="185">
        <v>2005</v>
      </c>
      <c r="B30" s="216" t="str">
        <f>IFERROR('6f'!B30/'6f'!J30*100, "na")</f>
        <v>na</v>
      </c>
      <c r="C30" s="143" t="str">
        <f>IFERROR('6f'!C30/'6f'!K30*100, "na")</f>
        <v>na</v>
      </c>
      <c r="D30" s="143" t="str">
        <f>IFERROR('6f'!D30/'6f'!L30*100, "na")</f>
        <v>na</v>
      </c>
      <c r="E30" s="217" t="str">
        <f>IFERROR('6f'!E30/'6f'!M30*100, "na")</f>
        <v>na</v>
      </c>
      <c r="F30" s="216" t="str">
        <f>IFERROR('6f'!F30/'6f'!N30*100, "na")</f>
        <v>na</v>
      </c>
      <c r="G30" s="143" t="str">
        <f>IFERROR('6f'!G30/'6f'!O30*100, "na")</f>
        <v>na</v>
      </c>
      <c r="H30" s="143" t="str">
        <f>IFERROR('6f'!H30/'6f'!P30*100, "na")</f>
        <v>na</v>
      </c>
      <c r="I30" s="217" t="str">
        <f>IFERROR('6f'!I30/'6f'!Q30*100, "na")</f>
        <v>na</v>
      </c>
      <c r="J30" s="350" t="str">
        <f>IFERROR('6f'!J30/'6f'!J30*100, "na")</f>
        <v>na</v>
      </c>
      <c r="K30" s="351" t="str">
        <f>IFERROR('6f'!K30/'6f'!K30*100, "na")</f>
        <v>na</v>
      </c>
      <c r="L30" s="351" t="str">
        <f>IFERROR('6f'!L30/'6f'!L30*100, "na")</f>
        <v>na</v>
      </c>
      <c r="M30" s="300" t="str">
        <f>IFERROR('6f'!M30/'6f'!M30*100, "na")</f>
        <v>na</v>
      </c>
    </row>
    <row r="31" spans="1:13">
      <c r="A31" s="185">
        <v>2006</v>
      </c>
      <c r="B31" s="216" t="str">
        <f>IFERROR('6f'!B31/'6f'!J31*100, "na")</f>
        <v>na</v>
      </c>
      <c r="C31" s="143" t="str">
        <f>IFERROR('6f'!C31/'6f'!K31*100, "na")</f>
        <v>na</v>
      </c>
      <c r="D31" s="143" t="str">
        <f>IFERROR('6f'!D31/'6f'!L31*100, "na")</f>
        <v>na</v>
      </c>
      <c r="E31" s="217" t="str">
        <f>IFERROR('6f'!E31/'6f'!M31*100, "na")</f>
        <v>na</v>
      </c>
      <c r="F31" s="216" t="str">
        <f>IFERROR('6f'!F31/'6f'!N31*100, "na")</f>
        <v>na</v>
      </c>
      <c r="G31" s="143" t="str">
        <f>IFERROR('6f'!G31/'6f'!O31*100, "na")</f>
        <v>na</v>
      </c>
      <c r="H31" s="143" t="str">
        <f>IFERROR('6f'!H31/'6f'!P31*100, "na")</f>
        <v>na</v>
      </c>
      <c r="I31" s="217" t="str">
        <f>IFERROR('6f'!I31/'6f'!Q31*100, "na")</f>
        <v>na</v>
      </c>
      <c r="J31" s="350" t="str">
        <f>IFERROR('6f'!J31/'6f'!J31*100, "na")</f>
        <v>na</v>
      </c>
      <c r="K31" s="351" t="str">
        <f>IFERROR('6f'!K31/'6f'!K31*100, "na")</f>
        <v>na</v>
      </c>
      <c r="L31" s="351" t="str">
        <f>IFERROR('6f'!L31/'6f'!L31*100, "na")</f>
        <v>na</v>
      </c>
      <c r="M31" s="300" t="str">
        <f>IFERROR('6f'!M31/'6f'!M31*100, "na")</f>
        <v>na</v>
      </c>
    </row>
    <row r="32" spans="1:13">
      <c r="A32" s="185">
        <v>2007</v>
      </c>
      <c r="B32" s="85">
        <f>IFERROR('6f'!B32/'6f'!J32*100, "na")</f>
        <v>47.607444461873769</v>
      </c>
      <c r="C32" s="86">
        <f>IFERROR('6f'!C32/'6f'!K32*100, "na")</f>
        <v>41.474166977643719</v>
      </c>
      <c r="D32" s="86">
        <f>IFERROR('6f'!D32/'6f'!L32*100, "na")</f>
        <v>304.26344813645449</v>
      </c>
      <c r="E32" s="87">
        <f>IFERROR('6f'!E32/'6f'!M32*100, "na")</f>
        <v>102.42869760695869</v>
      </c>
      <c r="F32" s="216" t="str">
        <f>IFERROR('6f'!F32/'6f'!N32*100, "na")</f>
        <v>na</v>
      </c>
      <c r="G32" s="143" t="str">
        <f>IFERROR('6f'!G32/'6f'!O32*100, "na")</f>
        <v>na</v>
      </c>
      <c r="H32" s="143" t="str">
        <f>IFERROR('6f'!H32/'6f'!P32*100, "na")</f>
        <v>na</v>
      </c>
      <c r="I32" s="217" t="str">
        <f>IFERROR('6f'!I32/'6f'!Q32*100, "na")</f>
        <v>na</v>
      </c>
      <c r="J32" s="341">
        <f>IFERROR('6f'!J32/'6f'!J32*100, "na")</f>
        <v>100</v>
      </c>
      <c r="K32" s="342">
        <f>IFERROR('6f'!K32/'6f'!K32*100, "na")</f>
        <v>100</v>
      </c>
      <c r="L32" s="342">
        <f>IFERROR('6f'!L32/'6f'!L32*100, "na")</f>
        <v>100</v>
      </c>
      <c r="M32" s="343">
        <f>IFERROR('6f'!M32/'6f'!M32*100, "na")</f>
        <v>100</v>
      </c>
    </row>
    <row r="33" spans="1:13">
      <c r="A33" s="185">
        <v>2008</v>
      </c>
      <c r="B33" s="85">
        <f>IFERROR('6f'!B33/'6f'!J33*100, "na")</f>
        <v>53.377479268525448</v>
      </c>
      <c r="C33" s="86">
        <f>IFERROR('6f'!C33/'6f'!K33*100, "na")</f>
        <v>43.5861494863274</v>
      </c>
      <c r="D33" s="86">
        <f>IFERROR('6f'!D33/'6f'!L33*100, "na")</f>
        <v>324.54124468185188</v>
      </c>
      <c r="E33" s="87">
        <f>IFERROR('6f'!E33/'6f'!M33*100, "na")</f>
        <v>104.75167759090679</v>
      </c>
      <c r="F33" s="216" t="str">
        <f>IFERROR('6f'!F33/'6f'!N33*100, "na")</f>
        <v>na</v>
      </c>
      <c r="G33" s="143" t="str">
        <f>IFERROR('6f'!G33/'6f'!O33*100, "na")</f>
        <v>na</v>
      </c>
      <c r="H33" s="143" t="str">
        <f>IFERROR('6f'!H33/'6f'!P33*100, "na")</f>
        <v>na</v>
      </c>
      <c r="I33" s="217" t="str">
        <f>IFERROR('6f'!I33/'6f'!Q33*100, "na")</f>
        <v>na</v>
      </c>
      <c r="J33" s="341">
        <f>IFERROR('6f'!J33/'6f'!J33*100, "na")</f>
        <v>100</v>
      </c>
      <c r="K33" s="342">
        <f>IFERROR('6f'!K33/'6f'!K33*100, "na")</f>
        <v>100</v>
      </c>
      <c r="L33" s="342">
        <f>IFERROR('6f'!L33/'6f'!L33*100, "na")</f>
        <v>100</v>
      </c>
      <c r="M33" s="343">
        <f>IFERROR('6f'!M33/'6f'!M33*100, "na")</f>
        <v>100</v>
      </c>
    </row>
    <row r="34" spans="1:13">
      <c r="A34" s="57">
        <f>A33+1</f>
        <v>2009</v>
      </c>
      <c r="B34" s="85">
        <f>IFERROR('6f'!B34/'6f'!J34*100, "na")</f>
        <v>47.030978228750762</v>
      </c>
      <c r="C34" s="86">
        <f>IFERROR('6f'!C34/'6f'!K34*100, "na")</f>
        <v>36.182449251628015</v>
      </c>
      <c r="D34" s="86">
        <f>IFERROR('6f'!D34/'6f'!L34*100, "na")</f>
        <v>274.75112493325759</v>
      </c>
      <c r="E34" s="87">
        <f>IFERROR('6f'!E34/'6f'!M34*100, "na")</f>
        <v>86.46135742027883</v>
      </c>
      <c r="F34" s="216" t="str">
        <f>IFERROR('6f'!F34/'6f'!N34*100, "na")</f>
        <v>na</v>
      </c>
      <c r="G34" s="143" t="str">
        <f>IFERROR('6f'!G34/'6f'!O34*100, "na")</f>
        <v>na</v>
      </c>
      <c r="H34" s="143" t="str">
        <f>IFERROR('6f'!H34/'6f'!P34*100, "na")</f>
        <v>na</v>
      </c>
      <c r="I34" s="217" t="str">
        <f>IFERROR('6f'!I34/'6f'!Q34*100, "na")</f>
        <v>na</v>
      </c>
      <c r="J34" s="341">
        <f>IFERROR('6f'!J34/'6f'!J34*100, "na")</f>
        <v>100</v>
      </c>
      <c r="K34" s="342">
        <f>IFERROR('6f'!K34/'6f'!K34*100, "na")</f>
        <v>100</v>
      </c>
      <c r="L34" s="342">
        <f>IFERROR('6f'!L34/'6f'!L34*100, "na")</f>
        <v>100</v>
      </c>
      <c r="M34" s="343">
        <f>IFERROR('6f'!M34/'6f'!M34*100, "na")</f>
        <v>100</v>
      </c>
    </row>
    <row r="35" spans="1:13">
      <c r="A35" s="58">
        <f t="shared" ref="A35" si="0">A34+1</f>
        <v>2010</v>
      </c>
      <c r="B35" s="88">
        <f>IFERROR('6f'!B35/'6f'!J35*100, "na")</f>
        <v>44.890962547058137</v>
      </c>
      <c r="C35" s="89">
        <f>IFERROR('6f'!C35/'6f'!K35*100, "na")</f>
        <v>34.83475348467428</v>
      </c>
      <c r="D35" s="89">
        <f>IFERROR('6f'!D35/'6f'!L35*100, "na")</f>
        <v>261.319247963647</v>
      </c>
      <c r="E35" s="90">
        <f>IFERROR('6f'!E35/'6f'!M35*100, "na")</f>
        <v>82.872579726527533</v>
      </c>
      <c r="F35" s="234" t="str">
        <f>IFERROR('6f'!F35/'6f'!N35*100, "na")</f>
        <v>na</v>
      </c>
      <c r="G35" s="215" t="str">
        <f>IFERROR('6f'!G35/'6f'!O35*100, "na")</f>
        <v>na</v>
      </c>
      <c r="H35" s="215" t="str">
        <f>IFERROR('6f'!H35/'6f'!P35*100, "na")</f>
        <v>na</v>
      </c>
      <c r="I35" s="235" t="str">
        <f>IFERROR('6f'!I35/'6f'!Q35*100, "na")</f>
        <v>na</v>
      </c>
      <c r="J35" s="344">
        <f>IFERROR('6f'!J35/'6f'!J35*100, "na")</f>
        <v>100</v>
      </c>
      <c r="K35" s="345">
        <f>IFERROR('6f'!K35/'6f'!K35*100, "na")</f>
        <v>100</v>
      </c>
      <c r="L35" s="345">
        <f>IFERROR('6f'!L35/'6f'!L35*100, "na")</f>
        <v>100</v>
      </c>
      <c r="M35" s="346">
        <f>IFERROR('6f'!M35/'6f'!M35*100,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228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80" orientation="landscape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71"/>
  <dimension ref="A1:M43"/>
  <sheetViews>
    <sheetView view="pageBreakPreview" zoomScale="60" zoomScaleNormal="100" workbookViewId="0">
      <selection activeCell="A43" sqref="A43"/>
    </sheetView>
  </sheetViews>
  <sheetFormatPr defaultRowHeight="15"/>
  <cols>
    <col min="1" max="1" width="11.42578125" customWidth="1"/>
    <col min="2" max="2" width="10.5703125" customWidth="1"/>
    <col min="4" max="4" width="19.140625" customWidth="1"/>
    <col min="5" max="5" width="13.5703125" customWidth="1"/>
    <col min="6" max="6" width="10.85546875" customWidth="1"/>
    <col min="8" max="8" width="18.85546875" customWidth="1"/>
    <col min="9" max="9" width="11.42578125" customWidth="1"/>
    <col min="10" max="10" width="10.85546875" customWidth="1"/>
    <col min="12" max="12" width="17.5703125" customWidth="1"/>
    <col min="13" max="13" width="15.28515625" customWidth="1"/>
  </cols>
  <sheetData>
    <row r="1" spans="1:13">
      <c r="A1" s="398" t="s">
        <v>156</v>
      </c>
      <c r="B1" s="398"/>
      <c r="C1" s="398"/>
      <c r="D1" s="398"/>
      <c r="E1" s="398"/>
      <c r="F1" s="398"/>
      <c r="G1" s="398"/>
      <c r="H1" s="398"/>
      <c r="I1" s="272"/>
      <c r="J1" s="1"/>
      <c r="K1" s="1"/>
      <c r="L1" s="1"/>
      <c r="M1" s="1"/>
    </row>
    <row r="2" spans="1:13">
      <c r="A2" s="398"/>
      <c r="B2" s="398"/>
      <c r="C2" s="398"/>
      <c r="D2" s="398"/>
      <c r="E2" s="398"/>
      <c r="F2" s="398"/>
      <c r="G2" s="398"/>
      <c r="H2" s="398"/>
      <c r="I2" s="272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A5" s="61"/>
      <c r="B5" s="273" t="s">
        <v>0</v>
      </c>
      <c r="C5" s="274" t="s">
        <v>1</v>
      </c>
      <c r="D5" s="274" t="s">
        <v>2</v>
      </c>
      <c r="E5" s="275" t="s">
        <v>72</v>
      </c>
      <c r="F5" s="273" t="s">
        <v>0</v>
      </c>
      <c r="G5" s="274" t="s">
        <v>1</v>
      </c>
      <c r="H5" s="274" t="s">
        <v>2</v>
      </c>
      <c r="I5" s="275" t="s">
        <v>72</v>
      </c>
      <c r="J5" s="274" t="s">
        <v>39</v>
      </c>
      <c r="K5" s="274" t="s">
        <v>41</v>
      </c>
      <c r="L5" s="274" t="s">
        <v>40</v>
      </c>
      <c r="M5" s="275" t="s">
        <v>72</v>
      </c>
    </row>
    <row r="6" spans="1:13">
      <c r="A6" s="64" t="s">
        <v>6</v>
      </c>
      <c r="B6" s="37">
        <f>IFERROR('6a'!B6/'6b'!$B5*100, "na")</f>
        <v>9.568988075003676E-2</v>
      </c>
      <c r="C6" s="34">
        <f>IFERROR('6a'!C6/'6b'!$B5*100, "na")</f>
        <v>5.5420169059180662</v>
      </c>
      <c r="D6" s="34">
        <f>IFERROR('6a'!D6/'6b'!$B5*100, "na")</f>
        <v>2.1831623030247451</v>
      </c>
      <c r="E6" s="34">
        <f>IFERROR('6a'!E6/'6b'!$B5*100, "na")</f>
        <v>7.820869089692847</v>
      </c>
      <c r="F6" s="37">
        <f>IFERROR('6a'!F6/'6b'!$C5*100, "na")</f>
        <v>1.5765389295038301E-2</v>
      </c>
      <c r="G6" s="229">
        <f>IFERROR('6a'!G6/'6b'!$C5*100, "na")</f>
        <v>0.15137646101374003</v>
      </c>
      <c r="H6" s="34">
        <f>IFERROR('6a'!H6/'6b'!$C5*100, "na")</f>
        <v>9.548288986188048</v>
      </c>
      <c r="I6" s="34">
        <f>IFERROR('6a'!I6/'6b'!$C5*100, "na")</f>
        <v>9.7154308364968252</v>
      </c>
      <c r="J6" s="37" t="str">
        <f>IFERROR('6a'!J6/'6b'!$D5*100, "na")</f>
        <v>na</v>
      </c>
      <c r="K6" s="30" t="str">
        <f>IFERROR('6a'!K6/'6b'!$D5*100, "na")</f>
        <v>na</v>
      </c>
      <c r="L6" s="30" t="str">
        <f>IFERROR('6a'!L6/'6b'!$D5*100, "na")</f>
        <v>na</v>
      </c>
      <c r="M6" s="36" t="str">
        <f>IFERROR('6a'!M6/'6b'!$D5*100, "na")</f>
        <v>na</v>
      </c>
    </row>
    <row r="7" spans="1:13">
      <c r="A7" s="65" t="s">
        <v>7</v>
      </c>
      <c r="B7" s="37">
        <f>IFERROR('6a'!B7/'6b'!$B6*100, "na")</f>
        <v>5.0315253111111848E-3</v>
      </c>
      <c r="C7" s="34">
        <f>IFERROR('6a'!C7/'6b'!$B6*100, "na")</f>
        <v>1.2563795055424898</v>
      </c>
      <c r="D7" s="34">
        <f>IFERROR('6a'!D7/'6b'!$B6*100, "na")</f>
        <v>3.2632462318788065</v>
      </c>
      <c r="E7" s="34">
        <f>IFERROR('6a'!E7/'6b'!$B6*100, "na")</f>
        <v>4.5246572627324078</v>
      </c>
      <c r="F7" s="176">
        <f>IFERROR('6a'!F7/'6b'!$C6*100, "na")</f>
        <v>1.2701715670429027E-2</v>
      </c>
      <c r="G7" s="229">
        <f>IFERROR('6a'!G7/'6b'!$C6*100, "na")</f>
        <v>0.24791186467628068</v>
      </c>
      <c r="H7" s="34">
        <f>IFERROR('6a'!H7/'6b'!$C6*100, "na")</f>
        <v>15.197905339505716</v>
      </c>
      <c r="I7" s="34">
        <f>IFERROR('6a'!I7/'6b'!$C6*100, "na")</f>
        <v>15.458518919852427</v>
      </c>
      <c r="J7" s="37" t="str">
        <f>IFERROR('6a'!J7/'6b'!$D6*100, "na")</f>
        <v>na</v>
      </c>
      <c r="K7" s="34" t="str">
        <f>IFERROR('6a'!K7/'6b'!$D6*100, "na")</f>
        <v>na</v>
      </c>
      <c r="L7" s="34" t="str">
        <f>IFERROR('6a'!L7/'6b'!$D6*100, "na")</f>
        <v>na</v>
      </c>
      <c r="M7" s="38" t="str">
        <f>IFERROR('6a'!M7/'6b'!$D6*100, "na")</f>
        <v>na</v>
      </c>
    </row>
    <row r="8" spans="1:13">
      <c r="A8" s="65" t="s">
        <v>8</v>
      </c>
      <c r="B8" s="37">
        <f>IFERROR('6a'!B8/'6b'!$B7*100, "na")</f>
        <v>5.0074935498920434E-2</v>
      </c>
      <c r="C8" s="34">
        <f>IFERROR('6a'!C8/'6b'!$B7*100, "na")</f>
        <v>1.359027527392404</v>
      </c>
      <c r="D8" s="34">
        <f>IFERROR('6a'!D8/'6b'!$B7*100, "na")</f>
        <v>5.7231825936836271</v>
      </c>
      <c r="E8" s="34">
        <f>IFERROR('6a'!E8/'6b'!$B7*100, "na")</f>
        <v>7.1322850565749523</v>
      </c>
      <c r="F8" s="176">
        <f>IFERROR('6a'!F8/'6b'!$C7*100, "na")</f>
        <v>3.2860605087953192E-3</v>
      </c>
      <c r="G8" s="229">
        <f>IFERROR('6a'!G8/'6b'!$C7*100, "na")</f>
        <v>4.3203176872150112E-2</v>
      </c>
      <c r="H8" s="34">
        <f>IFERROR('6a'!H8/'6b'!$C7*100, "na")</f>
        <v>9.9569077627399327</v>
      </c>
      <c r="I8" s="34">
        <f>IFERROR('6a'!I8/'6b'!$C7*100, "na")</f>
        <v>10.003397000120879</v>
      </c>
      <c r="J8" s="37" t="str">
        <f>IFERROR('6a'!J8/'6b'!$D7*100, "na")</f>
        <v>na</v>
      </c>
      <c r="K8" s="34" t="str">
        <f>IFERROR('6a'!K8/'6b'!$D7*100, "na")</f>
        <v>na</v>
      </c>
      <c r="L8" s="34" t="str">
        <f>IFERROR('6a'!L8/'6b'!$D7*100, "na")</f>
        <v>na</v>
      </c>
      <c r="M8" s="38" t="str">
        <f>IFERROR('6a'!M8/'6b'!$D7*100, "na")</f>
        <v>na</v>
      </c>
    </row>
    <row r="9" spans="1:13">
      <c r="A9" s="65" t="s">
        <v>9</v>
      </c>
      <c r="B9" s="37">
        <f>IFERROR('6a'!B9/'6b'!$B8*100, "na")</f>
        <v>0.12033816558185524</v>
      </c>
      <c r="C9" s="34">
        <f>IFERROR('6a'!C9/'6b'!$B8*100, "na")</f>
        <v>2.3300447864362877</v>
      </c>
      <c r="D9" s="34">
        <f>IFERROR('6a'!D9/'6b'!$B8*100, "na")</f>
        <v>13.604051774379316</v>
      </c>
      <c r="E9" s="34">
        <f>IFERROR('6a'!E9/'6b'!$B8*100, "na")</f>
        <v>16.05443472639746</v>
      </c>
      <c r="F9" s="176">
        <f>IFERROR('6a'!F9/'6b'!$C8*100, "na")</f>
        <v>8.6473266735820325E-3</v>
      </c>
      <c r="G9" s="229">
        <f>IFERROR('6a'!G9/'6b'!$C8*100, "na")</f>
        <v>5.9736512857913635E-2</v>
      </c>
      <c r="H9" s="34">
        <f>IFERROR('6a'!H9/'6b'!$C8*100, "na")</f>
        <v>13.361395928091833</v>
      </c>
      <c r="I9" s="34">
        <f>IFERROR('6a'!I9/'6b'!$C8*100, "na")</f>
        <v>13.429779767623328</v>
      </c>
      <c r="J9" s="37" t="str">
        <f>IFERROR('6a'!J9/'6b'!$D8*100, "na")</f>
        <v>na</v>
      </c>
      <c r="K9" s="34" t="str">
        <f>IFERROR('6a'!K9/'6b'!$D8*100, "na")</f>
        <v>na</v>
      </c>
      <c r="L9" s="34" t="str">
        <f>IFERROR('6a'!L9/'6b'!$D8*100, "na")</f>
        <v>na</v>
      </c>
      <c r="M9" s="38" t="str">
        <f>IFERROR('6a'!M9/'6b'!$D8*100, "na")</f>
        <v>na</v>
      </c>
    </row>
    <row r="10" spans="1:13">
      <c r="A10" s="65" t="s">
        <v>10</v>
      </c>
      <c r="B10" s="37">
        <f>IFERROR('6a'!B10/'6b'!$B9*100, "na")</f>
        <v>0.1479286754463405</v>
      </c>
      <c r="C10" s="34">
        <f>IFERROR('6a'!C10/'6b'!$B9*100, "na")</f>
        <v>2.7887717220108459</v>
      </c>
      <c r="D10" s="34">
        <f>IFERROR('6a'!D10/'6b'!$B9*100, "na")</f>
        <v>12.650983233435714</v>
      </c>
      <c r="E10" s="34">
        <f>IFERROR('6a'!E10/'6b'!$B9*100, "na")</f>
        <v>15.587683630892899</v>
      </c>
      <c r="F10" s="176">
        <f>IFERROR('6a'!F10/'6b'!$C9*100, "na")</f>
        <v>8.1161380809333401E-3</v>
      </c>
      <c r="G10" s="229">
        <f>IFERROR('6a'!G10/'6b'!$C9*100, "na")</f>
        <v>7.3706427378128658E-2</v>
      </c>
      <c r="H10" s="34">
        <f>IFERROR('6a'!H10/'6b'!$C9*100, "na")</f>
        <v>11.753012748655802</v>
      </c>
      <c r="I10" s="34">
        <f>IFERROR('6a'!I10/'6b'!$C9*100, "na")</f>
        <v>11.834835314114862</v>
      </c>
      <c r="J10" s="37" t="str">
        <f>IFERROR('6a'!J10/'6b'!$D9*100, "na")</f>
        <v>na</v>
      </c>
      <c r="K10" s="34" t="str">
        <f>IFERROR('6a'!K10/'6b'!$D9*100, "na")</f>
        <v>na</v>
      </c>
      <c r="L10" s="34" t="str">
        <f>IFERROR('6a'!L10/'6b'!$D9*100, "na")</f>
        <v>na</v>
      </c>
      <c r="M10" s="38" t="str">
        <f>IFERROR('6a'!M10/'6b'!$D9*100, "na")</f>
        <v>na</v>
      </c>
    </row>
    <row r="11" spans="1:13">
      <c r="A11" s="65" t="s">
        <v>11</v>
      </c>
      <c r="B11" s="37">
        <f>IFERROR('6a'!B11/'6b'!$B10*100, "na")</f>
        <v>0.27857853065786425</v>
      </c>
      <c r="C11" s="34">
        <f>IFERROR('6a'!C11/'6b'!$B10*100, "na")</f>
        <v>4.2031179628572257</v>
      </c>
      <c r="D11" s="34">
        <f>IFERROR('6a'!D11/'6b'!$B10*100, "na")</f>
        <v>18.253386767287736</v>
      </c>
      <c r="E11" s="34">
        <f>IFERROR('6a'!E11/'6b'!$B10*100, "na")</f>
        <v>22.735083260802831</v>
      </c>
      <c r="F11" s="176">
        <f>IFERROR('6a'!F11/'6b'!$C10*100, "na")</f>
        <v>1.0136425107922998E-2</v>
      </c>
      <c r="G11" s="229">
        <f>IFERROR('6a'!G11/'6b'!$C10*100, "na")</f>
        <v>9.5123115712063111E-2</v>
      </c>
      <c r="H11" s="34">
        <f>IFERROR('6a'!H11/'6b'!$C10*100, "na")</f>
        <v>11.865305475154319</v>
      </c>
      <c r="I11" s="34">
        <f>IFERROR('6a'!I11/'6b'!$C10*100, "na")</f>
        <v>11.970565015974307</v>
      </c>
      <c r="J11" s="37" t="str">
        <f>IFERROR('6a'!J11/'6b'!$D10*100, "na")</f>
        <v>na</v>
      </c>
      <c r="K11" s="34" t="str">
        <f>IFERROR('6a'!K11/'6b'!$D10*100, "na")</f>
        <v>na</v>
      </c>
      <c r="L11" s="34" t="str">
        <f>IFERROR('6a'!L11/'6b'!$D10*100, "na")</f>
        <v>na</v>
      </c>
      <c r="M11" s="38" t="str">
        <f>IFERROR('6a'!M11/'6b'!$D10*100, "na")</f>
        <v>na</v>
      </c>
    </row>
    <row r="12" spans="1:13">
      <c r="A12" s="65" t="s">
        <v>12</v>
      </c>
      <c r="B12" s="37">
        <f>IFERROR('6a'!B12/'6b'!$B11*100, "na")</f>
        <v>0.36676331609814733</v>
      </c>
      <c r="C12" s="34">
        <f>IFERROR('6a'!C12/'6b'!$B11*100, "na")</f>
        <v>2.8104659638658318</v>
      </c>
      <c r="D12" s="34">
        <f>IFERROR('6a'!D12/'6b'!$B11*100, "na")</f>
        <v>6.7565070754859153</v>
      </c>
      <c r="E12" s="34">
        <f>IFERROR('6a'!E12/'6b'!$B11*100, "na")</f>
        <v>9.933736355449895</v>
      </c>
      <c r="F12" s="176">
        <f>IFERROR('6a'!F12/'6b'!$C11*100, "na")</f>
        <v>3.5105252541135591E-2</v>
      </c>
      <c r="G12" s="229">
        <f>IFERROR('6a'!G12/'6b'!$C11*100, "na")</f>
        <v>0.15463212332853246</v>
      </c>
      <c r="H12" s="34">
        <f>IFERROR('6a'!H12/'6b'!$C11*100, "na")</f>
        <v>13.147815752510752</v>
      </c>
      <c r="I12" s="34">
        <f>IFERROR('6a'!I12/'6b'!$C11*100, "na")</f>
        <v>13.337553128380419</v>
      </c>
      <c r="J12" s="37">
        <f>IFERROR('6a'!J12/'6b'!$D11*100, "na")</f>
        <v>0.62037864916842966</v>
      </c>
      <c r="K12" s="34">
        <f>IFERROR('6a'!K12/'6b'!$D11*100, "na")</f>
        <v>4.696075209257387</v>
      </c>
      <c r="L12" s="34">
        <f>IFERROR('6a'!L12/'6b'!$D11*100, "na")</f>
        <v>6.3102609171820019</v>
      </c>
      <c r="M12" s="125">
        <f>IFERROR('6a'!M12/'6b'!$D11*100, "na")</f>
        <v>11.62671477560782</v>
      </c>
    </row>
    <row r="13" spans="1:13">
      <c r="A13" s="65" t="s">
        <v>13</v>
      </c>
      <c r="B13" s="37">
        <f>IFERROR('6a'!B13/'6b'!$B12*100, "na")</f>
        <v>0.44472559377123416</v>
      </c>
      <c r="C13" s="34">
        <f>IFERROR('6a'!C13/'6b'!$B12*100, "na")</f>
        <v>3.5625888693145584</v>
      </c>
      <c r="D13" s="34">
        <f>IFERROR('6a'!D13/'6b'!$B12*100, "na")</f>
        <v>11.33273921871578</v>
      </c>
      <c r="E13" s="34">
        <f>IFERROR('6a'!E13/'6b'!$B12*100, "na")</f>
        <v>15.340053681801571</v>
      </c>
      <c r="F13" s="176">
        <f>IFERROR('6a'!F13/'6b'!$C12*100, "na")</f>
        <v>0.11062767953523402</v>
      </c>
      <c r="G13" s="229">
        <f>IFERROR('6a'!G13/'6b'!$C12*100, "na")</f>
        <v>0.50340683540257181</v>
      </c>
      <c r="H13" s="34">
        <f>IFERROR('6a'!H13/'6b'!$C12*100, "na")</f>
        <v>15.59934389374083</v>
      </c>
      <c r="I13" s="34">
        <f>IFERROR('6a'!I13/'6b'!$C12*100, "na")</f>
        <v>16.213378408678636</v>
      </c>
      <c r="J13" s="37">
        <f>IFERROR('6a'!J13/'6b'!$D12*100, "na")</f>
        <v>0.5895331669072571</v>
      </c>
      <c r="K13" s="34">
        <f>IFERROR('6a'!K13/'6b'!$D12*100, "na")</f>
        <v>4.649769953933192</v>
      </c>
      <c r="L13" s="34">
        <f>IFERROR('6a'!L13/'6b'!$D12*100, "na")</f>
        <v>5.8410255185625868</v>
      </c>
      <c r="M13" s="125">
        <f>IFERROR('6a'!M13/'6b'!$D12*100, "na")</f>
        <v>11.080328639403035</v>
      </c>
    </row>
    <row r="14" spans="1:13">
      <c r="A14" s="65" t="s">
        <v>14</v>
      </c>
      <c r="B14" s="37">
        <f>IFERROR('6a'!B14/'6b'!$B13*100, "na")</f>
        <v>0.59926756194513631</v>
      </c>
      <c r="C14" s="34">
        <f>IFERROR('6a'!C14/'6b'!$B13*100, "na")</f>
        <v>5.2489193423681311</v>
      </c>
      <c r="D14" s="34">
        <f>IFERROR('6a'!D14/'6b'!$B13*100, "na")</f>
        <v>17.098717029271786</v>
      </c>
      <c r="E14" s="34">
        <f>IFERROR('6a'!E14/'6b'!$B13*100, "na")</f>
        <v>22.946903933585055</v>
      </c>
      <c r="F14" s="176">
        <f>IFERROR('6a'!F14/'6b'!$C13*100, "na")</f>
        <v>0.21077935419788468</v>
      </c>
      <c r="G14" s="229">
        <f>IFERROR('6a'!G14/'6b'!$C13*100, "na")</f>
        <v>1.3991760369393007</v>
      </c>
      <c r="H14" s="34">
        <f>IFERROR('6a'!H14/'6b'!$C13*100, "na")</f>
        <v>14.593082791754314</v>
      </c>
      <c r="I14" s="34">
        <f>IFERROR('6a'!I14/'6b'!$C13*100, "na")</f>
        <v>16.2030381828915</v>
      </c>
      <c r="J14" s="37">
        <f>IFERROR('6a'!J14/'6b'!$D13*100, "na")</f>
        <v>0.58040859905883901</v>
      </c>
      <c r="K14" s="34">
        <f>IFERROR('6a'!K14/'6b'!$D13*100, "na")</f>
        <v>4.8601670568889821</v>
      </c>
      <c r="L14" s="34">
        <f>IFERROR('6a'!L14/'6b'!$D13*100, "na")</f>
        <v>4.7244762499610884</v>
      </c>
      <c r="M14" s="125">
        <f>IFERROR('6a'!M14/'6b'!$D13*100, "na")</f>
        <v>10.165051905908909</v>
      </c>
    </row>
    <row r="15" spans="1:13">
      <c r="A15" s="65" t="s">
        <v>15</v>
      </c>
      <c r="B15" s="37">
        <f>IFERROR('6a'!B15/'6b'!$B14*100, "na")</f>
        <v>0.65215181370965358</v>
      </c>
      <c r="C15" s="34">
        <f>IFERROR('6a'!C15/'6b'!$B14*100, "na")</f>
        <v>6.4665602245077158</v>
      </c>
      <c r="D15" s="34">
        <f>IFERROR('6a'!D15/'6b'!$B14*100, "na")</f>
        <v>19.8899122216087</v>
      </c>
      <c r="E15" s="34">
        <f>IFERROR('6a'!E15/'6b'!$B14*100, "na")</f>
        <v>27.008624259826071</v>
      </c>
      <c r="F15" s="176">
        <f>IFERROR('6a'!F15/'6b'!$C14*100, "na")</f>
        <v>0.32372041493981968</v>
      </c>
      <c r="G15" s="229">
        <f>IFERROR('6a'!G15/'6b'!$C14*100, "na")</f>
        <v>2.5487206314082691</v>
      </c>
      <c r="H15" s="34">
        <f>IFERROR('6a'!H15/'6b'!$C14*100, "na")</f>
        <v>9.5806609129952154</v>
      </c>
      <c r="I15" s="34">
        <f>IFERROR('6a'!I15/'6b'!$C14*100, "na")</f>
        <v>12.453101959343302</v>
      </c>
      <c r="J15" s="37">
        <f>IFERROR('6a'!J15/'6b'!$D14*100, "na")</f>
        <v>0.64185137598879693</v>
      </c>
      <c r="K15" s="34">
        <f>IFERROR('6a'!K15/'6b'!$D14*100, "na")</f>
        <v>6.4310286966178118</v>
      </c>
      <c r="L15" s="34">
        <f>IFERROR('6a'!L15/'6b'!$D14*100, "na")</f>
        <v>5.4985455162372432</v>
      </c>
      <c r="M15" s="125">
        <f>IFERROR('6a'!M15/'6b'!$D14*100, "na")</f>
        <v>12.571425588843852</v>
      </c>
    </row>
    <row r="16" spans="1:13">
      <c r="A16" s="65" t="s">
        <v>16</v>
      </c>
      <c r="B16" s="37">
        <f>IFERROR('6a'!B16/'6b'!$B15*100, "na")</f>
        <v>0.61882168830364515</v>
      </c>
      <c r="C16" s="34">
        <f>IFERROR('6a'!C16/'6b'!$B15*100, "na")</f>
        <v>7.0753051139431946</v>
      </c>
      <c r="D16" s="34">
        <f>IFERROR('6a'!D16/'6b'!$B15*100, "na")</f>
        <v>16.377474201464825</v>
      </c>
      <c r="E16" s="34">
        <f>IFERROR('6a'!E16/'6b'!$B15*100, "na")</f>
        <v>24.071601003711667</v>
      </c>
      <c r="F16" s="176">
        <f>IFERROR('6a'!F16/'6b'!$C15*100, "na")</f>
        <v>0.36363608753261184</v>
      </c>
      <c r="G16" s="229">
        <f>IFERROR('6a'!G16/'6b'!$C15*100, "na")</f>
        <v>3.3947126759306423</v>
      </c>
      <c r="H16" s="34">
        <f>IFERROR('6a'!H16/'6b'!$C15*100, "na")</f>
        <v>6.3270391511997595</v>
      </c>
      <c r="I16" s="34">
        <f>IFERROR('6a'!I16/'6b'!$C15*100, "na")</f>
        <v>10.085387914663013</v>
      </c>
      <c r="J16" s="37">
        <f>IFERROR('6a'!J16/'6b'!$D15*100, "na")</f>
        <v>0.80161163630205179</v>
      </c>
      <c r="K16" s="34">
        <f>IFERROR('6a'!K16/'6b'!$D15*100, "na")</f>
        <v>8.3165140169632679</v>
      </c>
      <c r="L16" s="34">
        <f>IFERROR('6a'!L16/'6b'!$D15*100, "na")</f>
        <v>6.0408915145721158</v>
      </c>
      <c r="M16" s="125">
        <f>IFERROR('6a'!M16/'6b'!$D15*100, "na")</f>
        <v>15.159017167837439</v>
      </c>
    </row>
    <row r="17" spans="1:13">
      <c r="A17" s="65" t="s">
        <v>17</v>
      </c>
      <c r="B17" s="37">
        <f>IFERROR('6a'!B17/'6b'!$B16*100, "na")</f>
        <v>0.53078756087806067</v>
      </c>
      <c r="C17" s="34">
        <f>IFERROR('6a'!C17/'6b'!$B16*100, "na")</f>
        <v>4.8266897043689134</v>
      </c>
      <c r="D17" s="34">
        <f>IFERROR('6a'!D17/'6b'!$B16*100, "na")</f>
        <v>25.37209792497271</v>
      </c>
      <c r="E17" s="34">
        <f>IFERROR('6a'!E17/'6b'!$B16*100, "na")</f>
        <v>30.729575190219684</v>
      </c>
      <c r="F17" s="176">
        <f>IFERROR('6a'!F17/'6b'!$C16*100, "na")</f>
        <v>0.38497593080584852</v>
      </c>
      <c r="G17" s="229">
        <f>IFERROR('6a'!G17/'6b'!$C16*100, "na")</f>
        <v>2.8694390957784508</v>
      </c>
      <c r="H17" s="34">
        <f>IFERROR('6a'!H17/'6b'!$C16*100, "na")</f>
        <v>2.3489640426671938</v>
      </c>
      <c r="I17" s="34">
        <f>IFERROR('6a'!I17/'6b'!$C16*100, "na")</f>
        <v>5.6033790692514938</v>
      </c>
      <c r="J17" s="37">
        <f>IFERROR('6a'!J17/'6b'!$D16*100, "na")</f>
        <v>0.96251979117364261</v>
      </c>
      <c r="K17" s="34">
        <f>IFERROR('6a'!K17/'6b'!$D16*100, "na")</f>
        <v>8.6545688312319449</v>
      </c>
      <c r="L17" s="34">
        <f>IFERROR('6a'!L17/'6b'!$D16*100, "na")</f>
        <v>5.7070042714712343</v>
      </c>
      <c r="M17" s="125">
        <f>IFERROR('6a'!M17/'6b'!$D16*100, "na")</f>
        <v>15.32409289387682</v>
      </c>
    </row>
    <row r="18" spans="1:13">
      <c r="A18" s="65" t="s">
        <v>18</v>
      </c>
      <c r="B18" s="37">
        <f>IFERROR('6a'!B18/'6b'!$B17*100, "na")</f>
        <v>0.96784780437877327</v>
      </c>
      <c r="C18" s="34">
        <f>IFERROR('6a'!C18/'6b'!$B17*100, "na")</f>
        <v>7.2187582512106383</v>
      </c>
      <c r="D18" s="34">
        <f>IFERROR('6a'!D18/'6b'!$B17*100, "na")</f>
        <v>26.845695645966757</v>
      </c>
      <c r="E18" s="34">
        <f>IFERROR('6a'!E18/'6b'!$B17*100, "na")</f>
        <v>35.032301701556165</v>
      </c>
      <c r="F18" s="176">
        <f>IFERROR('6a'!F18/'6b'!$C17*100, "na")</f>
        <v>1.0676607440654124</v>
      </c>
      <c r="G18" s="229">
        <f>IFERROR('6a'!G18/'6b'!$C17*100, "na")</f>
        <v>8.3446382616467112</v>
      </c>
      <c r="H18" s="34">
        <f>IFERROR('6a'!H18/'6b'!$C17*100, "na")</f>
        <v>4.4917880188780703</v>
      </c>
      <c r="I18" s="34">
        <f>IFERROR('6a'!I18/'6b'!$C17*100, "na")</f>
        <v>13.904087024590195</v>
      </c>
      <c r="J18" s="37">
        <f>IFERROR('6a'!J18/'6b'!$D17*100, "na")</f>
        <v>0.84877230506182866</v>
      </c>
      <c r="K18" s="34">
        <f>IFERROR('6a'!K18/'6b'!$D17*100, "na")</f>
        <v>6.6424375437613676</v>
      </c>
      <c r="L18" s="34">
        <f>IFERROR('6a'!L18/'6b'!$D17*100, "na")</f>
        <v>4.1676781086335914</v>
      </c>
      <c r="M18" s="125">
        <f>IFERROR('6a'!M18/'6b'!$D17*100, "na")</f>
        <v>11.658887957456789</v>
      </c>
    </row>
    <row r="19" spans="1:13">
      <c r="A19" s="65" t="s">
        <v>19</v>
      </c>
      <c r="B19" s="37">
        <f>IFERROR('6a'!B19/'6b'!$B18*100, "na")</f>
        <v>1.1482725089027324</v>
      </c>
      <c r="C19" s="34">
        <f>IFERROR('6a'!C19/'6b'!$B18*100, "na")</f>
        <v>10.563628616398855</v>
      </c>
      <c r="D19" s="34">
        <f>IFERROR('6a'!D19/'6b'!$B18*100, "na")</f>
        <v>38.907017651878824</v>
      </c>
      <c r="E19" s="34">
        <f>IFERROR('6a'!E19/'6b'!$B18*100, "na")</f>
        <v>50.618918777180411</v>
      </c>
      <c r="F19" s="176">
        <f>IFERROR('6a'!F19/'6b'!$C18*100, "na")</f>
        <v>1.2409574211998002</v>
      </c>
      <c r="G19" s="229">
        <f>IFERROR('6a'!G19/'6b'!$C18*100, "na")</f>
        <v>11.176628391083888</v>
      </c>
      <c r="H19" s="34">
        <f>IFERROR('6a'!H19/'6b'!$C18*100, "na")</f>
        <v>5.9109895066222773</v>
      </c>
      <c r="I19" s="34">
        <f>IFERROR('6a'!I19/'6b'!$C18*100, "na")</f>
        <v>18.328575318905965</v>
      </c>
      <c r="J19" s="37">
        <f>IFERROR('6a'!J19/'6b'!$D18*100, "na")</f>
        <v>0.89991958417304718</v>
      </c>
      <c r="K19" s="34">
        <f>IFERROR('6a'!K19/'6b'!$D18*100, "na")</f>
        <v>6.253937695306119</v>
      </c>
      <c r="L19" s="34">
        <f>IFERROR('6a'!L19/'6b'!$D18*100, "na")</f>
        <v>4.230855795995633</v>
      </c>
      <c r="M19" s="125">
        <f>IFERROR('6a'!M19/'6b'!$D18*100, "na")</f>
        <v>11.384713075474799</v>
      </c>
    </row>
    <row r="20" spans="1:13">
      <c r="A20" s="65" t="s">
        <v>20</v>
      </c>
      <c r="B20" s="37">
        <f>IFERROR('6a'!B20/'6b'!$B19*100, "na")</f>
        <v>1.3946323116404118</v>
      </c>
      <c r="C20" s="34">
        <f>IFERROR('6a'!C20/'6b'!$B19*100, "na")</f>
        <v>10.28435747540858</v>
      </c>
      <c r="D20" s="34">
        <f>IFERROR('6a'!D20/'6b'!$B19*100, "na")</f>
        <v>45.781379196684213</v>
      </c>
      <c r="E20" s="34">
        <f>IFERROR('6a'!E20/'6b'!$B19*100, "na")</f>
        <v>57.460368983733204</v>
      </c>
      <c r="F20" s="176">
        <f>IFERROR('6a'!F20/'6b'!$C19*100, "na")</f>
        <v>0.96942717249748833</v>
      </c>
      <c r="G20" s="229">
        <f>IFERROR('6a'!G20/'6b'!$C19*100, "na")</f>
        <v>6.0421393981948821</v>
      </c>
      <c r="H20" s="34">
        <f>IFERROR('6a'!H20/'6b'!$C19*100, "na")</f>
        <v>3.5596281911372367</v>
      </c>
      <c r="I20" s="34">
        <f>IFERROR('6a'!I20/'6b'!$C19*100, "na")</f>
        <v>10.571194761829608</v>
      </c>
      <c r="J20" s="37">
        <f>IFERROR('6a'!J20/'6b'!$D19*100, "na")</f>
        <v>1.2907811547700143</v>
      </c>
      <c r="K20" s="34">
        <f>IFERROR('6a'!K20/'6b'!$D19*100, "na")</f>
        <v>6.5435336802810173</v>
      </c>
      <c r="L20" s="34">
        <f>IFERROR('6a'!L20/'6b'!$D19*100, "na")</f>
        <v>4.6314120762563871</v>
      </c>
      <c r="M20" s="125">
        <f>IFERROR('6a'!M20/'6b'!$D19*100, "na")</f>
        <v>12.465726911307417</v>
      </c>
    </row>
    <row r="21" spans="1:13">
      <c r="A21" s="65" t="s">
        <v>21</v>
      </c>
      <c r="B21" s="37">
        <f>IFERROR('6a'!B21/'6b'!$B20*100, "na")</f>
        <v>1.7074278819936086</v>
      </c>
      <c r="C21" s="34">
        <f>IFERROR('6a'!C21/'6b'!$B20*100, "na")</f>
        <v>10.503207208795253</v>
      </c>
      <c r="D21" s="34">
        <f>IFERROR('6a'!D21/'6b'!$B20*100, "na")</f>
        <v>44.899473219039614</v>
      </c>
      <c r="E21" s="34">
        <f>IFERROR('6a'!E21/'6b'!$B20*100, "na")</f>
        <v>57.110108309828469</v>
      </c>
      <c r="F21" s="176">
        <f>IFERROR('6a'!F21/'6b'!$C20*100, "na")</f>
        <v>0.89813712923728461</v>
      </c>
      <c r="G21" s="229">
        <f>IFERROR('6a'!G21/'6b'!$C20*100, "na")</f>
        <v>4.408800832679912</v>
      </c>
      <c r="H21" s="34">
        <f>IFERROR('6a'!H21/'6b'!$C20*100, "na")</f>
        <v>2.6161590166786501</v>
      </c>
      <c r="I21" s="34">
        <f>IFERROR('6a'!I21/'6b'!$C20*100, "na")</f>
        <v>7.9230969785958463</v>
      </c>
      <c r="J21" s="37">
        <f>IFERROR('6a'!J21/'6b'!$D20*100, "na")</f>
        <v>1.5293088406079065</v>
      </c>
      <c r="K21" s="34">
        <f>IFERROR('6a'!K21/'6b'!$D20*100, "na")</f>
        <v>6.2846486145917702</v>
      </c>
      <c r="L21" s="34">
        <f>IFERROR('6a'!L21/'6b'!$D20*100, "na")</f>
        <v>4.3006396570719749</v>
      </c>
      <c r="M21" s="125">
        <f>IFERROR('6a'!M21/'6b'!$D20*100, "na")</f>
        <v>12.114597112271651</v>
      </c>
    </row>
    <row r="22" spans="1:13">
      <c r="A22" s="65" t="s">
        <v>22</v>
      </c>
      <c r="B22" s="37">
        <f>IFERROR('6a'!B22/'6b'!$B21*100, "na")</f>
        <v>2.6585007783892176</v>
      </c>
      <c r="C22" s="34">
        <f>IFERROR('6a'!C22/'6b'!$B21*100, "na")</f>
        <v>11.365702080271257</v>
      </c>
      <c r="D22" s="34">
        <f>IFERROR('6a'!D22/'6b'!$B21*100, "na")</f>
        <v>41.828733084605545</v>
      </c>
      <c r="E22" s="34">
        <f>IFERROR('6a'!E22/'6b'!$B21*100, "na")</f>
        <v>55.852935943266026</v>
      </c>
      <c r="F22" s="176">
        <f>IFERROR('6a'!F22/'6b'!$C21*100, "na")</f>
        <v>0.90358322961648707</v>
      </c>
      <c r="G22" s="229">
        <f>IFERROR('6a'!G22/'6b'!$C21*100, "na")</f>
        <v>3.2862182051602886</v>
      </c>
      <c r="H22" s="34">
        <f>IFERROR('6a'!H22/'6b'!$C21*100, "na")</f>
        <v>1.6227784675865917</v>
      </c>
      <c r="I22" s="34">
        <f>IFERROR('6a'!I22/'6b'!$C21*100, "na")</f>
        <v>5.8125799023633675</v>
      </c>
      <c r="J22" s="37">
        <f>IFERROR('6a'!J22/'6b'!$D21*100, "na")</f>
        <v>2.0094907087698766</v>
      </c>
      <c r="K22" s="34">
        <f>IFERROR('6a'!K22/'6b'!$D21*100, "na")</f>
        <v>7.3042570252689174</v>
      </c>
      <c r="L22" s="34">
        <f>IFERROR('6a'!L22/'6b'!$D21*100, "na")</f>
        <v>4.392485946885003</v>
      </c>
      <c r="M22" s="125">
        <f>IFERROR('6a'!M22/'6b'!$D21*100, "na")</f>
        <v>13.706233680923797</v>
      </c>
    </row>
    <row r="23" spans="1:13">
      <c r="A23" s="65" t="s">
        <v>23</v>
      </c>
      <c r="B23" s="37">
        <f>IFERROR('6a'!B23/'6b'!$B22*100, "na")</f>
        <v>2.5299050577860314</v>
      </c>
      <c r="C23" s="34">
        <f>IFERROR('6a'!C23/'6b'!$B22*100, "na")</f>
        <v>8.255686613857435</v>
      </c>
      <c r="D23" s="34">
        <f>IFERROR('6a'!D23/'6b'!$B22*100, "na")</f>
        <v>30.267858950210584</v>
      </c>
      <c r="E23" s="34">
        <f>IFERROR('6a'!E23/'6b'!$B22*100, "na")</f>
        <v>41.053450621854061</v>
      </c>
      <c r="F23" s="176">
        <f>IFERROR('6a'!F23/'6b'!$C22*100, "na")</f>
        <v>0.92125872013883936</v>
      </c>
      <c r="G23" s="229">
        <f>IFERROR('6a'!G23/'6b'!$C22*100, "na")</f>
        <v>2.6185017685978544</v>
      </c>
      <c r="H23" s="34">
        <f>IFERROR('6a'!H23/'6b'!$C22*100, "na")</f>
        <v>1.3063572484893495</v>
      </c>
      <c r="I23" s="34">
        <f>IFERROR('6a'!I23/'6b'!$C22*100, "na")</f>
        <v>4.8461177372260433</v>
      </c>
      <c r="J23" s="37">
        <f>IFERROR('6a'!J23/'6b'!$D22*100, "na")</f>
        <v>2.2662641154058183</v>
      </c>
      <c r="K23" s="34">
        <f>IFERROR('6a'!K23/'6b'!$D22*100, "na")</f>
        <v>6.8857710218573285</v>
      </c>
      <c r="L23" s="34">
        <f>IFERROR('6a'!L23/'6b'!$D22*100, "na")</f>
        <v>3.9567831177668324</v>
      </c>
      <c r="M23" s="125">
        <f>IFERROR('6a'!M23/'6b'!$D22*100, "na")</f>
        <v>13.108818255029977</v>
      </c>
    </row>
    <row r="24" spans="1:13">
      <c r="A24" s="65" t="s">
        <v>24</v>
      </c>
      <c r="B24" s="37">
        <f>IFERROR('6a'!B24/'6b'!$B23*100, "na")</f>
        <v>2.0891772999674507</v>
      </c>
      <c r="C24" s="34">
        <f>IFERROR('6a'!C24/'6b'!$B23*100, "na")</f>
        <v>6.4581866927108766</v>
      </c>
      <c r="D24" s="34">
        <f>IFERROR('6a'!D24/'6b'!$B23*100, "na")</f>
        <v>22.158631549543507</v>
      </c>
      <c r="E24" s="34">
        <f>IFERROR('6a'!E24/'6b'!$B23*100, "na")</f>
        <v>30.705995542221835</v>
      </c>
      <c r="F24" s="176">
        <f>IFERROR('6a'!F24/'6b'!$C23*100, "na")</f>
        <v>1.2919348621287017</v>
      </c>
      <c r="G24" s="229">
        <f>IFERROR('6a'!G24/'6b'!$C23*100, "na")</f>
        <v>3.6308665225521501</v>
      </c>
      <c r="H24" s="34">
        <f>IFERROR('6a'!H24/'6b'!$C23*100, "na")</f>
        <v>1.8590238448101377</v>
      </c>
      <c r="I24" s="34">
        <f>IFERROR('6a'!I24/'6b'!$C23*100, "na")</f>
        <v>6.7818252294909893</v>
      </c>
      <c r="J24" s="37">
        <f>IFERROR('6a'!J24/'6b'!$D23*100, "na")</f>
        <v>3.2811038332978972</v>
      </c>
      <c r="K24" s="34">
        <f>IFERROR('6a'!K24/'6b'!$D23*100, "na")</f>
        <v>8.6881443769844324</v>
      </c>
      <c r="L24" s="34">
        <f>IFERROR('6a'!L24/'6b'!$D23*100, "na")</f>
        <v>4.8144286254147923</v>
      </c>
      <c r="M24" s="125">
        <f>IFERROR('6a'!M24/'6b'!$D23*100, "na")</f>
        <v>16.783676835697122</v>
      </c>
    </row>
    <row r="25" spans="1:13">
      <c r="A25" s="65" t="s">
        <v>25</v>
      </c>
      <c r="B25" s="37">
        <f>IFERROR('6a'!B25/'6b'!$B24*100, "na")</f>
        <v>2.3390613125340973</v>
      </c>
      <c r="C25" s="34">
        <f>IFERROR('6a'!C25/'6b'!$B24*100, "na")</f>
        <v>7.3678309791806607</v>
      </c>
      <c r="D25" s="34">
        <f>IFERROR('6a'!D25/'6b'!$B24*100, "na")</f>
        <v>26.390324124719466</v>
      </c>
      <c r="E25" s="34">
        <f>IFERROR('6a'!E25/'6b'!$B24*100, "na")</f>
        <v>36.097216416434222</v>
      </c>
      <c r="F25" s="176">
        <f>IFERROR('6a'!F25/'6b'!$C24*100, "na")</f>
        <v>0.75658328868332658</v>
      </c>
      <c r="G25" s="229">
        <f>IFERROR('6a'!G25/'6b'!$C24*100, "na")</f>
        <v>1.8532130954102659</v>
      </c>
      <c r="H25" s="34">
        <f>IFERROR('6a'!H25/'6b'!$C24*100, "na")</f>
        <v>1.2016342455595457</v>
      </c>
      <c r="I25" s="34">
        <f>IFERROR('6a'!I25/'6b'!$C24*100, "na")</f>
        <v>3.8114306296531382</v>
      </c>
      <c r="J25" s="37">
        <f>IFERROR('6a'!J25/'6b'!$D24*100, "na")</f>
        <v>4.4276260527021867</v>
      </c>
      <c r="K25" s="34">
        <f>IFERROR('6a'!K25/'6b'!$D24*100, "na")</f>
        <v>11.02923910215504</v>
      </c>
      <c r="L25" s="34">
        <f>IFERROR('6a'!L25/'6b'!$D24*100, "na")</f>
        <v>6.981645027146703</v>
      </c>
      <c r="M25" s="125">
        <f>IFERROR('6a'!M25/'6b'!$D24*100, "na")</f>
        <v>22.438510182003931</v>
      </c>
    </row>
    <row r="26" spans="1:13">
      <c r="A26" s="65" t="s">
        <v>26</v>
      </c>
      <c r="B26" s="37">
        <f>IFERROR('6a'!B26/'6b'!$B25*100, "na")</f>
        <v>2.0266623517335405</v>
      </c>
      <c r="C26" s="34">
        <f>IFERROR('6a'!C26/'6b'!$B25*100, "na")</f>
        <v>6.4454333313633665</v>
      </c>
      <c r="D26" s="34">
        <f>IFERROR('6a'!D26/'6b'!$B25*100, "na")</f>
        <v>23.627041167588789</v>
      </c>
      <c r="E26" s="34">
        <f>IFERROR('6a'!E26/'6b'!$B25*100, "na")</f>
        <v>32.099136850685703</v>
      </c>
      <c r="F26" s="176">
        <f>IFERROR('6a'!F26/'6b'!$C25*100, "na")</f>
        <v>0.47522538669786135</v>
      </c>
      <c r="G26" s="229">
        <f>IFERROR('6a'!G26/'6b'!$C25*100, "na")</f>
        <v>0.99882869572059285</v>
      </c>
      <c r="H26" s="34">
        <f>IFERROR('6a'!H26/'6b'!$C25*100, "na")</f>
        <v>0.88969596058999112</v>
      </c>
      <c r="I26" s="34">
        <f>IFERROR('6a'!I26/'6b'!$C25*100, "na")</f>
        <v>2.3637500430084453</v>
      </c>
      <c r="J26" s="37">
        <f>IFERROR('6a'!J26/'6b'!$D25*100, "na")</f>
        <v>4.5502223824995696</v>
      </c>
      <c r="K26" s="34">
        <f>IFERROR('6a'!K26/'6b'!$D25*100, "na")</f>
        <v>11.208649683698196</v>
      </c>
      <c r="L26" s="34">
        <f>IFERROR('6a'!L26/'6b'!$D25*100, "na")</f>
        <v>6.4921591403433956</v>
      </c>
      <c r="M26" s="125">
        <f>IFERROR('6a'!M26/'6b'!$D25*100, "na")</f>
        <v>22.25103120654116</v>
      </c>
    </row>
    <row r="27" spans="1:13">
      <c r="A27" s="65" t="s">
        <v>27</v>
      </c>
      <c r="B27" s="37">
        <f>IFERROR('6a'!B27/'6b'!$B26*100, "na")</f>
        <v>1.176056338028169</v>
      </c>
      <c r="C27" s="34">
        <f>IFERROR('6a'!C27/'6b'!$B26*100, "na")</f>
        <v>2.4295774647887325</v>
      </c>
      <c r="D27" s="34">
        <f>IFERROR('6a'!D27/'6b'!$B26*100, "na")</f>
        <v>8.5985915492957741</v>
      </c>
      <c r="E27" s="34">
        <f>IFERROR('6a'!E27/'6b'!$B26*100, "na")</f>
        <v>12.204225352112676</v>
      </c>
      <c r="F27" s="176">
        <f>IFERROR('6a'!F27/'6b'!$C26*100, "na")</f>
        <v>0.74242424242424243</v>
      </c>
      <c r="G27" s="229">
        <f>IFERROR('6a'!G27/'6b'!$C26*100, "na")</f>
        <v>1.4242424242424243</v>
      </c>
      <c r="H27" s="34">
        <f>IFERROR('6a'!H27/'6b'!$C26*100, "na")</f>
        <v>1.6969696969696972</v>
      </c>
      <c r="I27" s="34">
        <f>IFERROR('6a'!I27/'6b'!$C26*100, "na")</f>
        <v>3.8636363636363633</v>
      </c>
      <c r="J27" s="37">
        <f>IFERROR('6a'!J27/'6b'!$D26*100, "na")</f>
        <v>4.7943086916176929</v>
      </c>
      <c r="K27" s="34">
        <f>IFERROR('6a'!K27/'6b'!$D26*100, "na")</f>
        <v>11.320754716981133</v>
      </c>
      <c r="L27" s="34">
        <f>IFERROR('6a'!L27/'6b'!$D26*100, "na")</f>
        <v>5.1778533869471079</v>
      </c>
      <c r="M27" s="125">
        <f>IFERROR('6a'!M27/'6b'!$D26*100, "na")</f>
        <v>21.292916795545931</v>
      </c>
    </row>
    <row r="28" spans="1:13">
      <c r="A28" s="65" t="s">
        <v>28</v>
      </c>
      <c r="B28" s="37">
        <f>IFERROR('6a'!B28/'6b'!$B27*100, "na")</f>
        <v>1.4775699548242289</v>
      </c>
      <c r="C28" s="34">
        <f>IFERROR('6a'!C28/'6b'!$B27*100, "na")</f>
        <v>3.0468061266648077</v>
      </c>
      <c r="D28" s="34">
        <f>IFERROR('6a'!D28/'6b'!$B27*100, "na")</f>
        <v>11.15331675816339</v>
      </c>
      <c r="E28" s="34">
        <f>IFERROR('6a'!E28/'6b'!$B27*100, "na")</f>
        <v>15.677692839652426</v>
      </c>
      <c r="F28" s="176">
        <f>IFERROR('6a'!F28/'6b'!$C27*100, "na")</f>
        <v>1.272860336084624</v>
      </c>
      <c r="G28" s="229">
        <f>IFERROR('6a'!G28/'6b'!$C27*100, "na")</f>
        <v>2.3415539817569426</v>
      </c>
      <c r="H28" s="34">
        <f>IFERROR('6a'!H28/'6b'!$C27*100, "na")</f>
        <v>2.7875329925795449</v>
      </c>
      <c r="I28" s="34">
        <f>IFERROR('6a'!I28/'6b'!$C27*100, "na")</f>
        <v>6.4019473104211109</v>
      </c>
      <c r="J28" s="37">
        <f>IFERROR('6a'!J28/'6b'!$D27*100, "na")</f>
        <v>4.5558070622061964</v>
      </c>
      <c r="K28" s="34">
        <f>IFERROR('6a'!K28/'6b'!$D27*100, "na")</f>
        <v>10.58236867461396</v>
      </c>
      <c r="L28" s="34">
        <f>IFERROR('6a'!L28/'6b'!$D27*100, "na")</f>
        <v>4.5915140486633614</v>
      </c>
      <c r="M28" s="125">
        <f>IFERROR('6a'!M28/'6b'!$D27*100, "na")</f>
        <v>19.729689785483519</v>
      </c>
    </row>
    <row r="29" spans="1:13">
      <c r="A29" s="65" t="s">
        <v>29</v>
      </c>
      <c r="B29" s="37">
        <f>IFERROR('6a'!B29/'6b'!$B28*100, "na")</f>
        <v>1.2718483156138738</v>
      </c>
      <c r="C29" s="34">
        <f>IFERROR('6a'!C29/'6b'!$B28*100, "na")</f>
        <v>2.7171800405885991</v>
      </c>
      <c r="D29" s="34">
        <f>IFERROR('6a'!D29/'6b'!$B28*100, "na")</f>
        <v>9.1633560692551992</v>
      </c>
      <c r="E29" s="34">
        <f>IFERROR('6a'!E29/'6b'!$B28*100, "na")</f>
        <v>13.152384425457672</v>
      </c>
      <c r="F29" s="176">
        <f>IFERROR('6a'!F29/'6b'!$C28*100, "na")</f>
        <v>1.2042983474651756</v>
      </c>
      <c r="G29" s="229">
        <f>IFERROR('6a'!G29/'6b'!$C28*100, "na")</f>
        <v>2.2940065765701858</v>
      </c>
      <c r="H29" s="34">
        <f>IFERROR('6a'!H29/'6b'!$C28*100, "na")</f>
        <v>2.4919028720828518</v>
      </c>
      <c r="I29" s="34">
        <f>IFERROR('6a'!I29/'6b'!$C28*100, "na")</f>
        <v>5.9902077961182139</v>
      </c>
      <c r="J29" s="37">
        <f>IFERROR('6a'!J29/'6b'!$D28*100, "na")</f>
        <v>4.2709363028110481</v>
      </c>
      <c r="K29" s="34">
        <f>IFERROR('6a'!K29/'6b'!$D28*100, "na")</f>
        <v>9.8260846899589005</v>
      </c>
      <c r="L29" s="34">
        <f>IFERROR('6a'!L29/'6b'!$D28*100, "na")</f>
        <v>4.1728487433422163</v>
      </c>
      <c r="M29" s="125">
        <f>IFERROR('6a'!M29/'6b'!$D28*100, "na")</f>
        <v>18.269869736112167</v>
      </c>
    </row>
    <row r="30" spans="1:13">
      <c r="A30" s="65" t="s">
        <v>30</v>
      </c>
      <c r="B30" s="37">
        <f>IFERROR('6a'!B30/'6b'!$B29*100, "na")</f>
        <v>1.3683661242653566</v>
      </c>
      <c r="C30" s="34">
        <f>IFERROR('6a'!C30/'6b'!$B29*100, "na")</f>
        <v>2.8746568542139652</v>
      </c>
      <c r="D30" s="34">
        <f>IFERROR('6a'!D30/'6b'!$B29*100, "na")</f>
        <v>9.0025095199450629</v>
      </c>
      <c r="E30" s="34">
        <f>IFERROR('6a'!E30/'6b'!$B29*100, "na")</f>
        <v>13.245532498424383</v>
      </c>
      <c r="F30" s="176">
        <f>IFERROR('6a'!F30/'6b'!$C29*100, "na")</f>
        <v>1.6721414723170958</v>
      </c>
      <c r="G30" s="229">
        <f>IFERROR('6a'!G30/'6b'!$C29*100, "na")</f>
        <v>2.9754478894481236</v>
      </c>
      <c r="H30" s="34">
        <f>IFERROR('6a'!H30/'6b'!$C29*100, "na")</f>
        <v>2.9638099052195965</v>
      </c>
      <c r="I30" s="34">
        <f>IFERROR('6a'!I30/'6b'!$C29*100, "na")</f>
        <v>7.6113992669848152</v>
      </c>
      <c r="J30" s="37">
        <f>IFERROR('6a'!J30/'6b'!$D29*100, "na")</f>
        <v>3.966946790150025</v>
      </c>
      <c r="K30" s="34">
        <f>IFERROR('6a'!K30/'6b'!$D29*100, "na")</f>
        <v>8.7092391065350494</v>
      </c>
      <c r="L30" s="34">
        <f>IFERROR('6a'!L30/'6b'!$D29*100, "na")</f>
        <v>3.5322501406699054</v>
      </c>
      <c r="M30" s="125">
        <f>IFERROR('6a'!M30/'6b'!$D29*100, "na")</f>
        <v>16.208436037354982</v>
      </c>
    </row>
    <row r="31" spans="1:13">
      <c r="A31" s="65" t="s">
        <v>31</v>
      </c>
      <c r="B31" s="37">
        <f>IFERROR('6a'!B31/'6b'!$B30*100, "na")</f>
        <v>1.7863242017566998</v>
      </c>
      <c r="C31" s="34">
        <f>IFERROR('6a'!C31/'6b'!$B30*100, "na")</f>
        <v>3.0458907195652176</v>
      </c>
      <c r="D31" s="34">
        <f>IFERROR('6a'!D31/'6b'!$B30*100, "na")</f>
        <v>9.5132717101475617</v>
      </c>
      <c r="E31" s="34">
        <f>IFERROR('6a'!E31/'6b'!$B30*100, "na")</f>
        <v>14.345486631469479</v>
      </c>
      <c r="F31" s="176">
        <f>IFERROR('6a'!F31/'6b'!$C30*100, "na")</f>
        <v>2.4249811828982359</v>
      </c>
      <c r="G31" s="229">
        <f>IFERROR('6a'!G31/'6b'!$C30*100, "na")</f>
        <v>3.3297752370788274</v>
      </c>
      <c r="H31" s="34">
        <f>IFERROR('6a'!H31/'6b'!$C30*100, "na")</f>
        <v>3.3608053330926451</v>
      </c>
      <c r="I31" s="34">
        <f>IFERROR('6a'!I31/'6b'!$C30*100, "na")</f>
        <v>9.1155617530697075</v>
      </c>
      <c r="J31" s="37">
        <f>IFERROR('6a'!J31/'6b'!$D30*100, "na")</f>
        <v>3.8201691034691621</v>
      </c>
      <c r="K31" s="34">
        <f>IFERROR('6a'!K31/'6b'!$D30*100, "na")</f>
        <v>7.0890893706348965</v>
      </c>
      <c r="L31" s="34">
        <f>IFERROR('6a'!L31/'6b'!$D30*100, "na")</f>
        <v>3.1048845638324618</v>
      </c>
      <c r="M31" s="125">
        <f>IFERROR('6a'!M31/'6b'!$D30*100, "na")</f>
        <v>14.014143037936519</v>
      </c>
    </row>
    <row r="32" spans="1:13">
      <c r="A32" s="65" t="s">
        <v>32</v>
      </c>
      <c r="B32" s="37">
        <f>IFERROR('6a'!B32/'6b'!$B31*100, "na")</f>
        <v>1.8298940185032957</v>
      </c>
      <c r="C32" s="34">
        <f>IFERROR('6a'!C32/'6b'!$B31*100, "na")</f>
        <v>2.7483509873592928</v>
      </c>
      <c r="D32" s="34">
        <f>IFERROR('6a'!D32/'6b'!$B31*100, "na")</f>
        <v>9.265654133253646</v>
      </c>
      <c r="E32" s="34">
        <f>IFERROR('6a'!E32/'6b'!$B31*100, "na")</f>
        <v>13.843899139116234</v>
      </c>
      <c r="F32" s="176">
        <f>IFERROR('6a'!F32/'6b'!$C31*100, "na")</f>
        <v>1.7938649628831391</v>
      </c>
      <c r="G32" s="229">
        <f>IFERROR('6a'!G32/'6b'!$C31*100, "na")</f>
        <v>2.1139291347159492</v>
      </c>
      <c r="H32" s="34">
        <f>IFERROR('6a'!H32/'6b'!$C31*100, "na")</f>
        <v>2.29314061327679</v>
      </c>
      <c r="I32" s="34">
        <f>IFERROR('6a'!I32/'6b'!$C31*100, "na")</f>
        <v>6.2009347108758783</v>
      </c>
      <c r="J32" s="37">
        <f>IFERROR('6a'!J32/'6b'!$D31*100, "na")</f>
        <v>3.8806085449396295</v>
      </c>
      <c r="K32" s="34">
        <f>IFERROR('6a'!K32/'6b'!$D31*100, "na")</f>
        <v>6.6902645416556688</v>
      </c>
      <c r="L32" s="34">
        <f>IFERROR('6a'!L32/'6b'!$D31*100, "na")</f>
        <v>3.0745040519224185</v>
      </c>
      <c r="M32" s="125">
        <f>IFERROR('6a'!M32/'6b'!$D31*100, "na")</f>
        <v>13.645377138517716</v>
      </c>
    </row>
    <row r="33" spans="1:13">
      <c r="A33" s="65" t="s">
        <v>33</v>
      </c>
      <c r="B33" s="37">
        <f>IFERROR('6a'!B33/'6b'!$B32*100, "na")</f>
        <v>2.1495902505972744</v>
      </c>
      <c r="C33" s="34">
        <f>IFERROR('6a'!C33/'6b'!$B32*100, "na")</f>
        <v>2.9072122983984561</v>
      </c>
      <c r="D33" s="34">
        <f>IFERROR('6a'!D33/'6b'!$B32*100, "na")</f>
        <v>9.0791378505081877</v>
      </c>
      <c r="E33" s="34">
        <f>IFERROR('6a'!E33/'6b'!$B32*100, "na")</f>
        <v>14.135940399503916</v>
      </c>
      <c r="F33" s="176">
        <f>IFERROR('6a'!F33/'6b'!$C32*100, "na")</f>
        <v>1.9620985680611116</v>
      </c>
      <c r="G33" s="229">
        <f>IFERROR('6a'!G33/'6b'!$C32*100, "na")</f>
        <v>2.0546445566922942</v>
      </c>
      <c r="H33" s="34">
        <f>IFERROR('6a'!H33/'6b'!$C32*100, "na")</f>
        <v>2.0628907202245723</v>
      </c>
      <c r="I33" s="34">
        <f>IFERROR('6a'!I33/'6b'!$C32*100, "na")</f>
        <v>6.0796338449779785</v>
      </c>
      <c r="J33" s="37">
        <f>IFERROR('6a'!J33/'6b'!$D32*100, "na")</f>
        <v>3.9527415550750971</v>
      </c>
      <c r="K33" s="34">
        <f>IFERROR('6a'!K33/'6b'!$D32*100, "na")</f>
        <v>6.5467994835567627</v>
      </c>
      <c r="L33" s="34">
        <f>IFERROR('6a'!L33/'6b'!$D32*100, "na")</f>
        <v>2.7458417811267735</v>
      </c>
      <c r="M33" s="125">
        <f>IFERROR('6a'!M33/'6b'!$D32*100, "na")</f>
        <v>13.245382819758634</v>
      </c>
    </row>
    <row r="34" spans="1:13">
      <c r="A34" s="65" t="s">
        <v>34</v>
      </c>
      <c r="B34" s="37">
        <f>IFERROR('6a'!B34/'6b'!$B33*100, "na")</f>
        <v>3.1362907778941107</v>
      </c>
      <c r="C34" s="34">
        <f>IFERROR('6a'!C34/'6b'!$B33*100, "na")</f>
        <v>4.0921817718089644</v>
      </c>
      <c r="D34" s="34">
        <f>IFERROR('6a'!D34/'6b'!$B33*100, "na")</f>
        <v>12.134519043375537</v>
      </c>
      <c r="E34" s="34">
        <f>IFERROR('6a'!E34/'6b'!$B33*100, "na")</f>
        <v>19.362991593078611</v>
      </c>
      <c r="F34" s="176">
        <f>IFERROR('6a'!F34/'6b'!$C33*100, "na")</f>
        <v>2.7288218504812263</v>
      </c>
      <c r="G34" s="229">
        <f>IFERROR('6a'!G34/'6b'!$C33*100, "na")</f>
        <v>2.6823414446265623</v>
      </c>
      <c r="H34" s="34">
        <f>IFERROR('6a'!H34/'6b'!$C33*100, "na")</f>
        <v>2.5642803909951475</v>
      </c>
      <c r="I34" s="34">
        <f>IFERROR('6a'!I34/'6b'!$C33*100, "na")</f>
        <v>7.9754436861029356</v>
      </c>
      <c r="J34" s="37">
        <f>IFERROR('6a'!J34/'6b'!$D33*100, "na")</f>
        <v>5.6191176573999488</v>
      </c>
      <c r="K34" s="34">
        <f>IFERROR('6a'!K34/'6b'!$D33*100, "na")</f>
        <v>9.5299971692499952</v>
      </c>
      <c r="L34" s="34">
        <f>IFERROR('6a'!L34/'6b'!$D33*100, "na")</f>
        <v>3.721507555767805</v>
      </c>
      <c r="M34" s="125">
        <f>IFERROR('6a'!M34/'6b'!$D33*100, "na")</f>
        <v>18.87062238241775</v>
      </c>
    </row>
    <row r="35" spans="1:13">
      <c r="A35" s="66" t="s">
        <v>35</v>
      </c>
      <c r="B35" s="39">
        <f>IFERROR('6a'!B35/'6b'!$B34*100, "na")</f>
        <v>4.0395576518487033</v>
      </c>
      <c r="C35" s="40">
        <f>IFERROR('6a'!C35/'6b'!$B34*100, "na")</f>
        <v>4.1976082279722693</v>
      </c>
      <c r="D35" s="40">
        <f>IFERROR('6a'!D35/'6b'!$B34*100, "na")</f>
        <v>13.4819520482647</v>
      </c>
      <c r="E35" s="40">
        <f>IFERROR('6a'!E35/'6b'!$B34*100, "na")</f>
        <v>21.719117928085673</v>
      </c>
      <c r="F35" s="180">
        <f>IFERROR('6a'!F35/'6b'!$C34*100, "na")</f>
        <v>3.2978656408797469</v>
      </c>
      <c r="G35" s="230">
        <f>IFERROR('6a'!G35/'6b'!$C34*100, "na")</f>
        <v>2.5731241774500946</v>
      </c>
      <c r="H35" s="40">
        <f>IFERROR('6a'!H35/'6b'!$C34*100, "na")</f>
        <v>2.6601133002095514</v>
      </c>
      <c r="I35" s="40">
        <f>IFERROR('6a'!I35/'6b'!$C34*100, "na")</f>
        <v>8.5311031185393933</v>
      </c>
      <c r="J35" s="39">
        <f>IFERROR('6a'!J35/'6b'!$D34*100, "na")</f>
        <v>6.6335350273865226</v>
      </c>
      <c r="K35" s="40">
        <f>IFERROR('6a'!K35/'6b'!$D34*100, "na")</f>
        <v>8.8829924827787323</v>
      </c>
      <c r="L35" s="40">
        <f>IFERROR('6a'!L35/'6b'!$D34*100, "na")</f>
        <v>3.8032205591554762</v>
      </c>
      <c r="M35" s="128">
        <f>IFERROR('6a'!M35/'6b'!$D34*100, "na")</f>
        <v>19.319748069320735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</row>
    <row r="38" spans="1:13">
      <c r="A38" s="27" t="s">
        <v>53</v>
      </c>
      <c r="B38" s="82">
        <f>(POWER(B15/B6,1/($A15-$A6))-1)*100</f>
        <v>23.76823226460445</v>
      </c>
      <c r="C38" s="83">
        <f>(POWER(C15/C6,1/($A15-$A6))-1)*100</f>
        <v>1.7290651150375869</v>
      </c>
      <c r="D38" s="83">
        <f t="shared" ref="D38:I38" si="0">(POWER(D15/D6,1/($A15-$A6))-1)*100</f>
        <v>27.825151422209828</v>
      </c>
      <c r="E38" s="84">
        <f t="shared" si="0"/>
        <v>14.76389298962555</v>
      </c>
      <c r="F38" s="82">
        <f t="shared" si="0"/>
        <v>39.903792568531784</v>
      </c>
      <c r="G38" s="83">
        <f t="shared" si="0"/>
        <v>36.852124234826576</v>
      </c>
      <c r="H38" s="83">
        <f>(POWER(H15/H6,1/($A15-$A6))-1)*100</f>
        <v>3.7613780460077351E-2</v>
      </c>
      <c r="I38" s="83">
        <f t="shared" si="0"/>
        <v>2.7967768426562678</v>
      </c>
      <c r="J38" s="82" t="s">
        <v>37</v>
      </c>
      <c r="K38" s="83" t="s">
        <v>37</v>
      </c>
      <c r="L38" s="83" t="s">
        <v>37</v>
      </c>
      <c r="M38" s="84" t="s">
        <v>37</v>
      </c>
    </row>
    <row r="39" spans="1:13">
      <c r="A39" s="28" t="s">
        <v>71</v>
      </c>
      <c r="B39" s="37">
        <f>(POWER(B$25/B15,1/($A$25-$A$15))-1)*100</f>
        <v>13.623794858157545</v>
      </c>
      <c r="C39" s="34">
        <f t="shared" ref="C39:M39" si="1">(POWER(C$25/C15,1/($A$25-$A$15))-1)*100</f>
        <v>1.3133399512081922</v>
      </c>
      <c r="D39" s="34">
        <f t="shared" si="1"/>
        <v>2.8682107084746278</v>
      </c>
      <c r="E39" s="38">
        <f t="shared" si="1"/>
        <v>2.9430721912234725</v>
      </c>
      <c r="F39" s="37">
        <f t="shared" si="1"/>
        <v>8.8600841267787889</v>
      </c>
      <c r="G39" s="34">
        <f t="shared" si="1"/>
        <v>-3.1364654080892618</v>
      </c>
      <c r="H39" s="34">
        <f t="shared" si="1"/>
        <v>-18.747322192011971</v>
      </c>
      <c r="I39" s="34">
        <f t="shared" si="1"/>
        <v>-11.165625735812013</v>
      </c>
      <c r="J39" s="37">
        <f>(POWER(J$25/J15,1/($A$25-$A$15))-1)*100</f>
        <v>21.303587679105497</v>
      </c>
      <c r="K39" s="34">
        <f t="shared" si="1"/>
        <v>5.5422893692132602</v>
      </c>
      <c r="L39" s="34">
        <f t="shared" si="1"/>
        <v>2.4167508806210103</v>
      </c>
      <c r="M39" s="38">
        <f t="shared" si="1"/>
        <v>5.9646355859101385</v>
      </c>
    </row>
    <row r="40" spans="1:13">
      <c r="A40" s="28" t="s">
        <v>69</v>
      </c>
      <c r="B40" s="37">
        <f>(POWER(B$35/B25,1/($A$35-$A$25))-1)*100</f>
        <v>5.6158796388090293</v>
      </c>
      <c r="C40" s="34">
        <f t="shared" ref="C40:M40" si="2">(POWER(C$35/C25,1/($A$35-$A$25))-1)*100</f>
        <v>-5.4707472546331797</v>
      </c>
      <c r="D40" s="34">
        <f>(POWER(D$35/D25,1/($A$35-$A$25))-1)*100</f>
        <v>-6.4958674883076934</v>
      </c>
      <c r="E40" s="38">
        <f t="shared" si="2"/>
        <v>-4.9533428597531177</v>
      </c>
      <c r="F40" s="37">
        <f t="shared" si="2"/>
        <v>15.861093043941876</v>
      </c>
      <c r="G40" s="34">
        <f>(POWER(G$35/G25,1/($A$35-$A$25))-1)*100</f>
        <v>3.3364501692138004</v>
      </c>
      <c r="H40" s="34">
        <f t="shared" si="2"/>
        <v>8.2711585061890034</v>
      </c>
      <c r="I40" s="34">
        <f t="shared" si="2"/>
        <v>8.3906241651887647</v>
      </c>
      <c r="J40" s="37">
        <f t="shared" si="2"/>
        <v>4.1255741788892575</v>
      </c>
      <c r="K40" s="34">
        <f t="shared" si="2"/>
        <v>-2.1408646253266661</v>
      </c>
      <c r="L40" s="34">
        <f t="shared" si="2"/>
        <v>-5.8935534485269336</v>
      </c>
      <c r="M40" s="38">
        <f t="shared" si="2"/>
        <v>-1.4853669387625557</v>
      </c>
    </row>
    <row r="41" spans="1:13">
      <c r="A41" s="29" t="s">
        <v>70</v>
      </c>
      <c r="B41" s="39">
        <f>(POWER(B35/B6,1/($A$35-$A$6))-1)*100</f>
        <v>13.775987531036705</v>
      </c>
      <c r="C41" s="40">
        <f t="shared" ref="C41:H41" si="3">(POWER(C35/C6,1/($A$35-$A$6))-1)*100</f>
        <v>-0.9535064135852811</v>
      </c>
      <c r="D41" s="40">
        <f t="shared" si="3"/>
        <v>6.4790997977245413</v>
      </c>
      <c r="E41" s="41">
        <f>(POWER(E35/E6,1/($A$35-$A$6))-1)*100</f>
        <v>3.5848184493759927</v>
      </c>
      <c r="F41" s="39">
        <f t="shared" si="3"/>
        <v>20.231486281797295</v>
      </c>
      <c r="G41" s="40">
        <f t="shared" si="3"/>
        <v>10.262457804079151</v>
      </c>
      <c r="H41" s="40">
        <f t="shared" si="3"/>
        <v>-4.3111814640367729</v>
      </c>
      <c r="I41" s="40">
        <f>(POWER(I35/I6,1/($A$35-$A$6))-1)*100</f>
        <v>-0.44726146259723709</v>
      </c>
      <c r="J41" s="39" t="s">
        <v>37</v>
      </c>
      <c r="K41" s="40" t="s">
        <v>37</v>
      </c>
      <c r="L41" s="40" t="s">
        <v>37</v>
      </c>
      <c r="M41" s="41" t="s">
        <v>37</v>
      </c>
    </row>
    <row r="43" spans="1:13">
      <c r="A43" s="204" t="s">
        <v>146</v>
      </c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2" orientation="landscape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72"/>
  <dimension ref="A1:M43"/>
  <sheetViews>
    <sheetView zoomScaleNormal="100" workbookViewId="0">
      <selection activeCell="B15" sqref="B15"/>
    </sheetView>
  </sheetViews>
  <sheetFormatPr defaultRowHeight="15"/>
  <cols>
    <col min="2" max="2" width="10.42578125" customWidth="1"/>
    <col min="3" max="3" width="10" customWidth="1"/>
    <col min="4" max="4" width="17.85546875" customWidth="1"/>
    <col min="5" max="5" width="14.140625" customWidth="1"/>
    <col min="6" max="6" width="11.140625" customWidth="1"/>
    <col min="8" max="8" width="17.7109375" customWidth="1"/>
    <col min="9" max="9" width="14.140625" customWidth="1"/>
    <col min="10" max="10" width="12.140625" customWidth="1"/>
    <col min="12" max="12" width="17.28515625" customWidth="1"/>
    <col min="13" max="13" width="14" customWidth="1"/>
  </cols>
  <sheetData>
    <row r="1" spans="1:13">
      <c r="A1" s="398" t="s">
        <v>155</v>
      </c>
      <c r="B1" s="398"/>
      <c r="C1" s="398"/>
      <c r="D1" s="398"/>
      <c r="E1" s="398"/>
      <c r="F1" s="398"/>
      <c r="G1" s="398"/>
      <c r="H1" s="398"/>
      <c r="I1" s="272"/>
      <c r="J1" s="1"/>
      <c r="K1" s="1"/>
      <c r="L1" s="1"/>
      <c r="M1" s="1"/>
    </row>
    <row r="2" spans="1:13">
      <c r="A2" s="398"/>
      <c r="B2" s="398"/>
      <c r="C2" s="398"/>
      <c r="D2" s="398"/>
      <c r="E2" s="398"/>
      <c r="F2" s="398"/>
      <c r="G2" s="398"/>
      <c r="H2" s="398"/>
      <c r="I2" s="272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A5" s="61"/>
      <c r="B5" s="273" t="s">
        <v>0</v>
      </c>
      <c r="C5" s="274" t="s">
        <v>1</v>
      </c>
      <c r="D5" s="274" t="s">
        <v>2</v>
      </c>
      <c r="E5" s="275" t="s">
        <v>72</v>
      </c>
      <c r="F5" s="273" t="s">
        <v>0</v>
      </c>
      <c r="G5" s="274" t="s">
        <v>1</v>
      </c>
      <c r="H5" s="274" t="s">
        <v>2</v>
      </c>
      <c r="I5" s="275" t="s">
        <v>72</v>
      </c>
      <c r="J5" s="274" t="s">
        <v>39</v>
      </c>
      <c r="K5" s="274" t="s">
        <v>41</v>
      </c>
      <c r="L5" s="274" t="s">
        <v>40</v>
      </c>
      <c r="M5" s="275" t="s">
        <v>72</v>
      </c>
    </row>
    <row r="6" spans="1:13">
      <c r="A6" s="64" t="s">
        <v>6</v>
      </c>
      <c r="B6" s="37">
        <f>IFERROR('6a'!B6/'6a'!$E6*100, "na")</f>
        <v>1.223519786006223</v>
      </c>
      <c r="C6" s="34">
        <f>IFERROR('6a'!C6/'6a'!$E6*100, "na")</f>
        <v>70.861906040876079</v>
      </c>
      <c r="D6" s="34">
        <f>IFERROR('6a'!D6/'6a'!$E6*100, "na")</f>
        <v>27.9145741731177</v>
      </c>
      <c r="E6" s="34">
        <f>IFERROR('6a'!E6/'6a'!$E6*100, "na")</f>
        <v>100</v>
      </c>
      <c r="F6" s="37">
        <f>IFERROR('6a'!F6/'6a'!$I6*100, "na")</f>
        <v>0.16227164353653062</v>
      </c>
      <c r="G6" s="229">
        <f>IFERROR('6a'!G6/'6a'!$I6*100, "na")</f>
        <v>1.5581034290839859</v>
      </c>
      <c r="H6" s="34">
        <f>IFERROR('6a'!H6/'6a'!$I6*100, "na")</f>
        <v>98.279624927379487</v>
      </c>
      <c r="I6" s="34">
        <f>IFERROR('6a'!I6/'6a'!$I6*100, "na")</f>
        <v>100</v>
      </c>
      <c r="J6" s="37" t="str">
        <f>IFERROR('6a'!J6/'6a'!$M6*100, "na")</f>
        <v>na</v>
      </c>
      <c r="K6" s="30" t="str">
        <f>IFERROR('6a'!K6/'6a'!$M6*100, "na")</f>
        <v>na</v>
      </c>
      <c r="L6" s="30" t="str">
        <f>IFERROR('6a'!L6/'6a'!$M6*100, "na")</f>
        <v>na</v>
      </c>
      <c r="M6" s="36" t="str">
        <f>IFERROR('6a'!M6/'6a'!$M6*100, "na")</f>
        <v>na</v>
      </c>
    </row>
    <row r="7" spans="1:13">
      <c r="A7" s="65" t="s">
        <v>7</v>
      </c>
      <c r="B7" s="37">
        <f>IFERROR('6a'!B7/'6a'!$E7*100, "na")</f>
        <v>0.11120235233182466</v>
      </c>
      <c r="C7" s="34">
        <f>IFERROR('6a'!C7/'6a'!$E7*100, "na")</f>
        <v>27.767396127232217</v>
      </c>
      <c r="D7" s="34">
        <f>IFERROR('6a'!D7/'6a'!$E7*100, "na")</f>
        <v>72.121401520435953</v>
      </c>
      <c r="E7" s="34">
        <f>IFERROR('6a'!E7/'6a'!$E7*100, "na")</f>
        <v>100</v>
      </c>
      <c r="F7" s="176">
        <f>IFERROR('6a'!F7/'6a'!$I7*100, "na")</f>
        <v>8.216644645119911E-2</v>
      </c>
      <c r="G7" s="229">
        <f>IFERROR('6a'!G7/'6a'!$I7*100, "na")</f>
        <v>1.6037232671617891</v>
      </c>
      <c r="H7" s="34">
        <f>IFERROR('6a'!H7/'6a'!$I7*100, "na")</f>
        <v>98.314110286387006</v>
      </c>
      <c r="I7" s="34">
        <f>IFERROR('6a'!I7/'6a'!$I7*100, "na")</f>
        <v>100</v>
      </c>
      <c r="J7" s="37" t="str">
        <f>IFERROR('6a'!J7/'6a'!$M7*100, "na")</f>
        <v>na</v>
      </c>
      <c r="K7" s="34" t="str">
        <f>IFERROR('6a'!K7/'6a'!$M7*100, "na")</f>
        <v>na</v>
      </c>
      <c r="L7" s="34" t="str">
        <f>IFERROR('6a'!L7/'6a'!$M7*100, "na")</f>
        <v>na</v>
      </c>
      <c r="M7" s="38" t="str">
        <f>IFERROR('6a'!M7/'6a'!$M7*100, "na")</f>
        <v>na</v>
      </c>
    </row>
    <row r="8" spans="1:13">
      <c r="A8" s="65" t="s">
        <v>8</v>
      </c>
      <c r="B8" s="37">
        <f>IFERROR('6a'!B8/'6a'!$E8*100, "na")</f>
        <v>0.70208825224615035</v>
      </c>
      <c r="C8" s="34">
        <f>IFERROR('6a'!C8/'6a'!$E8*100, "na")</f>
        <v>19.054587928164395</v>
      </c>
      <c r="D8" s="34">
        <f>IFERROR('6a'!D8/'6a'!$E8*100, "na")</f>
        <v>80.243323819589449</v>
      </c>
      <c r="E8" s="34">
        <f>IFERROR('6a'!E8/'6a'!$E8*100, "na")</f>
        <v>100</v>
      </c>
      <c r="F8" s="176">
        <f>IFERROR('6a'!F8/'6a'!$I8*100, "na")</f>
        <v>3.2849446130705513E-2</v>
      </c>
      <c r="G8" s="229">
        <f>IFERROR('6a'!G8/'6a'!$I8*100, "na")</f>
        <v>0.4318850573622946</v>
      </c>
      <c r="H8" s="34">
        <f>IFERROR('6a'!H8/'6a'!$I8*100, "na")</f>
        <v>99.53526549650698</v>
      </c>
      <c r="I8" s="34">
        <f>IFERROR('6a'!I8/'6a'!$I8*100, "na")</f>
        <v>100</v>
      </c>
      <c r="J8" s="37" t="str">
        <f>IFERROR('6a'!J8/'6a'!$M8*100, "na")</f>
        <v>na</v>
      </c>
      <c r="K8" s="34" t="str">
        <f>IFERROR('6a'!K8/'6a'!$M8*100, "na")</f>
        <v>na</v>
      </c>
      <c r="L8" s="34" t="str">
        <f>IFERROR('6a'!L8/'6a'!$M8*100, "na")</f>
        <v>na</v>
      </c>
      <c r="M8" s="38" t="str">
        <f>IFERROR('6a'!M8/'6a'!$M8*100, "na")</f>
        <v>na</v>
      </c>
    </row>
    <row r="9" spans="1:13">
      <c r="A9" s="65" t="s">
        <v>9</v>
      </c>
      <c r="B9" s="37">
        <f>IFERROR('6a'!B9/'6a'!$E9*100, "na")</f>
        <v>0.74956339249982762</v>
      </c>
      <c r="C9" s="34">
        <f>IFERROR('6a'!C9/'6a'!$E9*100, "na")</f>
        <v>14.513402845664308</v>
      </c>
      <c r="D9" s="34">
        <f>IFERROR('6a'!D9/'6a'!$E9*100, "na")</f>
        <v>84.73703376183586</v>
      </c>
      <c r="E9" s="34">
        <f>IFERROR('6a'!E9/'6a'!$E9*100, "na")</f>
        <v>100</v>
      </c>
      <c r="F9" s="176">
        <f>IFERROR('6a'!F9/'6a'!$I9*100, "na")</f>
        <v>6.4389191954056527E-2</v>
      </c>
      <c r="G9" s="229">
        <f>IFERROR('6a'!G9/'6a'!$I9*100, "na")</f>
        <v>0.44480634747210918</v>
      </c>
      <c r="H9" s="34">
        <f>IFERROR('6a'!H9/'6a'!$I9*100, "na")</f>
        <v>99.490804460573827</v>
      </c>
      <c r="I9" s="34">
        <f>IFERROR('6a'!I9/'6a'!$I9*100, "na")</f>
        <v>100</v>
      </c>
      <c r="J9" s="37" t="str">
        <f>IFERROR('6a'!J9/'6a'!$M9*100, "na")</f>
        <v>na</v>
      </c>
      <c r="K9" s="34" t="str">
        <f>IFERROR('6a'!K9/'6a'!$M9*100, "na")</f>
        <v>na</v>
      </c>
      <c r="L9" s="34" t="str">
        <f>IFERROR('6a'!L9/'6a'!$M9*100, "na")</f>
        <v>na</v>
      </c>
      <c r="M9" s="38" t="str">
        <f>IFERROR('6a'!M9/'6a'!$M9*100, "na")</f>
        <v>na</v>
      </c>
    </row>
    <row r="10" spans="1:13">
      <c r="A10" s="65" t="s">
        <v>10</v>
      </c>
      <c r="B10" s="37">
        <f>IFERROR('6a'!B10/'6a'!$E10*100, "na")</f>
        <v>0.94900999371814154</v>
      </c>
      <c r="C10" s="34">
        <f>IFERROR('6a'!C10/'6a'!$E10*100, "na")</f>
        <v>17.890866841073414</v>
      </c>
      <c r="D10" s="34">
        <f>IFERROR('6a'!D10/'6a'!$E10*100, "na")</f>
        <v>81.160123165208446</v>
      </c>
      <c r="E10" s="34">
        <f>IFERROR('6a'!E10/'6a'!$E10*100, "na")</f>
        <v>100</v>
      </c>
      <c r="F10" s="176">
        <f>IFERROR('6a'!F10/'6a'!$I10*100, "na")</f>
        <v>6.8578377860937331E-2</v>
      </c>
      <c r="G10" s="229">
        <f>IFERROR('6a'!G10/'6a'!$I10*100, "na")</f>
        <v>0.62279216754476008</v>
      </c>
      <c r="H10" s="34">
        <f>IFERROR('6a'!H10/'6a'!$I10*100, "na")</f>
        <v>99.30862945459431</v>
      </c>
      <c r="I10" s="34">
        <f>IFERROR('6a'!I10/'6a'!$I10*100, "na")</f>
        <v>100</v>
      </c>
      <c r="J10" s="37" t="str">
        <f>IFERROR('6a'!J10/'6a'!$M10*100, "na")</f>
        <v>na</v>
      </c>
      <c r="K10" s="34" t="str">
        <f>IFERROR('6a'!K10/'6a'!$M10*100, "na")</f>
        <v>na</v>
      </c>
      <c r="L10" s="34" t="str">
        <f>IFERROR('6a'!L10/'6a'!$M10*100, "na")</f>
        <v>na</v>
      </c>
      <c r="M10" s="38" t="str">
        <f>IFERROR('6a'!M10/'6a'!$M10*100, "na")</f>
        <v>na</v>
      </c>
    </row>
    <row r="11" spans="1:13">
      <c r="A11" s="65" t="s">
        <v>11</v>
      </c>
      <c r="B11" s="37">
        <f>IFERROR('6a'!B11/'6a'!$E11*100, "na")</f>
        <v>1.2253244356406505</v>
      </c>
      <c r="C11" s="34">
        <f>IFERROR('6a'!C11/'6a'!$E11*100, "na")</f>
        <v>18.487365604258642</v>
      </c>
      <c r="D11" s="34">
        <f>IFERROR('6a'!D11/'6a'!$E11*100, "na")</f>
        <v>80.2873099601007</v>
      </c>
      <c r="E11" s="34">
        <f>IFERROR('6a'!E11/'6a'!$E11*100, "na")</f>
        <v>100</v>
      </c>
      <c r="F11" s="176">
        <f>IFERROR('6a'!F11/'6a'!$I11*100, "na")</f>
        <v>8.4677916993861929E-2</v>
      </c>
      <c r="G11" s="229">
        <f>IFERROR('6a'!G11/'6a'!$I11*100, "na")</f>
        <v>0.79464182004044592</v>
      </c>
      <c r="H11" s="34">
        <f>IFERROR('6a'!H11/'6a'!$I11*100, "na")</f>
        <v>99.120680262965692</v>
      </c>
      <c r="I11" s="34">
        <f>IFERROR('6a'!I11/'6a'!$I11*100, "na")</f>
        <v>100</v>
      </c>
      <c r="J11" s="37" t="str">
        <f>IFERROR('6a'!J11/'6a'!$M11*100, "na")</f>
        <v>na</v>
      </c>
      <c r="K11" s="34" t="str">
        <f>IFERROR('6a'!K11/'6a'!$M11*100, "na")</f>
        <v>na</v>
      </c>
      <c r="L11" s="34" t="str">
        <f>IFERROR('6a'!L11/'6a'!$M11*100, "na")</f>
        <v>na</v>
      </c>
      <c r="M11" s="38" t="str">
        <f>IFERROR('6a'!M11/'6a'!$M11*100, "na")</f>
        <v>na</v>
      </c>
    </row>
    <row r="12" spans="1:13">
      <c r="A12" s="65" t="s">
        <v>12</v>
      </c>
      <c r="B12" s="37">
        <f>IFERROR('6a'!B12/'6a'!$E12*100, "na")</f>
        <v>3.6920983502539992</v>
      </c>
      <c r="C12" s="34">
        <f>IFERROR('6a'!C12/'6a'!$E12*100, "na")</f>
        <v>28.292133627282549</v>
      </c>
      <c r="D12" s="34">
        <f>IFERROR('6a'!D12/'6a'!$E12*100, "na")</f>
        <v>68.015768022463448</v>
      </c>
      <c r="E12" s="34">
        <f>IFERROR('6a'!E12/'6a'!$E12*100, "na")</f>
        <v>100</v>
      </c>
      <c r="F12" s="176">
        <f>IFERROR('6a'!F12/'6a'!$I12*100, "na")</f>
        <v>0.26320609337582762</v>
      </c>
      <c r="G12" s="229">
        <f>IFERROR('6a'!G12/'6a'!$I12*100, "na")</f>
        <v>1.1593740009139852</v>
      </c>
      <c r="H12" s="34">
        <f>IFERROR('6a'!H12/'6a'!$I12*100, "na")</f>
        <v>98.577419905710201</v>
      </c>
      <c r="I12" s="34">
        <f>IFERROR('6a'!I12/'6a'!$I12*100, "na")</f>
        <v>100</v>
      </c>
      <c r="J12" s="37">
        <f>IFERROR('6a'!J12/'6a'!$M12*100, "na")</f>
        <v>5.3358034590299619</v>
      </c>
      <c r="K12" s="34">
        <f>IFERROR('6a'!K12/'6a'!$M12*100, "na")</f>
        <v>40.390387997729881</v>
      </c>
      <c r="L12" s="34">
        <f>IFERROR('6a'!L12/'6a'!$M12*100, "na")</f>
        <v>54.273808543240143</v>
      </c>
      <c r="M12" s="125">
        <f>IFERROR('6a'!M12/'6a'!$M12*100, "na")</f>
        <v>100</v>
      </c>
    </row>
    <row r="13" spans="1:13">
      <c r="A13" s="65" t="s">
        <v>13</v>
      </c>
      <c r="B13" s="37">
        <f>IFERROR('6a'!B13/'6a'!$E13*100, "na")</f>
        <v>2.8991136732384923</v>
      </c>
      <c r="C13" s="34">
        <f>IFERROR('6a'!C13/'6a'!$E13*100, "na")</f>
        <v>23.224096494140557</v>
      </c>
      <c r="D13" s="34">
        <f>IFERROR('6a'!D13/'6a'!$E13*100, "na")</f>
        <v>73.876789832620943</v>
      </c>
      <c r="E13" s="34">
        <f>IFERROR('6a'!E13/'6a'!$E13*100, "na")</f>
        <v>100</v>
      </c>
      <c r="F13" s="176">
        <f>IFERROR('6a'!F13/'6a'!$I13*100, "na")</f>
        <v>0.68232342912577471</v>
      </c>
      <c r="G13" s="229">
        <f>IFERROR('6a'!G13/'6a'!$I13*100, "na")</f>
        <v>3.1048855008103073</v>
      </c>
      <c r="H13" s="34">
        <f>IFERROR('6a'!H13/'6a'!$I13*100, "na")</f>
        <v>96.212791070063915</v>
      </c>
      <c r="I13" s="34">
        <f>IFERROR('6a'!I13/'6a'!$I13*100, "na")</f>
        <v>100</v>
      </c>
      <c r="J13" s="37">
        <f>IFERROR('6a'!J13/'6a'!$M13*100, "na")</f>
        <v>5.3205386418847125</v>
      </c>
      <c r="K13" s="34">
        <f>IFERROR('6a'!K13/'6a'!$M13*100, "na")</f>
        <v>41.964188114403292</v>
      </c>
      <c r="L13" s="34">
        <f>IFERROR('6a'!L13/'6a'!$M13*100, "na")</f>
        <v>52.715273243712005</v>
      </c>
      <c r="M13" s="125">
        <f>IFERROR('6a'!M13/'6a'!$M13*100, "na")</f>
        <v>100</v>
      </c>
    </row>
    <row r="14" spans="1:13">
      <c r="A14" s="65" t="s">
        <v>14</v>
      </c>
      <c r="B14" s="37">
        <f>IFERROR('6a'!B14/'6a'!$E14*100, "na")</f>
        <v>2.6115399431643986</v>
      </c>
      <c r="C14" s="34">
        <f>IFERROR('6a'!C14/'6a'!$E14*100, "na")</f>
        <v>22.874194085441825</v>
      </c>
      <c r="D14" s="34">
        <f>IFERROR('6a'!D14/'6a'!$E14*100, "na")</f>
        <v>74.514265971393769</v>
      </c>
      <c r="E14" s="34">
        <f>IFERROR('6a'!E14/'6a'!$E14*100, "na")</f>
        <v>100</v>
      </c>
      <c r="F14" s="176">
        <f>IFERROR('6a'!F14/'6a'!$I14*100, "na")</f>
        <v>1.3008631579998551</v>
      </c>
      <c r="G14" s="229">
        <f>IFERROR('6a'!G14/'6a'!$I14*100, "na")</f>
        <v>8.6352696398423969</v>
      </c>
      <c r="H14" s="34">
        <f>IFERROR('6a'!H14/'6a'!$I14*100, "na")</f>
        <v>90.063867202157752</v>
      </c>
      <c r="I14" s="34">
        <f>IFERROR('6a'!I14/'6a'!$I14*100, "na")</f>
        <v>100</v>
      </c>
      <c r="J14" s="37">
        <f>IFERROR('6a'!J14/'6a'!$M14*100, "na")</f>
        <v>5.7098439283074338</v>
      </c>
      <c r="K14" s="34">
        <f>IFERROR('6a'!K14/'6a'!$M14*100, "na")</f>
        <v>47.812515881633466</v>
      </c>
      <c r="L14" s="34">
        <f>IFERROR('6a'!L14/'6a'!$M14*100, "na")</f>
        <v>46.477640190059105</v>
      </c>
      <c r="M14" s="125">
        <f>IFERROR('6a'!M14/'6a'!$M14*100, "na")</f>
        <v>100</v>
      </c>
    </row>
    <row r="15" spans="1:13">
      <c r="A15" s="65" t="s">
        <v>15</v>
      </c>
      <c r="B15" s="37">
        <f>IFERROR('6a'!B15/'6a'!$E15*100, "na")</f>
        <v>2.414605821591941</v>
      </c>
      <c r="C15" s="34">
        <f>IFERROR('6a'!C15/'6a'!$E15*100, "na")</f>
        <v>23.942575387397238</v>
      </c>
      <c r="D15" s="34">
        <f>IFERROR('6a'!D15/'6a'!$E15*100, "na")</f>
        <v>73.642818791010825</v>
      </c>
      <c r="E15" s="34">
        <f>IFERROR('6a'!E15/'6a'!$E15*100, "na")</f>
        <v>100</v>
      </c>
      <c r="F15" s="176">
        <f>IFERROR('6a'!F15/'6a'!$I15*100, "na")</f>
        <v>2.5995162971980572</v>
      </c>
      <c r="G15" s="229">
        <f>IFERROR('6a'!G15/'6a'!$I15*100, "na")</f>
        <v>20.466552347594146</v>
      </c>
      <c r="H15" s="34">
        <f>IFERROR('6a'!H15/'6a'!$I15*100, "na")</f>
        <v>76.933931355207804</v>
      </c>
      <c r="I15" s="34">
        <f>IFERROR('6a'!I15/'6a'!$I15*100, "na")</f>
        <v>100</v>
      </c>
      <c r="J15" s="37">
        <f>IFERROR('6a'!J15/'6a'!$M15*100, "na")</f>
        <v>5.1056371566832439</v>
      </c>
      <c r="K15" s="34">
        <f>IFERROR('6a'!K15/'6a'!$M15*100, "na")</f>
        <v>51.155922223529224</v>
      </c>
      <c r="L15" s="34">
        <f>IFERROR('6a'!L15/'6a'!$M15*100, "na")</f>
        <v>43.738440619787532</v>
      </c>
      <c r="M15" s="125">
        <f>IFERROR('6a'!M15/'6a'!$M15*100, "na")</f>
        <v>100</v>
      </c>
    </row>
    <row r="16" spans="1:13">
      <c r="A16" s="65" t="s">
        <v>16</v>
      </c>
      <c r="B16" s="37">
        <f>IFERROR('6a'!B16/'6a'!$E16*100, "na")</f>
        <v>2.5707541771244355</v>
      </c>
      <c r="C16" s="34">
        <f>IFERROR('6a'!C16/'6a'!$E16*100, "na")</f>
        <v>29.392748379520889</v>
      </c>
      <c r="D16" s="34">
        <f>IFERROR('6a'!D16/'6a'!$E16*100, "na")</f>
        <v>68.036497443354676</v>
      </c>
      <c r="E16" s="34">
        <f>IFERROR('6a'!E16/'6a'!$E16*100, "na")</f>
        <v>100</v>
      </c>
      <c r="F16" s="176">
        <f>IFERROR('6a'!F16/'6a'!$I16*100, "na")</f>
        <v>3.60557363394943</v>
      </c>
      <c r="G16" s="229">
        <f>IFERROR('6a'!G16/'6a'!$I16*100, "na")</f>
        <v>33.659713485042197</v>
      </c>
      <c r="H16" s="34">
        <f>IFERROR('6a'!H16/'6a'!$I16*100, "na")</f>
        <v>62.73471288100837</v>
      </c>
      <c r="I16" s="34">
        <f>IFERROR('6a'!I16/'6a'!$I16*100, "na")</f>
        <v>100</v>
      </c>
      <c r="J16" s="37">
        <f>IFERROR('6a'!J16/'6a'!$M16*100, "na")</f>
        <v>5.2880185267077486</v>
      </c>
      <c r="K16" s="34">
        <f>IFERROR('6a'!K16/'6a'!$M16*100, "na")</f>
        <v>54.861828605935216</v>
      </c>
      <c r="L16" s="34">
        <f>IFERROR('6a'!L16/'6a'!$M16*100, "na")</f>
        <v>39.850152867357039</v>
      </c>
      <c r="M16" s="125">
        <f>IFERROR('6a'!M16/'6a'!$M16*100, "na")</f>
        <v>100</v>
      </c>
    </row>
    <row r="17" spans="1:13">
      <c r="A17" s="65" t="s">
        <v>17</v>
      </c>
      <c r="B17" s="37">
        <f>IFERROR('6a'!B17/'6a'!$E17*100, "na")</f>
        <v>1.7272857095889653</v>
      </c>
      <c r="C17" s="34">
        <f>IFERROR('6a'!C17/'6a'!$E17*100, "na")</f>
        <v>15.706984800444317</v>
      </c>
      <c r="D17" s="34">
        <f>IFERROR('6a'!D17/'6a'!$E17*100, "na")</f>
        <v>82.565729489966728</v>
      </c>
      <c r="E17" s="34">
        <f>IFERROR('6a'!E17/'6a'!$E17*100, "na")</f>
        <v>100</v>
      </c>
      <c r="F17" s="176">
        <f>IFERROR('6a'!F17/'6a'!$I17*100, "na")</f>
        <v>6.8704245429048596</v>
      </c>
      <c r="G17" s="229">
        <f>IFERROR('6a'!G17/'6a'!$I17*100, "na")</f>
        <v>51.209084024396624</v>
      </c>
      <c r="H17" s="34">
        <f>IFERROR('6a'!H17/'6a'!$I17*100, "na")</f>
        <v>41.920491432698512</v>
      </c>
      <c r="I17" s="34">
        <f>IFERROR('6a'!I17/'6a'!$I17*100, "na")</f>
        <v>100</v>
      </c>
      <c r="J17" s="37">
        <f>IFERROR('6a'!J17/'6a'!$M17*100, "na")</f>
        <v>6.2810882043024225</v>
      </c>
      <c r="K17" s="34">
        <f>IFERROR('6a'!K17/'6a'!$M17*100, "na")</f>
        <v>56.476875278471617</v>
      </c>
      <c r="L17" s="34">
        <f>IFERROR('6a'!L17/'6a'!$M17*100, "na")</f>
        <v>37.242036517225962</v>
      </c>
      <c r="M17" s="125">
        <f>IFERROR('6a'!M17/'6a'!$M17*100, "na")</f>
        <v>100</v>
      </c>
    </row>
    <row r="18" spans="1:13">
      <c r="A18" s="65" t="s">
        <v>18</v>
      </c>
      <c r="B18" s="37">
        <f>IFERROR('6a'!B18/'6a'!$E18*100, "na")</f>
        <v>2.7627297019304349</v>
      </c>
      <c r="C18" s="34">
        <f>IFERROR('6a'!C18/'6a'!$E18*100, "na")</f>
        <v>20.606006173125575</v>
      </c>
      <c r="D18" s="34">
        <f>IFERROR('6a'!D18/'6a'!$E18*100, "na")</f>
        <v>76.631264124943996</v>
      </c>
      <c r="E18" s="34">
        <f>IFERROR('6a'!E18/'6a'!$E18*100, "na")</f>
        <v>100</v>
      </c>
      <c r="F18" s="176">
        <f>IFERROR('6a'!F18/'6a'!$I18*100, "na")</f>
        <v>7.6787547587784211</v>
      </c>
      <c r="G18" s="229">
        <f>IFERROR('6a'!G18/'6a'!$I18*100, "na")</f>
        <v>60.015722333215606</v>
      </c>
      <c r="H18" s="34">
        <f>IFERROR('6a'!H18/'6a'!$I18*100, "na")</f>
        <v>32.305522908005962</v>
      </c>
      <c r="I18" s="34">
        <f>IFERROR('6a'!I18/'6a'!$I18*100, "na")</f>
        <v>100</v>
      </c>
      <c r="J18" s="37">
        <f>IFERROR('6a'!J18/'6a'!$M18*100, "na")</f>
        <v>7.2800451308820682</v>
      </c>
      <c r="K18" s="34">
        <f>IFERROR('6a'!K18/'6a'!$M18*100, "na")</f>
        <v>56.973165605498409</v>
      </c>
      <c r="L18" s="34">
        <f>IFERROR('6a'!L18/'6a'!$M18*100, "na")</f>
        <v>35.746789263619512</v>
      </c>
      <c r="M18" s="125">
        <f>IFERROR('6a'!M18/'6a'!$M18*100, "na")</f>
        <v>100</v>
      </c>
    </row>
    <row r="19" spans="1:13">
      <c r="A19" s="65" t="s">
        <v>19</v>
      </c>
      <c r="B19" s="37">
        <f>IFERROR('6a'!B19/'6a'!$E19*100, "na")</f>
        <v>2.2684651048303044</v>
      </c>
      <c r="C19" s="34">
        <f>IFERROR('6a'!C19/'6a'!$E19*100, "na")</f>
        <v>20.868933733845495</v>
      </c>
      <c r="D19" s="34">
        <f>IFERROR('6a'!D19/'6a'!$E19*100, "na")</f>
        <v>76.862601161324193</v>
      </c>
      <c r="E19" s="34">
        <f>IFERROR('6a'!E19/'6a'!$E19*100, "na")</f>
        <v>100</v>
      </c>
      <c r="F19" s="176">
        <f>IFERROR('6a'!F19/'6a'!$I19*100, "na")</f>
        <v>6.7706158258779112</v>
      </c>
      <c r="G19" s="229">
        <f>IFERROR('6a'!G19/'6a'!$I19*100, "na")</f>
        <v>60.97925341504952</v>
      </c>
      <c r="H19" s="34">
        <f>IFERROR('6a'!H19/'6a'!$I19*100, "na")</f>
        <v>32.250130759072576</v>
      </c>
      <c r="I19" s="34">
        <f>IFERROR('6a'!I19/'6a'!$I19*100, "na")</f>
        <v>100</v>
      </c>
      <c r="J19" s="37">
        <f>IFERROR('6a'!J19/'6a'!$M19*100, "na")</f>
        <v>7.9046312208928118</v>
      </c>
      <c r="K19" s="34">
        <f>IFERROR('6a'!K19/'6a'!$M19*100, "na")</f>
        <v>54.932765137300557</v>
      </c>
      <c r="L19" s="34">
        <f>IFERROR('6a'!L19/'6a'!$M19*100, "na")</f>
        <v>37.162603641806626</v>
      </c>
      <c r="M19" s="125">
        <f>IFERROR('6a'!M19/'6a'!$M19*100, "na")</f>
        <v>100</v>
      </c>
    </row>
    <row r="20" spans="1:13">
      <c r="A20" s="65" t="s">
        <v>20</v>
      </c>
      <c r="B20" s="37">
        <f>IFERROR('6a'!B20/'6a'!$E20*100, "na")</f>
        <v>2.4271203549619158</v>
      </c>
      <c r="C20" s="34">
        <f>IFERROR('6a'!C20/'6a'!$E20*100, "na")</f>
        <v>17.898175137580548</v>
      </c>
      <c r="D20" s="34">
        <f>IFERROR('6a'!D20/'6a'!$E20*100, "na")</f>
        <v>79.674704507457534</v>
      </c>
      <c r="E20" s="34">
        <f>IFERROR('6a'!E20/'6a'!$E20*100, "na")</f>
        <v>100</v>
      </c>
      <c r="F20" s="176">
        <f>IFERROR('6a'!F20/'6a'!$I20*100, "na")</f>
        <v>9.1704598613383688</v>
      </c>
      <c r="G20" s="229">
        <f>IFERROR('6a'!G20/'6a'!$I20*100, "na")</f>
        <v>57.156636826064315</v>
      </c>
      <c r="H20" s="34">
        <f>IFERROR('6a'!H20/'6a'!$I20*100, "na")</f>
        <v>33.672903312597327</v>
      </c>
      <c r="I20" s="34">
        <f>IFERROR('6a'!I20/'6a'!$I20*100, "na")</f>
        <v>100</v>
      </c>
      <c r="J20" s="37">
        <f>IFERROR('6a'!J20/'6a'!$M20*100, "na")</f>
        <v>10.354640077981911</v>
      </c>
      <c r="K20" s="34">
        <f>IFERROR('6a'!K20/'6a'!$M20*100, "na")</f>
        <v>52.492195014680654</v>
      </c>
      <c r="L20" s="34">
        <f>IFERROR('6a'!L20/'6a'!$M20*100, "na")</f>
        <v>37.153164907337441</v>
      </c>
      <c r="M20" s="125">
        <f>IFERROR('6a'!M20/'6a'!$M20*100, "na")</f>
        <v>100</v>
      </c>
    </row>
    <row r="21" spans="1:13">
      <c r="A21" s="65" t="s">
        <v>21</v>
      </c>
      <c r="B21" s="37">
        <f>IFERROR('6a'!B21/'6a'!$E21*100, "na")</f>
        <v>2.9897122112439867</v>
      </c>
      <c r="C21" s="34">
        <f>IFERROR('6a'!C21/'6a'!$E21*100, "na")</f>
        <v>18.391152669181128</v>
      </c>
      <c r="D21" s="34">
        <f>IFERROR('6a'!D21/'6a'!$E21*100, "na")</f>
        <v>78.619135119574892</v>
      </c>
      <c r="E21" s="34">
        <f>IFERROR('6a'!E21/'6a'!$E21*100, "na")</f>
        <v>100</v>
      </c>
      <c r="F21" s="176">
        <f>IFERROR('6a'!F21/'6a'!$I21*100, "na")</f>
        <v>11.335682646111636</v>
      </c>
      <c r="G21" s="229">
        <f>IFERROR('6a'!G21/'6a'!$I21*100, "na")</f>
        <v>55.644918200423845</v>
      </c>
      <c r="H21" s="34">
        <f>IFERROR('6a'!H21/'6a'!$I21*100, "na")</f>
        <v>33.019399153464526</v>
      </c>
      <c r="I21" s="34">
        <f>IFERROR('6a'!I21/'6a'!$I21*100, "na")</f>
        <v>100</v>
      </c>
      <c r="J21" s="37">
        <f>IFERROR('6a'!J21/'6a'!$M21*100, "na")</f>
        <v>12.623687163799874</v>
      </c>
      <c r="K21" s="34">
        <f>IFERROR('6a'!K21/'6a'!$M21*100, "na")</f>
        <v>51.876662148555042</v>
      </c>
      <c r="L21" s="34">
        <f>IFERROR('6a'!L21/'6a'!$M21*100, "na")</f>
        <v>35.499650687645087</v>
      </c>
      <c r="M21" s="125">
        <f>IFERROR('6a'!M21/'6a'!$M21*100, "na")</f>
        <v>100</v>
      </c>
    </row>
    <row r="22" spans="1:13">
      <c r="A22" s="65" t="s">
        <v>22</v>
      </c>
      <c r="B22" s="37">
        <f>IFERROR('6a'!B22/'6a'!$E22*100, "na")</f>
        <v>4.7598227980166605</v>
      </c>
      <c r="C22" s="34">
        <f>IFERROR('6a'!C22/'6a'!$E22*100, "na")</f>
        <v>20.349336858166676</v>
      </c>
      <c r="D22" s="34">
        <f>IFERROR('6a'!D22/'6a'!$E22*100, "na")</f>
        <v>74.890840343816663</v>
      </c>
      <c r="E22" s="34">
        <f>IFERROR('6a'!E22/'6a'!$E22*100, "na")</f>
        <v>100</v>
      </c>
      <c r="F22" s="176">
        <f>IFERROR('6a'!F22/'6a'!$I22*100, "na")</f>
        <v>15.545304233135692</v>
      </c>
      <c r="G22" s="229">
        <f>IFERROR('6a'!G22/'6a'!$I22*100, "na")</f>
        <v>56.536310216124988</v>
      </c>
      <c r="H22" s="34">
        <f>IFERROR('6a'!H22/'6a'!$I22*100, "na")</f>
        <v>27.918385550739316</v>
      </c>
      <c r="I22" s="34">
        <f>IFERROR('6a'!I22/'6a'!$I22*100, "na")</f>
        <v>100</v>
      </c>
      <c r="J22" s="37">
        <f>IFERROR('6a'!J22/'6a'!$M22*100, "na")</f>
        <v>14.661144378172001</v>
      </c>
      <c r="K22" s="34">
        <f>IFERROR('6a'!K22/'6a'!$M22*100, "na")</f>
        <v>53.291496375367601</v>
      </c>
      <c r="L22" s="34">
        <f>IFERROR('6a'!L22/'6a'!$M22*100, "na")</f>
        <v>32.04735924646041</v>
      </c>
      <c r="M22" s="125">
        <f>IFERROR('6a'!M22/'6a'!$M22*100, "na")</f>
        <v>100</v>
      </c>
    </row>
    <row r="23" spans="1:13">
      <c r="A23" s="65" t="s">
        <v>23</v>
      </c>
      <c r="B23" s="37">
        <f>IFERROR('6a'!B23/'6a'!$E23*100, "na")</f>
        <v>6.1624662956815683</v>
      </c>
      <c r="C23" s="34">
        <f>IFERROR('6a'!C23/'6a'!$E23*100, "na")</f>
        <v>20.1096046466376</v>
      </c>
      <c r="D23" s="34">
        <f>IFERROR('6a'!D23/'6a'!$E23*100, "na")</f>
        <v>73.727929057680825</v>
      </c>
      <c r="E23" s="34">
        <f>IFERROR('6a'!E23/'6a'!$E23*100, "na")</f>
        <v>100</v>
      </c>
      <c r="F23" s="176">
        <f>IFERROR('6a'!F23/'6a'!$I23*100, "na")</f>
        <v>19.010242220532085</v>
      </c>
      <c r="G23" s="229">
        <f>IFERROR('6a'!G23/'6a'!$I23*100, "na")</f>
        <v>54.032978779766616</v>
      </c>
      <c r="H23" s="34">
        <f>IFERROR('6a'!H23/'6a'!$I23*100, "na")</f>
        <v>26.956778999701296</v>
      </c>
      <c r="I23" s="34">
        <f>IFERROR('6a'!I23/'6a'!$I23*100, "na")</f>
        <v>100</v>
      </c>
      <c r="J23" s="37">
        <f>IFERROR('6a'!J23/'6a'!$M23*100, "na")</f>
        <v>17.288088608111039</v>
      </c>
      <c r="K23" s="34">
        <f>IFERROR('6a'!K23/'6a'!$M23*100, "na")</f>
        <v>52.527778537284952</v>
      </c>
      <c r="L23" s="34">
        <f>IFERROR('6a'!L23/'6a'!$M23*100, "na")</f>
        <v>30.184132854604012</v>
      </c>
      <c r="M23" s="125">
        <f>IFERROR('6a'!M23/'6a'!$M23*100, "na")</f>
        <v>100</v>
      </c>
    </row>
    <row r="24" spans="1:13">
      <c r="A24" s="65" t="s">
        <v>24</v>
      </c>
      <c r="B24" s="37">
        <f>IFERROR('6a'!B24/'6a'!$E24*100, "na")</f>
        <v>6.8038090381885112</v>
      </c>
      <c r="C24" s="34">
        <f>IFERROR('6a'!C24/'6a'!$E24*100, "na")</f>
        <v>21.032331239124428</v>
      </c>
      <c r="D24" s="34">
        <f>IFERROR('6a'!D24/'6a'!$E24*100, "na")</f>
        <v>72.163859722687064</v>
      </c>
      <c r="E24" s="34">
        <f>IFERROR('6a'!E24/'6a'!$E24*100, "na")</f>
        <v>100</v>
      </c>
      <c r="F24" s="176">
        <f>IFERROR('6a'!F24/'6a'!$I24*100, "na")</f>
        <v>19.049958063069518</v>
      </c>
      <c r="G24" s="229">
        <f>IFERROR('6a'!G24/'6a'!$I24*100, "na")</f>
        <v>53.538190674144879</v>
      </c>
      <c r="H24" s="34">
        <f>IFERROR('6a'!H24/'6a'!$I24*100, "na")</f>
        <v>27.411851262785593</v>
      </c>
      <c r="I24" s="34">
        <f>IFERROR('6a'!I24/'6a'!$I24*100, "na")</f>
        <v>100</v>
      </c>
      <c r="J24" s="37">
        <f>IFERROR('6a'!J24/'6a'!$M24*100, "na")</f>
        <v>19.549374463164906</v>
      </c>
      <c r="K24" s="34">
        <f>IFERROR('6a'!K24/'6a'!$M24*100, "na")</f>
        <v>51.765441279861037</v>
      </c>
      <c r="L24" s="34">
        <f>IFERROR('6a'!L24/'6a'!$M24*100, "na")</f>
        <v>28.685184256974054</v>
      </c>
      <c r="M24" s="125">
        <f>IFERROR('6a'!M24/'6a'!$M24*100, "na")</f>
        <v>100</v>
      </c>
    </row>
    <row r="25" spans="1:13">
      <c r="A25" s="65" t="s">
        <v>25</v>
      </c>
      <c r="B25" s="37">
        <f>IFERROR('6a'!B25/'6a'!$E25*100, "na")</f>
        <v>6.4798938664677133</v>
      </c>
      <c r="C25" s="34">
        <f>IFERROR('6a'!C25/'6a'!$E25*100, "na")</f>
        <v>20.411077946238144</v>
      </c>
      <c r="D25" s="34">
        <f>IFERROR('6a'!D25/'6a'!$E25*100, "na")</f>
        <v>73.109028187294143</v>
      </c>
      <c r="E25" s="34">
        <f>IFERROR('6a'!E25/'6a'!$E25*100, "na")</f>
        <v>100</v>
      </c>
      <c r="F25" s="176">
        <f>IFERROR('6a'!F25/'6a'!$I25*100, "na")</f>
        <v>19.850375415390413</v>
      </c>
      <c r="G25" s="229">
        <f>IFERROR('6a'!G25/'6a'!$I25*100, "na")</f>
        <v>48.622506231444092</v>
      </c>
      <c r="H25" s="34">
        <f>IFERROR('6a'!H25/'6a'!$I25*100, "na")</f>
        <v>31.527118353165491</v>
      </c>
      <c r="I25" s="34">
        <f>IFERROR('6a'!I25/'6a'!$I25*100, "na")</f>
        <v>100</v>
      </c>
      <c r="J25" s="37">
        <f>IFERROR('6a'!J25/'6a'!$M25*100, "na")</f>
        <v>19.732263937260942</v>
      </c>
      <c r="K25" s="34">
        <f>IFERROR('6a'!K25/'6a'!$M25*100, "na")</f>
        <v>49.1531702091375</v>
      </c>
      <c r="L25" s="34">
        <f>IFERROR('6a'!L25/'6a'!$M25*100, "na")</f>
        <v>31.114565853601555</v>
      </c>
      <c r="M25" s="125">
        <f>IFERROR('6a'!M25/'6a'!$M25*100, "na")</f>
        <v>100</v>
      </c>
    </row>
    <row r="26" spans="1:13">
      <c r="A26" s="65" t="s">
        <v>26</v>
      </c>
      <c r="B26" s="37">
        <f>IFERROR('6a'!B26/'6a'!$E26*100, "na")</f>
        <v>6.3137596539149534</v>
      </c>
      <c r="C26" s="34">
        <f>IFERROR('6a'!C26/'6a'!$E26*100, "na")</f>
        <v>20.079771494620982</v>
      </c>
      <c r="D26" s="34">
        <f>IFERROR('6a'!D26/'6a'!$E26*100, "na")</f>
        <v>73.606468851464058</v>
      </c>
      <c r="E26" s="34">
        <f>IFERROR('6a'!E26/'6a'!$E26*100, "na")</f>
        <v>100</v>
      </c>
      <c r="F26" s="176">
        <f>IFERROR('6a'!F26/'6a'!$I26*100, "na")</f>
        <v>20.104722498197049</v>
      </c>
      <c r="G26" s="229">
        <f>IFERROR('6a'!G26/'6a'!$I26*100, "na")</f>
        <v>42.256104814252737</v>
      </c>
      <c r="H26" s="34">
        <f>IFERROR('6a'!H26/'6a'!$I26*100, "na")</f>
        <v>37.639172687550207</v>
      </c>
      <c r="I26" s="34">
        <f>IFERROR('6a'!I26/'6a'!$I26*100, "na")</f>
        <v>100</v>
      </c>
      <c r="J26" s="37">
        <f>IFERROR('6a'!J26/'6a'!$M26*100, "na")</f>
        <v>20.449489914705325</v>
      </c>
      <c r="K26" s="34">
        <f>IFERROR('6a'!K26/'6a'!$M26*100, "na")</f>
        <v>50.373619000647388</v>
      </c>
      <c r="L26" s="34">
        <f>IFERROR('6a'!L26/'6a'!$M26*100, "na")</f>
        <v>29.176891084647295</v>
      </c>
      <c r="M26" s="125">
        <f>IFERROR('6a'!M26/'6a'!$M26*100, "na")</f>
        <v>100</v>
      </c>
    </row>
    <row r="27" spans="1:13">
      <c r="A27" s="65" t="s">
        <v>27</v>
      </c>
      <c r="B27" s="37">
        <f>IFERROR('6a'!B27/'6a'!$E27*100, "na")</f>
        <v>9.6364685516445476</v>
      </c>
      <c r="C27" s="34">
        <f>IFERROR('6a'!C27/'6a'!$E27*100, "na")</f>
        <v>19.907674552798614</v>
      </c>
      <c r="D27" s="34">
        <f>IFERROR('6a'!D27/'6a'!$E27*100, "na")</f>
        <v>70.455856895556835</v>
      </c>
      <c r="E27" s="34">
        <f>IFERROR('6a'!E27/'6a'!$E27*100, "na")</f>
        <v>100</v>
      </c>
      <c r="F27" s="176">
        <f>IFERROR('6a'!F27/'6a'!$I27*100, "na")</f>
        <v>19.215686274509807</v>
      </c>
      <c r="G27" s="229">
        <f>IFERROR('6a'!G27/'6a'!$I27*100, "na")</f>
        <v>36.86274509803922</v>
      </c>
      <c r="H27" s="34">
        <f>IFERROR('6a'!H27/'6a'!$I27*100, "na")</f>
        <v>43.921568627450981</v>
      </c>
      <c r="I27" s="34">
        <f>IFERROR('6a'!I27/'6a'!$I27*100, "na")</f>
        <v>100</v>
      </c>
      <c r="J27" s="37">
        <f>IFERROR('6a'!J27/'6a'!$M27*100, "na")</f>
        <v>22.51597908192911</v>
      </c>
      <c r="K27" s="34">
        <f>IFERROR('6a'!K27/'6a'!$M27*100, "na")</f>
        <v>53.166763509587447</v>
      </c>
      <c r="L27" s="34">
        <f>IFERROR('6a'!L27/'6a'!$M27*100, "na")</f>
        <v>24.317257408483439</v>
      </c>
      <c r="M27" s="125">
        <f>IFERROR('6a'!M27/'6a'!$M27*100, "na")</f>
        <v>100</v>
      </c>
    </row>
    <row r="28" spans="1:13">
      <c r="A28" s="65" t="s">
        <v>28</v>
      </c>
      <c r="B28" s="37">
        <f>IFERROR('6a'!B28/'6a'!$E28*100, "na")</f>
        <v>9.4246645213453899</v>
      </c>
      <c r="C28" s="34">
        <f>IFERROR('6a'!C28/'6a'!$E28*100, "na")</f>
        <v>19.434021050334309</v>
      </c>
      <c r="D28" s="34">
        <f>IFERROR('6a'!D28/'6a'!$E28*100, "na")</f>
        <v>71.1413144283203</v>
      </c>
      <c r="E28" s="34">
        <f>IFERROR('6a'!E28/'6a'!$E28*100, "na")</f>
        <v>100</v>
      </c>
      <c r="F28" s="176">
        <f>IFERROR('6a'!F28/'6a'!$I28*100, "na")</f>
        <v>19.882393190157281</v>
      </c>
      <c r="G28" s="229">
        <f>IFERROR('6a'!G28/'6a'!$I28*100, "na")</f>
        <v>36.575652191722249</v>
      </c>
      <c r="H28" s="34">
        <f>IFERROR('6a'!H28/'6a'!$I28*100, "na")</f>
        <v>43.541954618120485</v>
      </c>
      <c r="I28" s="34">
        <f>IFERROR('6a'!I28/'6a'!$I28*100, "na")</f>
        <v>100</v>
      </c>
      <c r="J28" s="37">
        <f>IFERROR('6a'!J28/'6a'!$M28*100, "na")</f>
        <v>23.091123640262275</v>
      </c>
      <c r="K28" s="34">
        <f>IFERROR('6a'!K28/'6a'!$M28*100, "na")</f>
        <v>53.63677173677678</v>
      </c>
      <c r="L28" s="34">
        <f>IFERROR('6a'!L28/'6a'!$M28*100, "na")</f>
        <v>23.272104622960935</v>
      </c>
      <c r="M28" s="125">
        <f>IFERROR('6a'!M28/'6a'!$M28*100, "na")</f>
        <v>100</v>
      </c>
    </row>
    <row r="29" spans="1:13">
      <c r="A29" s="65" t="s">
        <v>29</v>
      </c>
      <c r="B29" s="37">
        <f>IFERROR('6a'!B29/'6a'!$E29*100, "na")</f>
        <v>9.6700968772787093</v>
      </c>
      <c r="C29" s="34">
        <f>IFERROR('6a'!C29/'6a'!$E29*100, "na")</f>
        <v>20.659220052367406</v>
      </c>
      <c r="D29" s="34">
        <f>IFERROR('6a'!D29/'6a'!$E29*100, "na")</f>
        <v>69.670683070353874</v>
      </c>
      <c r="E29" s="34">
        <f>IFERROR('6a'!E29/'6a'!$E29*100, "na")</f>
        <v>100</v>
      </c>
      <c r="F29" s="176">
        <f>IFERROR('6a'!F29/'6a'!$I29*100, "na")</f>
        <v>20.104450270416116</v>
      </c>
      <c r="G29" s="229">
        <f>IFERROR('6a'!G29/'6a'!$I29*100, "na")</f>
        <v>38.295943223484706</v>
      </c>
      <c r="H29" s="34">
        <f>IFERROR('6a'!H29/'6a'!$I29*100, "na")</f>
        <v>41.599606506099164</v>
      </c>
      <c r="I29" s="34">
        <f>IFERROR('6a'!I29/'6a'!$I29*100, "na")</f>
        <v>100</v>
      </c>
      <c r="J29" s="37">
        <f>IFERROR('6a'!J29/'6a'!$M29*100, "na")</f>
        <v>23.376938995734211</v>
      </c>
      <c r="K29" s="34">
        <f>IFERROR('6a'!K29/'6a'!$M29*100, "na")</f>
        <v>53.783003556597301</v>
      </c>
      <c r="L29" s="34">
        <f>IFERROR('6a'!L29/'6a'!$M29*100, "na")</f>
        <v>22.840057447668482</v>
      </c>
      <c r="M29" s="125">
        <f>IFERROR('6a'!M29/'6a'!$M29*100, "na")</f>
        <v>100</v>
      </c>
    </row>
    <row r="30" spans="1:13">
      <c r="A30" s="65" t="s">
        <v>30</v>
      </c>
      <c r="B30" s="37">
        <f>IFERROR('6a'!B30/'6a'!$E30*100, "na")</f>
        <v>10.330774730484636</v>
      </c>
      <c r="C30" s="34">
        <f>IFERROR('6a'!C30/'6a'!$E30*100, "na")</f>
        <v>21.702840973406833</v>
      </c>
      <c r="D30" s="34">
        <f>IFERROR('6a'!D30/'6a'!$E30*100, "na")</f>
        <v>67.966384296108544</v>
      </c>
      <c r="E30" s="34">
        <f>IFERROR('6a'!E30/'6a'!$E30*100, "na")</f>
        <v>100</v>
      </c>
      <c r="F30" s="176">
        <f>IFERROR('6a'!F30/'6a'!$I30*100, "na")</f>
        <v>21.968910231396897</v>
      </c>
      <c r="G30" s="229">
        <f>IFERROR('6a'!G30/'6a'!$I30*100, "na")</f>
        <v>39.091995900864354</v>
      </c>
      <c r="H30" s="34">
        <f>IFERROR('6a'!H30/'6a'!$I30*100, "na")</f>
        <v>38.939093867738748</v>
      </c>
      <c r="I30" s="34">
        <f>IFERROR('6a'!I30/'6a'!$I30*100, "na")</f>
        <v>100</v>
      </c>
      <c r="J30" s="37">
        <f>IFERROR('6a'!J30/'6a'!$M30*100, "na")</f>
        <v>24.474580897302804</v>
      </c>
      <c r="K30" s="34">
        <f>IFERROR('6a'!K30/'6a'!$M30*100, "na")</f>
        <v>53.732754267365401</v>
      </c>
      <c r="L30" s="34">
        <f>IFERROR('6a'!L30/'6a'!$M30*100, "na")</f>
        <v>21.792664835331799</v>
      </c>
      <c r="M30" s="125">
        <f>IFERROR('6a'!M30/'6a'!$M30*100, "na")</f>
        <v>100</v>
      </c>
    </row>
    <row r="31" spans="1:13">
      <c r="A31" s="65" t="s">
        <v>31</v>
      </c>
      <c r="B31" s="37">
        <f>IFERROR('6a'!B31/'6a'!$E31*100, "na")</f>
        <v>12.45216873882875</v>
      </c>
      <c r="C31" s="34">
        <f>IFERROR('6a'!C31/'6a'!$E31*100, "na")</f>
        <v>21.232397323374812</v>
      </c>
      <c r="D31" s="34">
        <f>IFERROR('6a'!D31/'6a'!$E31*100, "na")</f>
        <v>66.315433937796428</v>
      </c>
      <c r="E31" s="34">
        <f>IFERROR('6a'!E31/'6a'!$E31*100, "na")</f>
        <v>100</v>
      </c>
      <c r="F31" s="176">
        <f>IFERROR('6a'!F31/'6a'!$I31*100, "na")</f>
        <v>26.60265213037049</v>
      </c>
      <c r="G31" s="229">
        <f>IFERROR('6a'!G31/'6a'!$I31*100, "na")</f>
        <v>36.528469964646007</v>
      </c>
      <c r="H31" s="34">
        <f>IFERROR('6a'!H31/'6a'!$I31*100, "na")</f>
        <v>36.868877904983513</v>
      </c>
      <c r="I31" s="34">
        <f>IFERROR('6a'!I31/'6a'!$I31*100, "na")</f>
        <v>100</v>
      </c>
      <c r="J31" s="37">
        <f>IFERROR('6a'!J31/'6a'!$M31*100, "na")</f>
        <v>27.259384274356986</v>
      </c>
      <c r="K31" s="34">
        <f>IFERROR('6a'!K31/'6a'!$M31*100, "na")</f>
        <v>50.58525056754889</v>
      </c>
      <c r="L31" s="34">
        <f>IFERROR('6a'!L31/'6a'!$M31*100, "na")</f>
        <v>22.155365158094128</v>
      </c>
      <c r="M31" s="125">
        <f>IFERROR('6a'!M31/'6a'!$M31*100, "na")</f>
        <v>100</v>
      </c>
    </row>
    <row r="32" spans="1:13">
      <c r="A32" s="65" t="s">
        <v>32</v>
      </c>
      <c r="B32" s="37">
        <f>IFERROR('6a'!B32/'6a'!$E32*100, "na")</f>
        <v>13.218053671980973</v>
      </c>
      <c r="C32" s="34">
        <f>IFERROR('6a'!C32/'6a'!$E32*100, "na")</f>
        <v>19.852434344842688</v>
      </c>
      <c r="D32" s="34">
        <f>IFERROR('6a'!D32/'6a'!$E32*100, "na")</f>
        <v>66.92951198317634</v>
      </c>
      <c r="E32" s="34">
        <f>IFERROR('6a'!E32/'6a'!$E32*100, "na")</f>
        <v>100</v>
      </c>
      <c r="F32" s="176">
        <f>IFERROR('6a'!F32/'6a'!$I32*100, "na")</f>
        <v>28.928944530521537</v>
      </c>
      <c r="G32" s="229">
        <f>IFERROR('6a'!G32/'6a'!$I32*100, "na")</f>
        <v>34.090491728743878</v>
      </c>
      <c r="H32" s="34">
        <f>IFERROR('6a'!H32/'6a'!$I32*100, "na")</f>
        <v>36.980563740734581</v>
      </c>
      <c r="I32" s="34">
        <f>IFERROR('6a'!I32/'6a'!$I32*100, "na")</f>
        <v>100</v>
      </c>
      <c r="J32" s="37">
        <f>IFERROR('6a'!J32/'6a'!$M32*100, "na")</f>
        <v>28.438998098378509</v>
      </c>
      <c r="K32" s="34">
        <f>IFERROR('6a'!K32/'6a'!$M32*100, "na")</f>
        <v>49.029531934083472</v>
      </c>
      <c r="L32" s="34">
        <f>IFERROR('6a'!L32/'6a'!$M32*100, "na")</f>
        <v>22.531469967538019</v>
      </c>
      <c r="M32" s="125">
        <f>IFERROR('6a'!M32/'6a'!$M32*100, "na")</f>
        <v>100</v>
      </c>
    </row>
    <row r="33" spans="1:13">
      <c r="A33" s="65" t="s">
        <v>33</v>
      </c>
      <c r="B33" s="37">
        <f>IFERROR('6a'!B33/'6a'!$E33*100, "na")</f>
        <v>15.206559944697501</v>
      </c>
      <c r="C33" s="34">
        <f>IFERROR('6a'!C33/'6a'!$E33*100, "na")</f>
        <v>20.566104668214937</v>
      </c>
      <c r="D33" s="34">
        <f>IFERROR('6a'!D33/'6a'!$E33*100, "na")</f>
        <v>64.227335387087564</v>
      </c>
      <c r="E33" s="34">
        <f>IFERROR('6a'!E33/'6a'!$E33*100, "na")</f>
        <v>100</v>
      </c>
      <c r="F33" s="176">
        <f>IFERROR('6a'!F33/'6a'!$I33*100, "na")</f>
        <v>32.273301618022337</v>
      </c>
      <c r="G33" s="229">
        <f>IFERROR('6a'!G33/'6a'!$I33*100, "na")</f>
        <v>33.795531261961003</v>
      </c>
      <c r="H33" s="34">
        <f>IFERROR('6a'!H33/'6a'!$I33*100, "na")</f>
        <v>33.931167120016653</v>
      </c>
      <c r="I33" s="34">
        <f>IFERROR('6a'!I33/'6a'!$I33*100, "na")</f>
        <v>100</v>
      </c>
      <c r="J33" s="37">
        <f>IFERROR('6a'!J33/'6a'!$M33*100, "na")</f>
        <v>29.842410814873876</v>
      </c>
      <c r="K33" s="34">
        <f>IFERROR('6a'!K33/'6a'!$M33*100, "na")</f>
        <v>49.427031084300992</v>
      </c>
      <c r="L33" s="34">
        <f>IFERROR('6a'!L33/'6a'!$M33*100, "na")</f>
        <v>20.730558100825128</v>
      </c>
      <c r="M33" s="125">
        <f>IFERROR('6a'!M33/'6a'!$M33*100, "na")</f>
        <v>100</v>
      </c>
    </row>
    <row r="34" spans="1:13">
      <c r="A34" s="65" t="s">
        <v>34</v>
      </c>
      <c r="B34" s="37">
        <f>IFERROR('6a'!B34/'6a'!$E34*100, "na")</f>
        <v>16.197346173590198</v>
      </c>
      <c r="C34" s="34">
        <f>IFERROR('6a'!C34/'6a'!$E34*100, "na")</f>
        <v>21.134036815218849</v>
      </c>
      <c r="D34" s="34">
        <f>IFERROR('6a'!D34/'6a'!$E34*100, "na")</f>
        <v>62.668617011190953</v>
      </c>
      <c r="E34" s="34">
        <f>IFERROR('6a'!E34/'6a'!$E34*100, "na")</f>
        <v>100</v>
      </c>
      <c r="F34" s="176">
        <f>IFERROR('6a'!F34/'6a'!$I34*100, "na")</f>
        <v>34.215298331754859</v>
      </c>
      <c r="G34" s="229">
        <f>IFERROR('6a'!G34/'6a'!$I34*100, "na")</f>
        <v>33.632504349576102</v>
      </c>
      <c r="H34" s="34">
        <f>IFERROR('6a'!H34/'6a'!$I34*100, "na")</f>
        <v>32.152197318669039</v>
      </c>
      <c r="I34" s="34">
        <f>IFERROR('6a'!I34/'6a'!$I34*100, "na")</f>
        <v>100</v>
      </c>
      <c r="J34" s="37">
        <f>IFERROR('6a'!J34/'6a'!$M34*100, "na")</f>
        <v>29.777065872694415</v>
      </c>
      <c r="K34" s="34">
        <f>IFERROR('6a'!K34/'6a'!$M34*100, "na")</f>
        <v>50.501763938264922</v>
      </c>
      <c r="L34" s="34">
        <f>IFERROR('6a'!L34/'6a'!$M34*100, "na")</f>
        <v>19.721170189040667</v>
      </c>
      <c r="M34" s="125">
        <f>IFERROR('6a'!M34/'6a'!$M34*100, "na")</f>
        <v>100</v>
      </c>
    </row>
    <row r="35" spans="1:13">
      <c r="A35" s="66" t="s">
        <v>35</v>
      </c>
      <c r="B35" s="39">
        <f>IFERROR('6a'!B35/'6a'!$E35*100, "na")</f>
        <v>18.599087058802809</v>
      </c>
      <c r="C35" s="40">
        <f>IFERROR('6a'!C35/'6a'!$E35*100, "na")</f>
        <v>19.326789613975119</v>
      </c>
      <c r="D35" s="40">
        <f>IFERROR('6a'!D35/'6a'!$E35*100, "na")</f>
        <v>62.074123327222075</v>
      </c>
      <c r="E35" s="40">
        <f>IFERROR('6a'!E35/'6a'!$E35*100, "na")</f>
        <v>100</v>
      </c>
      <c r="F35" s="180">
        <f>IFERROR('6a'!F35/'6a'!$I35*100, "na")</f>
        <v>38.656966104570699</v>
      </c>
      <c r="G35" s="230">
        <f>IFERROR('6a'!G35/'6a'!$I35*100, "na")</f>
        <v>30.161681809452073</v>
      </c>
      <c r="H35" s="40">
        <f>IFERROR('6a'!H35/'6a'!$I35*100, "na")</f>
        <v>31.181352085977228</v>
      </c>
      <c r="I35" s="40">
        <f>IFERROR('6a'!I35/'6a'!$I35*100, "na")</f>
        <v>100</v>
      </c>
      <c r="J35" s="39">
        <f>IFERROR('6a'!J35/'6a'!$M35*100, "na")</f>
        <v>34.335515160885592</v>
      </c>
      <c r="K35" s="40">
        <f>IFERROR('6a'!K35/'6a'!$M35*100, "na")</f>
        <v>45.97882151933802</v>
      </c>
      <c r="L35" s="40">
        <f>IFERROR('6a'!L35/'6a'!$M35*100, "na")</f>
        <v>19.685663319776378</v>
      </c>
      <c r="M35" s="128">
        <f>IFERROR('6a'!M35/'6a'!$M35*100,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193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3"/>
    </row>
    <row r="38" spans="1:13">
      <c r="A38" s="27" t="s">
        <v>53</v>
      </c>
      <c r="B38" s="82">
        <f>B15-B6</f>
        <v>1.191086035585718</v>
      </c>
      <c r="C38" s="83">
        <f t="shared" ref="C38:H38" si="0">C15-C6</f>
        <v>-46.919330653478838</v>
      </c>
      <c r="D38" s="83">
        <f t="shared" si="0"/>
        <v>45.728244617893125</v>
      </c>
      <c r="E38" s="84"/>
      <c r="F38" s="82">
        <f t="shared" si="0"/>
        <v>2.4372446536615264</v>
      </c>
      <c r="G38" s="83">
        <f t="shared" si="0"/>
        <v>18.90844891851016</v>
      </c>
      <c r="H38" s="83">
        <f t="shared" si="0"/>
        <v>-21.345693572171683</v>
      </c>
      <c r="I38" s="83"/>
      <c r="J38" s="82" t="s">
        <v>37</v>
      </c>
      <c r="K38" s="83" t="s">
        <v>37</v>
      </c>
      <c r="L38" s="83" t="s">
        <v>37</v>
      </c>
      <c r="M38" s="84"/>
    </row>
    <row r="39" spans="1:13">
      <c r="A39" s="28" t="s">
        <v>71</v>
      </c>
      <c r="B39" s="37">
        <f>B25-B15</f>
        <v>4.0652880448757722</v>
      </c>
      <c r="C39" s="34">
        <f t="shared" ref="C39:L39" si="1">C25-C15</f>
        <v>-3.5314974411590931</v>
      </c>
      <c r="D39" s="34">
        <f t="shared" si="1"/>
        <v>-0.53379060371668174</v>
      </c>
      <c r="E39" s="38"/>
      <c r="F39" s="37">
        <f t="shared" si="1"/>
        <v>17.250859118192356</v>
      </c>
      <c r="G39" s="34">
        <f t="shared" si="1"/>
        <v>28.155953883849946</v>
      </c>
      <c r="H39" s="34">
        <f t="shared" si="1"/>
        <v>-45.406813002042313</v>
      </c>
      <c r="I39" s="34"/>
      <c r="J39" s="37">
        <f t="shared" si="1"/>
        <v>14.626626780577698</v>
      </c>
      <c r="K39" s="34">
        <f t="shared" si="1"/>
        <v>-2.0027520143917243</v>
      </c>
      <c r="L39" s="34">
        <f t="shared" si="1"/>
        <v>-12.623874766185978</v>
      </c>
      <c r="M39" s="38"/>
    </row>
    <row r="40" spans="1:13">
      <c r="A40" s="28" t="s">
        <v>69</v>
      </c>
      <c r="B40" s="37">
        <f>B35-B25</f>
        <v>12.119193192335096</v>
      </c>
      <c r="C40" s="34">
        <f t="shared" ref="C40:L40" si="2">C35-C25</f>
        <v>-1.084288332263025</v>
      </c>
      <c r="D40" s="34">
        <f t="shared" si="2"/>
        <v>-11.034904860072068</v>
      </c>
      <c r="E40" s="38"/>
      <c r="F40" s="37">
        <f t="shared" si="2"/>
        <v>18.806590689180286</v>
      </c>
      <c r="G40" s="34">
        <f t="shared" si="2"/>
        <v>-18.460824421992019</v>
      </c>
      <c r="H40" s="34">
        <f t="shared" si="2"/>
        <v>-0.34576626718826375</v>
      </c>
      <c r="I40" s="34"/>
      <c r="J40" s="37">
        <f t="shared" si="2"/>
        <v>14.60325122362465</v>
      </c>
      <c r="K40" s="34">
        <f t="shared" si="2"/>
        <v>-3.1743486897994799</v>
      </c>
      <c r="L40" s="34">
        <f t="shared" si="2"/>
        <v>-11.428902533825177</v>
      </c>
      <c r="M40" s="38"/>
    </row>
    <row r="41" spans="1:13">
      <c r="A41" s="29" t="s">
        <v>70</v>
      </c>
      <c r="B41" s="39">
        <f>B35-B6</f>
        <v>17.375567272796587</v>
      </c>
      <c r="C41" s="40">
        <f t="shared" ref="C41:H41" si="3">C35-C6</f>
        <v>-51.535116426900956</v>
      </c>
      <c r="D41" s="40">
        <f t="shared" si="3"/>
        <v>34.159549154104376</v>
      </c>
      <c r="E41" s="41"/>
      <c r="F41" s="39">
        <f t="shared" si="3"/>
        <v>38.494694461034172</v>
      </c>
      <c r="G41" s="40">
        <f t="shared" si="3"/>
        <v>28.603578380368088</v>
      </c>
      <c r="H41" s="40">
        <f t="shared" si="3"/>
        <v>-67.098272841402263</v>
      </c>
      <c r="I41" s="40"/>
      <c r="J41" s="39" t="s">
        <v>37</v>
      </c>
      <c r="K41" s="40" t="s">
        <v>37</v>
      </c>
      <c r="L41" s="40" t="s">
        <v>37</v>
      </c>
      <c r="M41" s="41"/>
    </row>
    <row r="43" spans="1:13">
      <c r="A43" s="323" t="s">
        <v>145</v>
      </c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0" orientation="landscape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102"/>
  <dimension ref="A1:M43"/>
  <sheetViews>
    <sheetView zoomScaleNormal="100" workbookViewId="0">
      <selection activeCell="B15" sqref="B15"/>
    </sheetView>
  </sheetViews>
  <sheetFormatPr defaultRowHeight="15"/>
  <cols>
    <col min="2" max="2" width="11.7109375" customWidth="1"/>
    <col min="4" max="4" width="18.28515625" customWidth="1"/>
    <col min="5" max="5" width="13.140625" customWidth="1"/>
    <col min="6" max="6" width="11.42578125" customWidth="1"/>
    <col min="8" max="8" width="17.7109375" customWidth="1"/>
    <col min="9" max="9" width="11.7109375" customWidth="1"/>
    <col min="10" max="10" width="11.140625" customWidth="1"/>
    <col min="12" max="12" width="18.42578125" customWidth="1"/>
    <col min="13" max="13" width="13.42578125" customWidth="1"/>
  </cols>
  <sheetData>
    <row r="1" spans="1:13">
      <c r="A1" s="2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30">
      <c r="A5" s="1"/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  <c r="J5" s="273" t="s">
        <v>39</v>
      </c>
      <c r="K5" s="274" t="s">
        <v>41</v>
      </c>
      <c r="L5" s="274" t="s">
        <v>40</v>
      </c>
      <c r="M5" s="275" t="s">
        <v>72</v>
      </c>
    </row>
    <row r="6" spans="1:13">
      <c r="A6" s="27">
        <v>1981</v>
      </c>
      <c r="B6" s="44">
        <f>IFERROR('6a'!B6/'6b'!$B5*100, "na")</f>
        <v>9.568988075003676E-2</v>
      </c>
      <c r="C6" s="31">
        <f>IFERROR('6a'!C6/'6b'!$B5*100, "na")</f>
        <v>5.5420169059180662</v>
      </c>
      <c r="D6" s="31">
        <f>IFERROR('6a'!D6/'6b'!$B5*100, "na")</f>
        <v>2.1831623030247451</v>
      </c>
      <c r="E6" s="45">
        <f>IFERROR('6a'!E6/'6b'!$B5*100, "na")</f>
        <v>7.820869089692847</v>
      </c>
      <c r="F6" s="44">
        <f>IFERROR('6a'!F6/'6b'!$C5*100, "na")</f>
        <v>1.5765389295038301E-2</v>
      </c>
      <c r="G6" s="31">
        <f>IFERROR('6a'!G6/'6b'!$C5*100, "na")</f>
        <v>0.15137646101374003</v>
      </c>
      <c r="H6" s="31">
        <f>IFERROR('6a'!H6/'6b'!$C5*100, "na")</f>
        <v>9.548288986188048</v>
      </c>
      <c r="I6" s="31">
        <f>IFERROR('6a'!I6/'6b'!$C5*100, "na")</f>
        <v>9.7154308364968252</v>
      </c>
      <c r="J6" s="44" t="str">
        <f>IFERROR('6a'!J6/'6b'!$D5*100, "na")</f>
        <v>na</v>
      </c>
      <c r="K6" s="99" t="str">
        <f>IFERROR('6a'!K6/'6b'!$D5*100, "na")</f>
        <v>na</v>
      </c>
      <c r="L6" s="99" t="str">
        <f>IFERROR('6a'!L6/'6b'!$D5*100, "na")</f>
        <v>na</v>
      </c>
      <c r="M6" s="311" t="str">
        <f>IFERROR('6a'!M6/'6b'!$D5*100, "na")</f>
        <v>na</v>
      </c>
    </row>
    <row r="7" spans="1:13">
      <c r="A7" s="28">
        <v>1982</v>
      </c>
      <c r="B7" s="46">
        <f>IFERROR('6a'!B7/'6b'!$B6*100, "na")</f>
        <v>5.0315253111111848E-3</v>
      </c>
      <c r="C7" s="43">
        <f>IFERROR('6a'!C7/'6b'!$B6*100, "na")</f>
        <v>1.2563795055424898</v>
      </c>
      <c r="D7" s="43">
        <f>IFERROR('6a'!D7/'6b'!$B6*100, "na")</f>
        <v>3.2632462318788065</v>
      </c>
      <c r="E7" s="47">
        <f>IFERROR('6a'!E7/'6b'!$B6*100, "na")</f>
        <v>4.5246572627324078</v>
      </c>
      <c r="F7" s="46">
        <f>IFERROR('6a'!F7/'6b'!$C6*100, "na")</f>
        <v>1.2701715670429027E-2</v>
      </c>
      <c r="G7" s="43">
        <f>IFERROR('6a'!G7/'6b'!$C6*100, "na")</f>
        <v>0.24791186467628068</v>
      </c>
      <c r="H7" s="43">
        <f>IFERROR('6a'!H7/'6b'!$C6*100, "na")</f>
        <v>15.197905339505716</v>
      </c>
      <c r="I7" s="43">
        <f>IFERROR('6a'!I7/'6b'!$C6*100, "na")</f>
        <v>15.458518919852427</v>
      </c>
      <c r="J7" s="147" t="str">
        <f>IFERROR('6a'!J7/'6b'!$D6*100, "na")</f>
        <v>na</v>
      </c>
      <c r="K7" s="100" t="str">
        <f>IFERROR('6a'!K7/'6b'!$D6*100, "na")</f>
        <v>na</v>
      </c>
      <c r="L7" s="100" t="str">
        <f>IFERROR('6a'!L7/'6b'!$D6*100, "na")</f>
        <v>na</v>
      </c>
      <c r="M7" s="101" t="str">
        <f>IFERROR('6a'!M7/'6b'!$D6*100, "na")</f>
        <v>na</v>
      </c>
    </row>
    <row r="8" spans="1:13">
      <c r="A8" s="28">
        <v>1983</v>
      </c>
      <c r="B8" s="46">
        <f>IFERROR('6a'!B8/'6b'!$B7*100, "na")</f>
        <v>5.0074935498920434E-2</v>
      </c>
      <c r="C8" s="43">
        <f>IFERROR('6a'!C8/'6b'!$B7*100, "na")</f>
        <v>1.359027527392404</v>
      </c>
      <c r="D8" s="43">
        <f>IFERROR('6a'!D8/'6b'!$B7*100, "na")</f>
        <v>5.7231825936836271</v>
      </c>
      <c r="E8" s="47">
        <f>IFERROR('6a'!E8/'6b'!$B7*100, "na")</f>
        <v>7.1322850565749523</v>
      </c>
      <c r="F8" s="46">
        <f>IFERROR('6a'!F8/'6b'!$C7*100, "na")</f>
        <v>3.2860605087953192E-3</v>
      </c>
      <c r="G8" s="43">
        <f>IFERROR('6a'!G8/'6b'!$C7*100, "na")</f>
        <v>4.3203176872150112E-2</v>
      </c>
      <c r="H8" s="43">
        <f>IFERROR('6a'!H8/'6b'!$C7*100, "na")</f>
        <v>9.9569077627399327</v>
      </c>
      <c r="I8" s="43">
        <f>IFERROR('6a'!I8/'6b'!$C7*100, "na")</f>
        <v>10.003397000120879</v>
      </c>
      <c r="J8" s="147" t="str">
        <f>IFERROR('6a'!J8/'6b'!$D7*100, "na")</f>
        <v>na</v>
      </c>
      <c r="K8" s="100" t="str">
        <f>IFERROR('6a'!K8/'6b'!$D7*100, "na")</f>
        <v>na</v>
      </c>
      <c r="L8" s="100" t="str">
        <f>IFERROR('6a'!L8/'6b'!$D7*100, "na")</f>
        <v>na</v>
      </c>
      <c r="M8" s="101" t="str">
        <f>IFERROR('6a'!M8/'6b'!$D7*100, "na")</f>
        <v>na</v>
      </c>
    </row>
    <row r="9" spans="1:13">
      <c r="A9" s="28">
        <v>1984</v>
      </c>
      <c r="B9" s="46">
        <f>IFERROR('6a'!B9/'6b'!$B8*100, "na")</f>
        <v>0.12033816558185524</v>
      </c>
      <c r="C9" s="43">
        <f>IFERROR('6a'!C9/'6b'!$B8*100, "na")</f>
        <v>2.3300447864362877</v>
      </c>
      <c r="D9" s="43">
        <f>IFERROR('6a'!D9/'6b'!$B8*100, "na")</f>
        <v>13.604051774379316</v>
      </c>
      <c r="E9" s="47">
        <f>IFERROR('6a'!E9/'6b'!$B8*100, "na")</f>
        <v>16.05443472639746</v>
      </c>
      <c r="F9" s="46">
        <f>IFERROR('6a'!F9/'6b'!$C8*100, "na")</f>
        <v>8.6473266735820325E-3</v>
      </c>
      <c r="G9" s="43">
        <f>IFERROR('6a'!G9/'6b'!$C8*100, "na")</f>
        <v>5.9736512857913635E-2</v>
      </c>
      <c r="H9" s="43">
        <f>IFERROR('6a'!H9/'6b'!$C8*100, "na")</f>
        <v>13.361395928091833</v>
      </c>
      <c r="I9" s="43">
        <f>IFERROR('6a'!I9/'6b'!$C8*100, "na")</f>
        <v>13.429779767623328</v>
      </c>
      <c r="J9" s="147" t="str">
        <f>IFERROR('6a'!J9/'6b'!$D8*100, "na")</f>
        <v>na</v>
      </c>
      <c r="K9" s="100" t="str">
        <f>IFERROR('6a'!K9/'6b'!$D8*100, "na")</f>
        <v>na</v>
      </c>
      <c r="L9" s="100" t="str">
        <f>IFERROR('6a'!L9/'6b'!$D8*100, "na")</f>
        <v>na</v>
      </c>
      <c r="M9" s="101" t="str">
        <f>IFERROR('6a'!M9/'6b'!$D8*100, "na")</f>
        <v>na</v>
      </c>
    </row>
    <row r="10" spans="1:13">
      <c r="A10" s="28">
        <v>1985</v>
      </c>
      <c r="B10" s="46">
        <f>IFERROR('6a'!B10/'6b'!$B9*100, "na")</f>
        <v>0.1479286754463405</v>
      </c>
      <c r="C10" s="43">
        <f>IFERROR('6a'!C10/'6b'!$B9*100, "na")</f>
        <v>2.7887717220108459</v>
      </c>
      <c r="D10" s="43">
        <f>IFERROR('6a'!D10/'6b'!$B9*100, "na")</f>
        <v>12.650983233435714</v>
      </c>
      <c r="E10" s="47">
        <f>IFERROR('6a'!E10/'6b'!$B9*100, "na")</f>
        <v>15.587683630892899</v>
      </c>
      <c r="F10" s="46">
        <f>IFERROR('6a'!F10/'6b'!$C9*100, "na")</f>
        <v>8.1161380809333401E-3</v>
      </c>
      <c r="G10" s="43">
        <f>IFERROR('6a'!G10/'6b'!$C9*100, "na")</f>
        <v>7.3706427378128658E-2</v>
      </c>
      <c r="H10" s="43">
        <f>IFERROR('6a'!H10/'6b'!$C9*100, "na")</f>
        <v>11.753012748655802</v>
      </c>
      <c r="I10" s="43">
        <f>IFERROR('6a'!I10/'6b'!$C9*100, "na")</f>
        <v>11.834835314114862</v>
      </c>
      <c r="J10" s="147" t="str">
        <f>IFERROR('6a'!J10/'6b'!$D9*100, "na")</f>
        <v>na</v>
      </c>
      <c r="K10" s="100" t="str">
        <f>IFERROR('6a'!K10/'6b'!$D9*100, "na")</f>
        <v>na</v>
      </c>
      <c r="L10" s="100" t="str">
        <f>IFERROR('6a'!L10/'6b'!$D9*100, "na")</f>
        <v>na</v>
      </c>
      <c r="M10" s="101" t="str">
        <f>IFERROR('6a'!M10/'6b'!$D9*100, "na")</f>
        <v>na</v>
      </c>
    </row>
    <row r="11" spans="1:13">
      <c r="A11" s="28">
        <v>1986</v>
      </c>
      <c r="B11" s="46">
        <f>IFERROR('6a'!B11/'6b'!$B10*100, "na")</f>
        <v>0.27857853065786425</v>
      </c>
      <c r="C11" s="43">
        <f>IFERROR('6a'!C11/'6b'!$B10*100, "na")</f>
        <v>4.2031179628572257</v>
      </c>
      <c r="D11" s="43">
        <f>IFERROR('6a'!D11/'6b'!$B10*100, "na")</f>
        <v>18.253386767287736</v>
      </c>
      <c r="E11" s="47">
        <f>IFERROR('6a'!E11/'6b'!$B10*100, "na")</f>
        <v>22.735083260802831</v>
      </c>
      <c r="F11" s="46">
        <f>IFERROR('6a'!F11/'6b'!$C10*100, "na")</f>
        <v>1.0136425107922998E-2</v>
      </c>
      <c r="G11" s="43">
        <f>IFERROR('6a'!G11/'6b'!$C10*100, "na")</f>
        <v>9.5123115712063111E-2</v>
      </c>
      <c r="H11" s="43">
        <f>IFERROR('6a'!H11/'6b'!$C10*100, "na")</f>
        <v>11.865305475154319</v>
      </c>
      <c r="I11" s="43">
        <f>IFERROR('6a'!I11/'6b'!$C10*100, "na")</f>
        <v>11.970565015974307</v>
      </c>
      <c r="J11" s="147" t="str">
        <f>IFERROR('6a'!J11/'6b'!$D10*100, "na")</f>
        <v>na</v>
      </c>
      <c r="K11" s="100" t="str">
        <f>IFERROR('6a'!K11/'6b'!$D10*100, "na")</f>
        <v>na</v>
      </c>
      <c r="L11" s="100" t="str">
        <f>IFERROR('6a'!L11/'6b'!$D10*100, "na")</f>
        <v>na</v>
      </c>
      <c r="M11" s="101" t="str">
        <f>IFERROR('6a'!M11/'6b'!$D10*100, "na")</f>
        <v>na</v>
      </c>
    </row>
    <row r="12" spans="1:13">
      <c r="A12" s="28">
        <v>1987</v>
      </c>
      <c r="B12" s="46">
        <f>IFERROR('6a'!B12/'6b'!$B11*100, "na")</f>
        <v>0.36676331609814733</v>
      </c>
      <c r="C12" s="43">
        <f>IFERROR('6a'!C12/'6b'!$B11*100, "na")</f>
        <v>2.8104659638658318</v>
      </c>
      <c r="D12" s="43">
        <f>IFERROR('6a'!D12/'6b'!$B11*100, "na")</f>
        <v>6.7565070754859153</v>
      </c>
      <c r="E12" s="47">
        <f>IFERROR('6a'!E12/'6b'!$B11*100, "na")</f>
        <v>9.933736355449895</v>
      </c>
      <c r="F12" s="46">
        <f>IFERROR('6a'!F12/'6b'!$C11*100, "na")</f>
        <v>3.5105252541135591E-2</v>
      </c>
      <c r="G12" s="43">
        <f>IFERROR('6a'!G12/'6b'!$C11*100, "na")</f>
        <v>0.15463212332853246</v>
      </c>
      <c r="H12" s="43">
        <f>IFERROR('6a'!H12/'6b'!$C11*100, "na")</f>
        <v>13.147815752510752</v>
      </c>
      <c r="I12" s="43">
        <f>IFERROR('6a'!I12/'6b'!$C11*100, "na")</f>
        <v>13.337553128380419</v>
      </c>
      <c r="J12" s="147">
        <f>IFERROR('6a'!J12/'6b'!$D11*100, "na")</f>
        <v>0.62037864916842966</v>
      </c>
      <c r="K12" s="100">
        <f>IFERROR('6a'!K12/'6b'!$D11*100, "na")</f>
        <v>4.696075209257387</v>
      </c>
      <c r="L12" s="100">
        <f>IFERROR('6a'!L12/'6b'!$D11*100, "na")</f>
        <v>6.3102609171820019</v>
      </c>
      <c r="M12" s="101">
        <f>IFERROR('6a'!M12/'6b'!$D11*100, "na")</f>
        <v>11.62671477560782</v>
      </c>
    </row>
    <row r="13" spans="1:13">
      <c r="A13" s="28">
        <v>1988</v>
      </c>
      <c r="B13" s="46">
        <f>IFERROR('6a'!B13/'6b'!$B12*100, "na")</f>
        <v>0.44472559377123416</v>
      </c>
      <c r="C13" s="43">
        <f>IFERROR('6a'!C13/'6b'!$B12*100, "na")</f>
        <v>3.5625888693145584</v>
      </c>
      <c r="D13" s="43">
        <f>IFERROR('6a'!D13/'6b'!$B12*100, "na")</f>
        <v>11.33273921871578</v>
      </c>
      <c r="E13" s="47">
        <f>IFERROR('6a'!E13/'6b'!$B12*100, "na")</f>
        <v>15.340053681801571</v>
      </c>
      <c r="F13" s="46">
        <f>IFERROR('6a'!F13/'6b'!$C12*100, "na")</f>
        <v>0.11062767953523402</v>
      </c>
      <c r="G13" s="43">
        <f>IFERROR('6a'!G13/'6b'!$C12*100, "na")</f>
        <v>0.50340683540257181</v>
      </c>
      <c r="H13" s="43">
        <f>IFERROR('6a'!H13/'6b'!$C12*100, "na")</f>
        <v>15.59934389374083</v>
      </c>
      <c r="I13" s="43">
        <f>IFERROR('6a'!I13/'6b'!$C12*100, "na")</f>
        <v>16.213378408678636</v>
      </c>
      <c r="J13" s="147">
        <f>IFERROR('6a'!J13/'6b'!$D12*100, "na")</f>
        <v>0.5895331669072571</v>
      </c>
      <c r="K13" s="100">
        <f>IFERROR('6a'!K13/'6b'!$D12*100, "na")</f>
        <v>4.649769953933192</v>
      </c>
      <c r="L13" s="100">
        <f>IFERROR('6a'!L13/'6b'!$D12*100, "na")</f>
        <v>5.8410255185625868</v>
      </c>
      <c r="M13" s="101">
        <f>IFERROR('6a'!M13/'6b'!$D12*100, "na")</f>
        <v>11.080328639403035</v>
      </c>
    </row>
    <row r="14" spans="1:13">
      <c r="A14" s="28">
        <v>1989</v>
      </c>
      <c r="B14" s="46">
        <f>IFERROR('6a'!B14/'6b'!$B13*100, "na")</f>
        <v>0.59926756194513631</v>
      </c>
      <c r="C14" s="43">
        <f>IFERROR('6a'!C14/'6b'!$B13*100, "na")</f>
        <v>5.2489193423681311</v>
      </c>
      <c r="D14" s="43">
        <f>IFERROR('6a'!D14/'6b'!$B13*100, "na")</f>
        <v>17.098717029271786</v>
      </c>
      <c r="E14" s="47">
        <f>IFERROR('6a'!E14/'6b'!$B13*100, "na")</f>
        <v>22.946903933585055</v>
      </c>
      <c r="F14" s="46">
        <f>IFERROR('6a'!F14/'6b'!$C13*100, "na")</f>
        <v>0.21077935419788468</v>
      </c>
      <c r="G14" s="43">
        <f>IFERROR('6a'!G14/'6b'!$C13*100, "na")</f>
        <v>1.3991760369393007</v>
      </c>
      <c r="H14" s="43">
        <f>IFERROR('6a'!H14/'6b'!$C13*100, "na")</f>
        <v>14.593082791754314</v>
      </c>
      <c r="I14" s="43">
        <f>IFERROR('6a'!I14/'6b'!$C13*100, "na")</f>
        <v>16.2030381828915</v>
      </c>
      <c r="J14" s="147">
        <f>IFERROR('6a'!J14/'6b'!$D13*100, "na")</f>
        <v>0.58040859905883901</v>
      </c>
      <c r="K14" s="100">
        <f>IFERROR('6a'!K14/'6b'!$D13*100, "na")</f>
        <v>4.8601670568889821</v>
      </c>
      <c r="L14" s="100">
        <f>IFERROR('6a'!L14/'6b'!$D13*100, "na")</f>
        <v>4.7244762499610884</v>
      </c>
      <c r="M14" s="101">
        <f>IFERROR('6a'!M14/'6b'!$D13*100, "na")</f>
        <v>10.165051905908909</v>
      </c>
    </row>
    <row r="15" spans="1:13">
      <c r="A15" s="28">
        <v>1990</v>
      </c>
      <c r="B15" s="46">
        <f>IFERROR('6a'!B15/'6b'!$B14*100, "na")</f>
        <v>0.65215181370965358</v>
      </c>
      <c r="C15" s="43">
        <f>IFERROR('6a'!C15/'6b'!$B14*100, "na")</f>
        <v>6.4665602245077158</v>
      </c>
      <c r="D15" s="43">
        <f>IFERROR('6a'!D15/'6b'!$B14*100, "na")</f>
        <v>19.8899122216087</v>
      </c>
      <c r="E15" s="47">
        <f>IFERROR('6a'!E15/'6b'!$B14*100, "na")</f>
        <v>27.008624259826071</v>
      </c>
      <c r="F15" s="46">
        <f>IFERROR('6a'!F15/'6b'!$C14*100, "na")</f>
        <v>0.32372041493981968</v>
      </c>
      <c r="G15" s="43">
        <f>IFERROR('6a'!G15/'6b'!$C14*100, "na")</f>
        <v>2.5487206314082691</v>
      </c>
      <c r="H15" s="43">
        <f>IFERROR('6a'!H15/'6b'!$C14*100, "na")</f>
        <v>9.5806609129952154</v>
      </c>
      <c r="I15" s="43">
        <f>IFERROR('6a'!I15/'6b'!$C14*100, "na")</f>
        <v>12.453101959343302</v>
      </c>
      <c r="J15" s="147">
        <f>IFERROR('6a'!J15/'6b'!$D14*100, "na")</f>
        <v>0.64185137598879693</v>
      </c>
      <c r="K15" s="100">
        <f>IFERROR('6a'!K15/'6b'!$D14*100, "na")</f>
        <v>6.4310286966178118</v>
      </c>
      <c r="L15" s="100">
        <f>IFERROR('6a'!L15/'6b'!$D14*100, "na")</f>
        <v>5.4985455162372432</v>
      </c>
      <c r="M15" s="101">
        <f>IFERROR('6a'!M15/'6b'!$D14*100, "na")</f>
        <v>12.571425588843852</v>
      </c>
    </row>
    <row r="16" spans="1:13">
      <c r="A16" s="28">
        <v>1991</v>
      </c>
      <c r="B16" s="46">
        <f>IFERROR('6a'!B16/'6b'!$B15*100, "na")</f>
        <v>0.61882168830364515</v>
      </c>
      <c r="C16" s="43">
        <f>IFERROR('6a'!C16/'6b'!$B15*100, "na")</f>
        <v>7.0753051139431946</v>
      </c>
      <c r="D16" s="43">
        <f>IFERROR('6a'!D16/'6b'!$B15*100, "na")</f>
        <v>16.377474201464825</v>
      </c>
      <c r="E16" s="47">
        <f>IFERROR('6a'!E16/'6b'!$B15*100, "na")</f>
        <v>24.071601003711667</v>
      </c>
      <c r="F16" s="46">
        <f>IFERROR('6a'!F16/'6b'!$C15*100, "na")</f>
        <v>0.36363608753261184</v>
      </c>
      <c r="G16" s="43">
        <f>IFERROR('6a'!G16/'6b'!$C15*100, "na")</f>
        <v>3.3947126759306423</v>
      </c>
      <c r="H16" s="43">
        <f>IFERROR('6a'!H16/'6b'!$C15*100, "na")</f>
        <v>6.3270391511997595</v>
      </c>
      <c r="I16" s="43">
        <f>IFERROR('6a'!I16/'6b'!$C15*100, "na")</f>
        <v>10.085387914663013</v>
      </c>
      <c r="J16" s="147">
        <f>IFERROR('6a'!J16/'6b'!$D15*100, "na")</f>
        <v>0.80161163630205179</v>
      </c>
      <c r="K16" s="100">
        <f>IFERROR('6a'!K16/'6b'!$D15*100, "na")</f>
        <v>8.3165140169632679</v>
      </c>
      <c r="L16" s="100">
        <f>IFERROR('6a'!L16/'6b'!$D15*100, "na")</f>
        <v>6.0408915145721158</v>
      </c>
      <c r="M16" s="101">
        <f>IFERROR('6a'!M16/'6b'!$D15*100, "na")</f>
        <v>15.159017167837439</v>
      </c>
    </row>
    <row r="17" spans="1:13">
      <c r="A17" s="28">
        <v>1992</v>
      </c>
      <c r="B17" s="46">
        <f>IFERROR('6a'!B17/'6b'!$B16*100, "na")</f>
        <v>0.53078756087806067</v>
      </c>
      <c r="C17" s="43">
        <f>IFERROR('6a'!C17/'6b'!$B16*100, "na")</f>
        <v>4.8266897043689134</v>
      </c>
      <c r="D17" s="43">
        <f>IFERROR('6a'!D17/'6b'!$B16*100, "na")</f>
        <v>25.37209792497271</v>
      </c>
      <c r="E17" s="43">
        <f>IFERROR('6a'!E17/'6b'!$B16*100, "na")</f>
        <v>30.729575190219684</v>
      </c>
      <c r="F17" s="46">
        <f>IFERROR('6a'!F17/'6b'!$C16*100, "na")</f>
        <v>0.38497593080584852</v>
      </c>
      <c r="G17" s="43">
        <f>IFERROR('6a'!G17/'6b'!$C16*100, "na")</f>
        <v>2.8694390957784508</v>
      </c>
      <c r="H17" s="43">
        <f>IFERROR('6a'!H17/'6b'!$C16*100, "na")</f>
        <v>2.3489640426671938</v>
      </c>
      <c r="I17" s="43">
        <f>IFERROR('6a'!I17/'6b'!$C16*100, "na")</f>
        <v>5.6033790692514938</v>
      </c>
      <c r="J17" s="147">
        <f>IFERROR('6a'!J17/'6b'!$D16*100, "na")</f>
        <v>0.96251979117364261</v>
      </c>
      <c r="K17" s="100">
        <f>IFERROR('6a'!K17/'6b'!$D16*100, "na")</f>
        <v>8.6545688312319449</v>
      </c>
      <c r="L17" s="100">
        <f>IFERROR('6a'!L17/'6b'!$D16*100, "na")</f>
        <v>5.7070042714712343</v>
      </c>
      <c r="M17" s="47">
        <f>IFERROR('6a'!M17/'6b'!$D16*100, "na")</f>
        <v>15.32409289387682</v>
      </c>
    </row>
    <row r="18" spans="1:13">
      <c r="A18" s="28">
        <v>1993</v>
      </c>
      <c r="B18" s="46">
        <f>IFERROR('6a'!B18/'6b'!$B17*100, "na")</f>
        <v>0.96784780437877327</v>
      </c>
      <c r="C18" s="43">
        <f>IFERROR('6a'!C18/'6b'!$B17*100, "na")</f>
        <v>7.2187582512106383</v>
      </c>
      <c r="D18" s="43">
        <f>IFERROR('6a'!D18/'6b'!$B17*100, "na")</f>
        <v>26.845695645966757</v>
      </c>
      <c r="E18" s="43">
        <f>IFERROR('6a'!E18/'6b'!$B17*100, "na")</f>
        <v>35.032301701556165</v>
      </c>
      <c r="F18" s="46">
        <f>IFERROR('6a'!F18/'6b'!$C17*100, "na")</f>
        <v>1.0676607440654124</v>
      </c>
      <c r="G18" s="43">
        <f>IFERROR('6a'!G18/'6b'!$C17*100, "na")</f>
        <v>8.3446382616467112</v>
      </c>
      <c r="H18" s="43">
        <f>IFERROR('6a'!H18/'6b'!$C17*100, "na")</f>
        <v>4.4917880188780703</v>
      </c>
      <c r="I18" s="43">
        <f>IFERROR('6a'!I18/'6b'!$C17*100, "na")</f>
        <v>13.904087024590195</v>
      </c>
      <c r="J18" s="147">
        <f>IFERROR('6a'!J18/'6b'!$D17*100, "na")</f>
        <v>0.84877230506182866</v>
      </c>
      <c r="K18" s="100">
        <f>IFERROR('6a'!K18/'6b'!$D17*100, "na")</f>
        <v>6.6424375437613676</v>
      </c>
      <c r="L18" s="100">
        <f>IFERROR('6a'!L18/'6b'!$D17*100, "na")</f>
        <v>4.1676781086335914</v>
      </c>
      <c r="M18" s="47">
        <f>IFERROR('6a'!M18/'6b'!$D17*100, "na")</f>
        <v>11.658887957456789</v>
      </c>
    </row>
    <row r="19" spans="1:13">
      <c r="A19" s="28">
        <v>1994</v>
      </c>
      <c r="B19" s="46">
        <f>IFERROR('6a'!B19/'6b'!$B18*100, "na")</f>
        <v>1.1482725089027324</v>
      </c>
      <c r="C19" s="43">
        <f>IFERROR('6a'!C19/'6b'!$B18*100, "na")</f>
        <v>10.563628616398855</v>
      </c>
      <c r="D19" s="43">
        <f>IFERROR('6a'!D19/'6b'!$B18*100, "na")</f>
        <v>38.907017651878824</v>
      </c>
      <c r="E19" s="47">
        <f>IFERROR('6a'!E19/'6b'!$B18*100, "na")</f>
        <v>50.618918777180411</v>
      </c>
      <c r="F19" s="46">
        <f>IFERROR('6a'!F19/'6b'!$C18*100, "na")</f>
        <v>1.2409574211998002</v>
      </c>
      <c r="G19" s="43">
        <f>IFERROR('6a'!G19/'6b'!$C18*100, "na")</f>
        <v>11.176628391083888</v>
      </c>
      <c r="H19" s="43">
        <f>IFERROR('6a'!H19/'6b'!$C18*100, "na")</f>
        <v>5.9109895066222773</v>
      </c>
      <c r="I19" s="43">
        <f>IFERROR('6a'!I19/'6b'!$C18*100, "na")</f>
        <v>18.328575318905965</v>
      </c>
      <c r="J19" s="147">
        <f>IFERROR('6a'!J19/'6b'!$D18*100, "na")</f>
        <v>0.89991958417304718</v>
      </c>
      <c r="K19" s="100">
        <f>IFERROR('6a'!K19/'6b'!$D18*100, "na")</f>
        <v>6.253937695306119</v>
      </c>
      <c r="L19" s="100">
        <f>IFERROR('6a'!L19/'6b'!$D18*100, "na")</f>
        <v>4.230855795995633</v>
      </c>
      <c r="M19" s="47">
        <f>IFERROR('6a'!M19/'6b'!$D18*100, "na")</f>
        <v>11.384713075474799</v>
      </c>
    </row>
    <row r="20" spans="1:13">
      <c r="A20" s="28">
        <v>1995</v>
      </c>
      <c r="B20" s="46">
        <f>IFERROR('6a'!B20/'6b'!$B19*100, "na")</f>
        <v>1.3946323116404118</v>
      </c>
      <c r="C20" s="43">
        <f>IFERROR('6a'!C20/'6b'!$B19*100, "na")</f>
        <v>10.28435747540858</v>
      </c>
      <c r="D20" s="43">
        <f>IFERROR('6a'!D20/'6b'!$B19*100, "na")</f>
        <v>45.781379196684213</v>
      </c>
      <c r="E20" s="43">
        <f>IFERROR('6a'!E20/'6b'!$B19*100, "na")</f>
        <v>57.460368983733204</v>
      </c>
      <c r="F20" s="46">
        <f>IFERROR('6a'!F20/'6b'!$C19*100, "na")</f>
        <v>0.96942717249748833</v>
      </c>
      <c r="G20" s="43">
        <f>IFERROR('6a'!G20/'6b'!$C19*100, "na")</f>
        <v>6.0421393981948821</v>
      </c>
      <c r="H20" s="43">
        <f>IFERROR('6a'!H20/'6b'!$C19*100, "na")</f>
        <v>3.5596281911372367</v>
      </c>
      <c r="I20" s="43">
        <f>IFERROR('6a'!I20/'6b'!$C19*100, "na")</f>
        <v>10.571194761829608</v>
      </c>
      <c r="J20" s="147">
        <f>IFERROR('6a'!J20/'6b'!$D19*100, "na")</f>
        <v>1.2907811547700143</v>
      </c>
      <c r="K20" s="100">
        <f>IFERROR('6a'!K20/'6b'!$D19*100, "na")</f>
        <v>6.5435336802810173</v>
      </c>
      <c r="L20" s="100">
        <f>IFERROR('6a'!L20/'6b'!$D19*100, "na")</f>
        <v>4.6314120762563871</v>
      </c>
      <c r="M20" s="47">
        <f>IFERROR('6a'!M20/'6b'!$D19*100, "na")</f>
        <v>12.465726911307417</v>
      </c>
    </row>
    <row r="21" spans="1:13">
      <c r="A21" s="28">
        <v>1996</v>
      </c>
      <c r="B21" s="46">
        <f>IFERROR('6a'!B21/'6b'!$B20*100, "na")</f>
        <v>1.7074278819936086</v>
      </c>
      <c r="C21" s="43">
        <f>IFERROR('6a'!C21/'6b'!$B20*100, "na")</f>
        <v>10.503207208795253</v>
      </c>
      <c r="D21" s="43">
        <f>IFERROR('6a'!D21/'6b'!$B20*100, "na")</f>
        <v>44.899473219039614</v>
      </c>
      <c r="E21" s="47">
        <f>IFERROR('6a'!E21/'6b'!$B20*100, "na")</f>
        <v>57.110108309828469</v>
      </c>
      <c r="F21" s="46">
        <f>IFERROR('6a'!F21/'6b'!$C20*100, "na")</f>
        <v>0.89813712923728461</v>
      </c>
      <c r="G21" s="43">
        <f>IFERROR('6a'!G21/'6b'!$C20*100, "na")</f>
        <v>4.408800832679912</v>
      </c>
      <c r="H21" s="43">
        <f>IFERROR('6a'!H21/'6b'!$C20*100, "na")</f>
        <v>2.6161590166786501</v>
      </c>
      <c r="I21" s="43">
        <f>IFERROR('6a'!I21/'6b'!$C20*100, "na")</f>
        <v>7.9230969785958463</v>
      </c>
      <c r="J21" s="147">
        <f>IFERROR('6a'!J21/'6b'!$D20*100, "na")</f>
        <v>1.5293088406079065</v>
      </c>
      <c r="K21" s="100">
        <f>IFERROR('6a'!K21/'6b'!$D20*100, "na")</f>
        <v>6.2846486145917702</v>
      </c>
      <c r="L21" s="100">
        <f>IFERROR('6a'!L21/'6b'!$D20*100, "na")</f>
        <v>4.3006396570719749</v>
      </c>
      <c r="M21" s="47">
        <f>IFERROR('6a'!M21/'6b'!$D20*100, "na")</f>
        <v>12.114597112271651</v>
      </c>
    </row>
    <row r="22" spans="1:13">
      <c r="A22" s="28">
        <v>1997</v>
      </c>
      <c r="B22" s="46">
        <f>IFERROR('6a'!B22/'6b'!$B21*100, "na")</f>
        <v>2.6585007783892176</v>
      </c>
      <c r="C22" s="43">
        <f>IFERROR('6a'!C22/'6b'!$B21*100, "na")</f>
        <v>11.365702080271257</v>
      </c>
      <c r="D22" s="43">
        <f>IFERROR('6a'!D22/'6b'!$B21*100, "na")</f>
        <v>41.828733084605545</v>
      </c>
      <c r="E22" s="47">
        <f>IFERROR('6a'!E22/'6b'!$B21*100, "na")</f>
        <v>55.852935943266026</v>
      </c>
      <c r="F22" s="46">
        <f>IFERROR('6a'!F22/'6b'!$C21*100, "na")</f>
        <v>0.90358322961648707</v>
      </c>
      <c r="G22" s="43">
        <f>IFERROR('6a'!G22/'6b'!$C21*100, "na")</f>
        <v>3.2862182051602886</v>
      </c>
      <c r="H22" s="43">
        <f>IFERROR('6a'!H22/'6b'!$C21*100, "na")</f>
        <v>1.6227784675865917</v>
      </c>
      <c r="I22" s="43">
        <f>IFERROR('6a'!I22/'6b'!$C21*100, "na")</f>
        <v>5.8125799023633675</v>
      </c>
      <c r="J22" s="147">
        <f>IFERROR('6a'!J22/'6b'!$D21*100, "na")</f>
        <v>2.0094907087698766</v>
      </c>
      <c r="K22" s="100">
        <f>IFERROR('6a'!K22/'6b'!$D21*100, "na")</f>
        <v>7.3042570252689174</v>
      </c>
      <c r="L22" s="100">
        <f>IFERROR('6a'!L22/'6b'!$D21*100, "na")</f>
        <v>4.392485946885003</v>
      </c>
      <c r="M22" s="101">
        <f>IFERROR('6a'!M22/'6b'!$D21*100, "na")</f>
        <v>13.706233680923797</v>
      </c>
    </row>
    <row r="23" spans="1:13">
      <c r="A23" s="28">
        <v>1998</v>
      </c>
      <c r="B23" s="46">
        <f>IFERROR('6a'!B23/'6b'!$B22*100, "na")</f>
        <v>2.5299050577860314</v>
      </c>
      <c r="C23" s="43">
        <f>IFERROR('6a'!C23/'6b'!$B22*100, "na")</f>
        <v>8.255686613857435</v>
      </c>
      <c r="D23" s="43">
        <f>IFERROR('6a'!D23/'6b'!$B22*100, "na")</f>
        <v>30.267858950210584</v>
      </c>
      <c r="E23" s="47">
        <f>IFERROR('6a'!E23/'6b'!$B22*100, "na")</f>
        <v>41.053450621854061</v>
      </c>
      <c r="F23" s="46">
        <f>IFERROR('6a'!F23/'6b'!$C22*100, "na")</f>
        <v>0.92125872013883936</v>
      </c>
      <c r="G23" s="43">
        <f>IFERROR('6a'!G23/'6b'!$C22*100, "na")</f>
        <v>2.6185017685978544</v>
      </c>
      <c r="H23" s="43">
        <f>IFERROR('6a'!H23/'6b'!$C22*100, "na")</f>
        <v>1.3063572484893495</v>
      </c>
      <c r="I23" s="43">
        <f>IFERROR('6a'!I23/'6b'!$C22*100, "na")</f>
        <v>4.8461177372260433</v>
      </c>
      <c r="J23" s="147">
        <f>IFERROR('6a'!J23/'6b'!$D22*100, "na")</f>
        <v>2.2662641154058183</v>
      </c>
      <c r="K23" s="100">
        <f>IFERROR('6a'!K23/'6b'!$D22*100, "na")</f>
        <v>6.8857710218573285</v>
      </c>
      <c r="L23" s="100">
        <f>IFERROR('6a'!L23/'6b'!$D22*100, "na")</f>
        <v>3.9567831177668324</v>
      </c>
      <c r="M23" s="101">
        <f>IFERROR('6a'!M23/'6b'!$D22*100, "na")</f>
        <v>13.108818255029977</v>
      </c>
    </row>
    <row r="24" spans="1:13">
      <c r="A24" s="28">
        <v>1999</v>
      </c>
      <c r="B24" s="46">
        <f>IFERROR('6a'!B24/'6b'!$B23*100, "na")</f>
        <v>2.0891772999674507</v>
      </c>
      <c r="C24" s="43">
        <f>IFERROR('6a'!C24/'6b'!$B23*100, "na")</f>
        <v>6.4581866927108766</v>
      </c>
      <c r="D24" s="43">
        <f>IFERROR('6a'!D24/'6b'!$B23*100, "na")</f>
        <v>22.158631549543507</v>
      </c>
      <c r="E24" s="47">
        <f>IFERROR('6a'!E24/'6b'!$B23*100, "na")</f>
        <v>30.705995542221835</v>
      </c>
      <c r="F24" s="46">
        <f>IFERROR('6a'!F24/'6b'!$C23*100, "na")</f>
        <v>1.2919348621287017</v>
      </c>
      <c r="G24" s="43">
        <f>IFERROR('6a'!G24/'6b'!$C23*100, "na")</f>
        <v>3.6308665225521501</v>
      </c>
      <c r="H24" s="43">
        <f>IFERROR('6a'!H24/'6b'!$C23*100, "na")</f>
        <v>1.8590238448101377</v>
      </c>
      <c r="I24" s="43">
        <f>IFERROR('6a'!I24/'6b'!$C23*100, "na")</f>
        <v>6.7818252294909893</v>
      </c>
      <c r="J24" s="147">
        <f>IFERROR('6a'!J24/'6b'!$D23*100, "na")</f>
        <v>3.2811038332978972</v>
      </c>
      <c r="K24" s="100">
        <f>IFERROR('6a'!K24/'6b'!$D23*100, "na")</f>
        <v>8.6881443769844324</v>
      </c>
      <c r="L24" s="100">
        <f>IFERROR('6a'!L24/'6b'!$D23*100, "na")</f>
        <v>4.8144286254147923</v>
      </c>
      <c r="M24" s="101">
        <f>IFERROR('6a'!M24/'6b'!$D23*100, "na")</f>
        <v>16.783676835697122</v>
      </c>
    </row>
    <row r="25" spans="1:13">
      <c r="A25" s="28">
        <v>2000</v>
      </c>
      <c r="B25" s="46">
        <f>IFERROR('6a'!B25/'6b'!$B24*100, "na")</f>
        <v>2.3390613125340973</v>
      </c>
      <c r="C25" s="43">
        <f>IFERROR('6a'!C25/'6b'!$B24*100, "na")</f>
        <v>7.3678309791806607</v>
      </c>
      <c r="D25" s="43">
        <f>IFERROR('6a'!D25/'6b'!$B24*100, "na")</f>
        <v>26.390324124719466</v>
      </c>
      <c r="E25" s="47">
        <f>IFERROR('6a'!E25/'6b'!$B24*100, "na")</f>
        <v>36.097216416434222</v>
      </c>
      <c r="F25" s="46">
        <f>IFERROR('6a'!F25/'6b'!$C24*100, "na")</f>
        <v>0.75658328868332658</v>
      </c>
      <c r="G25" s="43">
        <f>IFERROR('6a'!G25/'6b'!$C24*100, "na")</f>
        <v>1.8532130954102659</v>
      </c>
      <c r="H25" s="43">
        <f>IFERROR('6a'!H25/'6b'!$C24*100, "na")</f>
        <v>1.2016342455595457</v>
      </c>
      <c r="I25" s="43">
        <f>IFERROR('6a'!I25/'6b'!$C24*100, "na")</f>
        <v>3.8114306296531382</v>
      </c>
      <c r="J25" s="147">
        <f>IFERROR('6a'!J25/'6b'!$D24*100, "na")</f>
        <v>4.4276260527021867</v>
      </c>
      <c r="K25" s="100">
        <f>IFERROR('6a'!K25/'6b'!$D24*100, "na")</f>
        <v>11.02923910215504</v>
      </c>
      <c r="L25" s="100">
        <f>IFERROR('6a'!L25/'6b'!$D24*100, "na")</f>
        <v>6.981645027146703</v>
      </c>
      <c r="M25" s="101">
        <f>IFERROR('6a'!M25/'6b'!$D24*100, "na")</f>
        <v>22.438510182003931</v>
      </c>
    </row>
    <row r="26" spans="1:13">
      <c r="A26" s="28">
        <v>2001</v>
      </c>
      <c r="B26" s="46">
        <f>IFERROR('6a'!B26/'6b'!$B25*100, "na")</f>
        <v>2.0266623517335405</v>
      </c>
      <c r="C26" s="43">
        <f>IFERROR('6a'!C26/'6b'!$B25*100, "na")</f>
        <v>6.4454333313633665</v>
      </c>
      <c r="D26" s="43">
        <f>IFERROR('6a'!D26/'6b'!$B25*100, "na")</f>
        <v>23.627041167588789</v>
      </c>
      <c r="E26" s="47">
        <f>IFERROR('6a'!E26/'6b'!$B25*100, "na")</f>
        <v>32.099136850685703</v>
      </c>
      <c r="F26" s="46">
        <f>IFERROR('6a'!F26/'6b'!$C25*100, "na")</f>
        <v>0.47522538669786135</v>
      </c>
      <c r="G26" s="43">
        <f>IFERROR('6a'!G26/'6b'!$C25*100, "na")</f>
        <v>0.99882869572059285</v>
      </c>
      <c r="H26" s="43">
        <f>IFERROR('6a'!H26/'6b'!$C25*100, "na")</f>
        <v>0.88969596058999112</v>
      </c>
      <c r="I26" s="43">
        <f>IFERROR('6a'!I26/'6b'!$C25*100, "na")</f>
        <v>2.3637500430084453</v>
      </c>
      <c r="J26" s="147">
        <f>IFERROR('6a'!J26/'6b'!$D25*100, "na")</f>
        <v>4.5502223824995696</v>
      </c>
      <c r="K26" s="100">
        <f>IFERROR('6a'!K26/'6b'!$D25*100, "na")</f>
        <v>11.208649683698196</v>
      </c>
      <c r="L26" s="100">
        <f>IFERROR('6a'!L26/'6b'!$D25*100, "na")</f>
        <v>6.4921591403433956</v>
      </c>
      <c r="M26" s="101">
        <f>IFERROR('6a'!M26/'6b'!$D25*100, "na")</f>
        <v>22.25103120654116</v>
      </c>
    </row>
    <row r="27" spans="1:13">
      <c r="A27" s="28">
        <v>2002</v>
      </c>
      <c r="B27" s="46">
        <f>IFERROR('6a'!B27/'6b'!$B26*100, "na")</f>
        <v>1.176056338028169</v>
      </c>
      <c r="C27" s="43">
        <f>IFERROR('6a'!C27/'6b'!$B26*100, "na")</f>
        <v>2.4295774647887325</v>
      </c>
      <c r="D27" s="43">
        <f>IFERROR('6a'!D27/'6b'!$B26*100, "na")</f>
        <v>8.5985915492957741</v>
      </c>
      <c r="E27" s="47">
        <f>IFERROR('6a'!E27/'6b'!$B26*100, "na")</f>
        <v>12.204225352112676</v>
      </c>
      <c r="F27" s="46">
        <f>IFERROR('6a'!F27/'6b'!$C26*100, "na")</f>
        <v>0.74242424242424243</v>
      </c>
      <c r="G27" s="43">
        <f>IFERROR('6a'!G27/'6b'!$C26*100, "na")</f>
        <v>1.4242424242424243</v>
      </c>
      <c r="H27" s="43">
        <f>IFERROR('6a'!H27/'6b'!$C26*100, "na")</f>
        <v>1.6969696969696972</v>
      </c>
      <c r="I27" s="43">
        <f>IFERROR('6a'!I27/'6b'!$C26*100, "na")</f>
        <v>3.8636363636363633</v>
      </c>
      <c r="J27" s="147">
        <f>IFERROR('6a'!J27/'6b'!$D26*100, "na")</f>
        <v>4.7943086916176929</v>
      </c>
      <c r="K27" s="100">
        <f>IFERROR('6a'!K27/'6b'!$D26*100, "na")</f>
        <v>11.320754716981133</v>
      </c>
      <c r="L27" s="100">
        <f>IFERROR('6a'!L27/'6b'!$D26*100, "na")</f>
        <v>5.1778533869471079</v>
      </c>
      <c r="M27" s="101">
        <f>IFERROR('6a'!M27/'6b'!$D26*100, "na")</f>
        <v>21.292916795545931</v>
      </c>
    </row>
    <row r="28" spans="1:13">
      <c r="A28" s="28">
        <v>2003</v>
      </c>
      <c r="B28" s="46">
        <f>IFERROR('6a'!B28/'6b'!$B27*100, "na")</f>
        <v>1.4775699548242289</v>
      </c>
      <c r="C28" s="43">
        <f>IFERROR('6a'!C28/'6b'!$B27*100, "na")</f>
        <v>3.0468061266648077</v>
      </c>
      <c r="D28" s="43">
        <f>IFERROR('6a'!D28/'6b'!$B27*100, "na")</f>
        <v>11.15331675816339</v>
      </c>
      <c r="E28" s="47">
        <f>IFERROR('6a'!E28/'6b'!$B27*100, "na")</f>
        <v>15.677692839652426</v>
      </c>
      <c r="F28" s="46">
        <f>IFERROR('6a'!F28/'6b'!$C27*100, "na")</f>
        <v>1.272860336084624</v>
      </c>
      <c r="G28" s="43">
        <f>IFERROR('6a'!G28/'6b'!$C27*100, "na")</f>
        <v>2.3415539817569426</v>
      </c>
      <c r="H28" s="43">
        <f>IFERROR('6a'!H28/'6b'!$C27*100, "na")</f>
        <v>2.7875329925795449</v>
      </c>
      <c r="I28" s="43">
        <f>IFERROR('6a'!I28/'6b'!$C27*100, "na")</f>
        <v>6.4019473104211109</v>
      </c>
      <c r="J28" s="147">
        <f>IFERROR('6a'!J28/'6b'!$D27*100, "na")</f>
        <v>4.5558070622061964</v>
      </c>
      <c r="K28" s="100">
        <f>IFERROR('6a'!K28/'6b'!$D27*100, "na")</f>
        <v>10.58236867461396</v>
      </c>
      <c r="L28" s="100">
        <f>IFERROR('6a'!L28/'6b'!$D27*100, "na")</f>
        <v>4.5915140486633614</v>
      </c>
      <c r="M28" s="101">
        <f>IFERROR('6a'!M28/'6b'!$D27*100, "na")</f>
        <v>19.729689785483519</v>
      </c>
    </row>
    <row r="29" spans="1:13">
      <c r="A29" s="28">
        <v>2004</v>
      </c>
      <c r="B29" s="46">
        <f>IFERROR('6a'!B29/'6b'!$B28*100, "na")</f>
        <v>1.2718483156138738</v>
      </c>
      <c r="C29" s="43">
        <f>IFERROR('6a'!C29/'6b'!$B28*100, "na")</f>
        <v>2.7171800405885991</v>
      </c>
      <c r="D29" s="43">
        <f>IFERROR('6a'!D29/'6b'!$B28*100, "na")</f>
        <v>9.1633560692551992</v>
      </c>
      <c r="E29" s="47">
        <f>IFERROR('6a'!E29/'6b'!$B28*100, "na")</f>
        <v>13.152384425457672</v>
      </c>
      <c r="F29" s="46">
        <f>IFERROR('6a'!F29/'6b'!$C28*100, "na")</f>
        <v>1.2042983474651756</v>
      </c>
      <c r="G29" s="43">
        <f>IFERROR('6a'!G29/'6b'!$C28*100, "na")</f>
        <v>2.2940065765701858</v>
      </c>
      <c r="H29" s="43">
        <f>IFERROR('6a'!H29/'6b'!$C28*100, "na")</f>
        <v>2.4919028720828518</v>
      </c>
      <c r="I29" s="43">
        <f>IFERROR('6a'!I29/'6b'!$C28*100, "na")</f>
        <v>5.9902077961182139</v>
      </c>
      <c r="J29" s="147">
        <f>IFERROR('6a'!J29/'6b'!$D28*100, "na")</f>
        <v>4.2709363028110481</v>
      </c>
      <c r="K29" s="100">
        <f>IFERROR('6a'!K29/'6b'!$D28*100, "na")</f>
        <v>9.8260846899589005</v>
      </c>
      <c r="L29" s="100">
        <f>IFERROR('6a'!L29/'6b'!$D28*100, "na")</f>
        <v>4.1728487433422163</v>
      </c>
      <c r="M29" s="101">
        <f>IFERROR('6a'!M29/'6b'!$D28*100, "na")</f>
        <v>18.269869736112167</v>
      </c>
    </row>
    <row r="30" spans="1:13">
      <c r="A30" s="28">
        <v>2005</v>
      </c>
      <c r="B30" s="46">
        <f>IFERROR('6a'!B30/'6b'!$B29*100, "na")</f>
        <v>1.3683661242653566</v>
      </c>
      <c r="C30" s="43">
        <f>IFERROR('6a'!C30/'6b'!$B29*100, "na")</f>
        <v>2.8746568542139652</v>
      </c>
      <c r="D30" s="43">
        <f>IFERROR('6a'!D30/'6b'!$B29*100, "na")</f>
        <v>9.0025095199450629</v>
      </c>
      <c r="E30" s="47">
        <f>IFERROR('6a'!E30/'6b'!$B29*100, "na")</f>
        <v>13.245532498424383</v>
      </c>
      <c r="F30" s="46">
        <f>IFERROR('6a'!F30/'6b'!$C29*100, "na")</f>
        <v>1.6721414723170958</v>
      </c>
      <c r="G30" s="43">
        <f>IFERROR('6a'!G30/'6b'!$C29*100, "na")</f>
        <v>2.9754478894481236</v>
      </c>
      <c r="H30" s="43">
        <f>IFERROR('6a'!H30/'6b'!$C29*100, "na")</f>
        <v>2.9638099052195965</v>
      </c>
      <c r="I30" s="43">
        <f>IFERROR('6a'!I30/'6b'!$C29*100, "na")</f>
        <v>7.6113992669848152</v>
      </c>
      <c r="J30" s="147">
        <f>IFERROR('6a'!J30/'6b'!$D29*100, "na")</f>
        <v>3.966946790150025</v>
      </c>
      <c r="K30" s="100">
        <f>IFERROR('6a'!K30/'6b'!$D29*100, "na")</f>
        <v>8.7092391065350494</v>
      </c>
      <c r="L30" s="100">
        <f>IFERROR('6a'!L30/'6b'!$D29*100, "na")</f>
        <v>3.5322501406699054</v>
      </c>
      <c r="M30" s="101">
        <f>IFERROR('6a'!M30/'6b'!$D29*100, "na")</f>
        <v>16.208436037354982</v>
      </c>
    </row>
    <row r="31" spans="1:13">
      <c r="A31" s="28">
        <v>2006</v>
      </c>
      <c r="B31" s="46">
        <f>IFERROR('6a'!B31/'6b'!$B30*100, "na")</f>
        <v>1.7863242017566998</v>
      </c>
      <c r="C31" s="43">
        <f>IFERROR('6a'!C31/'6b'!$B30*100, "na")</f>
        <v>3.0458907195652176</v>
      </c>
      <c r="D31" s="43">
        <f>IFERROR('6a'!D31/'6b'!$B30*100, "na")</f>
        <v>9.5132717101475617</v>
      </c>
      <c r="E31" s="47">
        <f>IFERROR('6a'!E31/'6b'!$B30*100, "na")</f>
        <v>14.345486631469479</v>
      </c>
      <c r="F31" s="46">
        <f>IFERROR('6a'!F31/'6b'!$C30*100, "na")</f>
        <v>2.4249811828982359</v>
      </c>
      <c r="G31" s="43">
        <f>IFERROR('6a'!G31/'6b'!$C30*100, "na")</f>
        <v>3.3297752370788274</v>
      </c>
      <c r="H31" s="43">
        <f>IFERROR('6a'!H31/'6b'!$C30*100, "na")</f>
        <v>3.3608053330926451</v>
      </c>
      <c r="I31" s="43">
        <f>IFERROR('6a'!I31/'6b'!$C30*100, "na")</f>
        <v>9.1155617530697075</v>
      </c>
      <c r="J31" s="147">
        <f>IFERROR('6a'!J31/'6b'!$D30*100, "na")</f>
        <v>3.8201691034691621</v>
      </c>
      <c r="K31" s="100">
        <f>IFERROR('6a'!K31/'6b'!$D30*100, "na")</f>
        <v>7.0890893706348965</v>
      </c>
      <c r="L31" s="100">
        <f>IFERROR('6a'!L31/'6b'!$D30*100, "na")</f>
        <v>3.1048845638324618</v>
      </c>
      <c r="M31" s="101">
        <f>IFERROR('6a'!M31/'6b'!$D30*100, "na")</f>
        <v>14.014143037936519</v>
      </c>
    </row>
    <row r="32" spans="1:13">
      <c r="A32" s="28">
        <v>2007</v>
      </c>
      <c r="B32" s="46">
        <f>IFERROR('6a'!B32/'6b'!$B31*100, "na")</f>
        <v>1.8298940185032957</v>
      </c>
      <c r="C32" s="43">
        <f>IFERROR('6a'!C32/'6b'!$B31*100, "na")</f>
        <v>2.7483509873592928</v>
      </c>
      <c r="D32" s="43">
        <f>IFERROR('6a'!D32/'6b'!$B31*100, "na")</f>
        <v>9.265654133253646</v>
      </c>
      <c r="E32" s="47">
        <f>IFERROR('6a'!E32/'6b'!$B31*100, "na")</f>
        <v>13.843899139116234</v>
      </c>
      <c r="F32" s="46">
        <f>IFERROR('6a'!F32/'6b'!$C31*100, "na")</f>
        <v>1.7938649628831391</v>
      </c>
      <c r="G32" s="43">
        <f>IFERROR('6a'!G32/'6b'!$C31*100, "na")</f>
        <v>2.1139291347159492</v>
      </c>
      <c r="H32" s="43">
        <f>IFERROR('6a'!H32/'6b'!$C31*100, "na")</f>
        <v>2.29314061327679</v>
      </c>
      <c r="I32" s="43">
        <f>IFERROR('6a'!I32/'6b'!$C31*100, "na")</f>
        <v>6.2009347108758783</v>
      </c>
      <c r="J32" s="147">
        <f>IFERROR('6a'!J32/'6b'!$D31*100, "na")</f>
        <v>3.8806085449396295</v>
      </c>
      <c r="K32" s="100">
        <f>IFERROR('6a'!K32/'6b'!$D31*100, "na")</f>
        <v>6.6902645416556688</v>
      </c>
      <c r="L32" s="100">
        <f>IFERROR('6a'!L32/'6b'!$D31*100, "na")</f>
        <v>3.0745040519224185</v>
      </c>
      <c r="M32" s="101">
        <f>IFERROR('6a'!M32/'6b'!$D31*100, "na")</f>
        <v>13.645377138517716</v>
      </c>
    </row>
    <row r="33" spans="1:13">
      <c r="A33" s="28">
        <v>2008</v>
      </c>
      <c r="B33" s="46">
        <f>IFERROR('6a'!B33/'6b'!$B32*100, "na")</f>
        <v>2.1495902505972744</v>
      </c>
      <c r="C33" s="43">
        <f>IFERROR('6a'!C33/'6b'!$B32*100, "na")</f>
        <v>2.9072122983984561</v>
      </c>
      <c r="D33" s="43">
        <f>IFERROR('6a'!D33/'6b'!$B32*100, "na")</f>
        <v>9.0791378505081877</v>
      </c>
      <c r="E33" s="47">
        <f>IFERROR('6a'!E33/'6b'!$B32*100, "na")</f>
        <v>14.135940399503916</v>
      </c>
      <c r="F33" s="46">
        <f>IFERROR('6a'!F33/'6b'!$C32*100, "na")</f>
        <v>1.9620985680611116</v>
      </c>
      <c r="G33" s="43">
        <f>IFERROR('6a'!G33/'6b'!$C32*100, "na")</f>
        <v>2.0546445566922942</v>
      </c>
      <c r="H33" s="43">
        <f>IFERROR('6a'!H33/'6b'!$C32*100, "na")</f>
        <v>2.0628907202245723</v>
      </c>
      <c r="I33" s="43">
        <f>IFERROR('6a'!I33/'6b'!$C32*100, "na")</f>
        <v>6.0796338449779785</v>
      </c>
      <c r="J33" s="147">
        <f>IFERROR('6a'!J33/'6b'!$D32*100, "na")</f>
        <v>3.9527415550750971</v>
      </c>
      <c r="K33" s="100">
        <f>IFERROR('6a'!K33/'6b'!$D32*100, "na")</f>
        <v>6.5467994835567627</v>
      </c>
      <c r="L33" s="100">
        <f>IFERROR('6a'!L33/'6b'!$D32*100, "na")</f>
        <v>2.7458417811267735</v>
      </c>
      <c r="M33" s="101">
        <f>IFERROR('6a'!M33/'6b'!$D32*100, "na")</f>
        <v>13.245382819758634</v>
      </c>
    </row>
    <row r="34" spans="1:13">
      <c r="A34" s="28">
        <v>2009</v>
      </c>
      <c r="B34" s="46">
        <f>IFERROR('6a'!B34/'6b'!$B33*100, "na")</f>
        <v>3.1362907778941107</v>
      </c>
      <c r="C34" s="43">
        <f>IFERROR('6a'!C34/'6b'!$B33*100, "na")</f>
        <v>4.0921817718089644</v>
      </c>
      <c r="D34" s="43">
        <f>IFERROR('6a'!D34/'6b'!$B33*100, "na")</f>
        <v>12.134519043375537</v>
      </c>
      <c r="E34" s="47">
        <f>IFERROR('6a'!E34/'6b'!$B33*100, "na")</f>
        <v>19.362991593078611</v>
      </c>
      <c r="F34" s="46">
        <f>IFERROR('6a'!F34/'6b'!$C33*100, "na")</f>
        <v>2.7288218504812263</v>
      </c>
      <c r="G34" s="43">
        <f>IFERROR('6a'!G34/'6b'!$C33*100, "na")</f>
        <v>2.6823414446265623</v>
      </c>
      <c r="H34" s="43">
        <f>IFERROR('6a'!H34/'6b'!$C33*100, "na")</f>
        <v>2.5642803909951475</v>
      </c>
      <c r="I34" s="43">
        <f>IFERROR('6a'!I34/'6b'!$C33*100, "na")</f>
        <v>7.9754436861029356</v>
      </c>
      <c r="J34" s="147">
        <f>IFERROR('6a'!J34/'6b'!$D33*100, "na")</f>
        <v>5.6191176573999488</v>
      </c>
      <c r="K34" s="100">
        <f>IFERROR('6a'!K34/'6b'!$D33*100, "na")</f>
        <v>9.5299971692499952</v>
      </c>
      <c r="L34" s="100">
        <f>IFERROR('6a'!L34/'6b'!$D33*100, "na")</f>
        <v>3.721507555767805</v>
      </c>
      <c r="M34" s="101">
        <f>IFERROR('6a'!M34/'6b'!$D33*100, "na")</f>
        <v>18.87062238241775</v>
      </c>
    </row>
    <row r="35" spans="1:13">
      <c r="A35" s="29">
        <v>2010</v>
      </c>
      <c r="B35" s="48">
        <f>IFERROR('6a'!B35/'6b'!$B34*100, "na")</f>
        <v>4.0395576518487033</v>
      </c>
      <c r="C35" s="49">
        <f>IFERROR('6a'!C35/'6b'!$B34*100, "na")</f>
        <v>4.1976082279722693</v>
      </c>
      <c r="D35" s="49">
        <f>IFERROR('6a'!D35/'6b'!$B34*100, "na")</f>
        <v>13.4819520482647</v>
      </c>
      <c r="E35" s="50">
        <f>IFERROR('6a'!E35/'6b'!$B34*100, "na")</f>
        <v>21.719117928085673</v>
      </c>
      <c r="F35" s="48">
        <f>IFERROR('6a'!F35/'6b'!$C34*100, "na")</f>
        <v>3.2978656408797469</v>
      </c>
      <c r="G35" s="49">
        <f>IFERROR('6a'!G35/'6b'!$C34*100, "na")</f>
        <v>2.5731241774500946</v>
      </c>
      <c r="H35" s="49">
        <f>IFERROR('6a'!H35/'6b'!$C34*100, "na")</f>
        <v>2.6601133002095514</v>
      </c>
      <c r="I35" s="49">
        <f>IFERROR('6a'!I35/'6b'!$C34*100, "na")</f>
        <v>8.5311031185393933</v>
      </c>
      <c r="J35" s="148">
        <f>IFERROR('6a'!J35/'6b'!$D34*100, "na")</f>
        <v>6.6335350273865226</v>
      </c>
      <c r="K35" s="102">
        <f>IFERROR('6a'!K35/'6b'!$D34*100, "na")</f>
        <v>8.8829924827787323</v>
      </c>
      <c r="L35" s="102">
        <f>IFERROR('6a'!L35/'6b'!$D34*100, "na")</f>
        <v>3.8032205591554762</v>
      </c>
      <c r="M35" s="103">
        <f>IFERROR('6a'!M35/'6b'!$D34*100, "na")</f>
        <v>19.319748069320735</v>
      </c>
    </row>
    <row r="36" spans="1:13">
      <c r="A36" s="26"/>
      <c r="B36" s="10"/>
      <c r="C36" s="10"/>
      <c r="D36" s="10"/>
      <c r="E36" s="10"/>
      <c r="F36" s="10"/>
      <c r="G36" s="10"/>
      <c r="H36" s="10"/>
      <c r="I36" s="10"/>
      <c r="J36" s="1"/>
      <c r="K36" s="1"/>
      <c r="L36" s="1"/>
      <c r="M36" s="1"/>
    </row>
    <row r="37" spans="1:13">
      <c r="A37" s="389" t="s">
        <v>77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15" t="s">
        <v>53</v>
      </c>
      <c r="B38" s="82">
        <f>B15-B6</f>
        <v>0.55646193295961677</v>
      </c>
      <c r="C38" s="83">
        <f t="shared" ref="C38:I38" si="0">C15-C6</f>
        <v>0.92454331858964967</v>
      </c>
      <c r="D38" s="83">
        <f t="shared" si="0"/>
        <v>17.706749918583956</v>
      </c>
      <c r="E38" s="84">
        <f t="shared" si="0"/>
        <v>19.187755170133222</v>
      </c>
      <c r="F38" s="82">
        <f t="shared" si="0"/>
        <v>0.30795502564478139</v>
      </c>
      <c r="G38" s="83">
        <f t="shared" si="0"/>
        <v>2.3973441703945291</v>
      </c>
      <c r="H38" s="83">
        <f t="shared" si="0"/>
        <v>3.2371926807167384E-2</v>
      </c>
      <c r="I38" s="84">
        <f t="shared" si="0"/>
        <v>2.7376711228464767</v>
      </c>
      <c r="J38" s="83" t="s">
        <v>37</v>
      </c>
      <c r="K38" s="83" t="s">
        <v>37</v>
      </c>
      <c r="L38" s="83" t="s">
        <v>37</v>
      </c>
      <c r="M38" s="84" t="s">
        <v>37</v>
      </c>
    </row>
    <row r="39" spans="1:13">
      <c r="A39" s="16" t="s">
        <v>71</v>
      </c>
      <c r="B39" s="85">
        <f>B25-B15</f>
        <v>1.6869094988244437</v>
      </c>
      <c r="C39" s="86">
        <f t="shared" ref="C39:M39" si="1">C25-C15</f>
        <v>0.90127075467294482</v>
      </c>
      <c r="D39" s="86">
        <f t="shared" si="1"/>
        <v>6.5004119031107663</v>
      </c>
      <c r="E39" s="87">
        <f t="shared" si="1"/>
        <v>9.0885921566081507</v>
      </c>
      <c r="F39" s="85">
        <f t="shared" si="1"/>
        <v>0.4328628737435069</v>
      </c>
      <c r="G39" s="86">
        <f t="shared" si="1"/>
        <v>-0.69550753599800319</v>
      </c>
      <c r="H39" s="86">
        <f t="shared" si="1"/>
        <v>-8.379026667435669</v>
      </c>
      <c r="I39" s="87">
        <f t="shared" si="1"/>
        <v>-8.6416713296901637</v>
      </c>
      <c r="J39" s="86">
        <f t="shared" si="1"/>
        <v>3.7857746767133897</v>
      </c>
      <c r="K39" s="86">
        <f t="shared" si="1"/>
        <v>4.5982104055372286</v>
      </c>
      <c r="L39" s="86">
        <f t="shared" si="1"/>
        <v>1.4830995109094598</v>
      </c>
      <c r="M39" s="87">
        <f t="shared" si="1"/>
        <v>9.8670845931600795</v>
      </c>
    </row>
    <row r="40" spans="1:13">
      <c r="A40" s="16" t="s">
        <v>69</v>
      </c>
      <c r="B40" s="85">
        <f>B35-B25</f>
        <v>1.700496339314606</v>
      </c>
      <c r="C40" s="86">
        <f t="shared" ref="C40:M40" si="2">C35-C25</f>
        <v>-3.1702227512083914</v>
      </c>
      <c r="D40" s="86">
        <f t="shared" si="2"/>
        <v>-12.908372076454766</v>
      </c>
      <c r="E40" s="87">
        <f t="shared" si="2"/>
        <v>-14.378098488348549</v>
      </c>
      <c r="F40" s="85">
        <f t="shared" si="2"/>
        <v>2.5412823521964203</v>
      </c>
      <c r="G40" s="86">
        <f>G35-G25</f>
        <v>0.71991108203982868</v>
      </c>
      <c r="H40" s="86">
        <f t="shared" si="2"/>
        <v>1.4584790546500057</v>
      </c>
      <c r="I40" s="87">
        <f t="shared" si="2"/>
        <v>4.7196724888862551</v>
      </c>
      <c r="J40" s="86">
        <f t="shared" si="2"/>
        <v>2.2059089746843359</v>
      </c>
      <c r="K40" s="86">
        <f t="shared" si="2"/>
        <v>-2.1462466193763081</v>
      </c>
      <c r="L40" s="86">
        <f t="shared" si="2"/>
        <v>-3.1784244679912268</v>
      </c>
      <c r="M40" s="87">
        <f t="shared" si="2"/>
        <v>-3.1187621126831964</v>
      </c>
    </row>
    <row r="41" spans="1:13">
      <c r="A41" s="17" t="s">
        <v>70</v>
      </c>
      <c r="B41" s="88">
        <f>B35-B6</f>
        <v>3.9438677710986667</v>
      </c>
      <c r="C41" s="89">
        <f t="shared" ref="C41:I41" si="3">C35-C6</f>
        <v>-1.3444086779457969</v>
      </c>
      <c r="D41" s="89">
        <f t="shared" si="3"/>
        <v>11.298789745239954</v>
      </c>
      <c r="E41" s="90">
        <f t="shared" si="3"/>
        <v>13.898248838392826</v>
      </c>
      <c r="F41" s="88">
        <f t="shared" si="3"/>
        <v>3.2821002515847084</v>
      </c>
      <c r="G41" s="89">
        <f t="shared" si="3"/>
        <v>2.4217477164363546</v>
      </c>
      <c r="H41" s="89">
        <f t="shared" si="3"/>
        <v>-6.8881756859784966</v>
      </c>
      <c r="I41" s="90">
        <f t="shared" si="3"/>
        <v>-1.1843277179574319</v>
      </c>
      <c r="J41" s="89" t="s">
        <v>37</v>
      </c>
      <c r="K41" s="89" t="s">
        <v>37</v>
      </c>
      <c r="L41" s="89" t="s">
        <v>37</v>
      </c>
      <c r="M41" s="90" t="s">
        <v>37</v>
      </c>
    </row>
    <row r="43" spans="1:13">
      <c r="A43" s="204" t="s">
        <v>146</v>
      </c>
    </row>
  </sheetData>
  <mergeCells count="4">
    <mergeCell ref="B4:E4"/>
    <mergeCell ref="F4:I4"/>
    <mergeCell ref="J4:M4"/>
    <mergeCell ref="A37:M37"/>
  </mergeCells>
  <pageMargins left="0.7" right="0.7" top="0.75" bottom="0.75" header="0.3" footer="0.3"/>
  <pageSetup scale="72" orientation="landscape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73"/>
  <dimension ref="A1:M44"/>
  <sheetViews>
    <sheetView topLeftCell="A25" zoomScaleNormal="100" workbookViewId="0">
      <selection activeCell="B15" sqref="B15"/>
    </sheetView>
  </sheetViews>
  <sheetFormatPr defaultRowHeight="15"/>
  <cols>
    <col min="1" max="1" width="13" style="1" customWidth="1"/>
    <col min="2" max="3" width="12.28515625" style="1" bestFit="1" customWidth="1"/>
    <col min="4" max="4" width="17.5703125" style="1" bestFit="1" customWidth="1"/>
    <col min="5" max="5" width="15.28515625" style="1" bestFit="1" customWidth="1"/>
    <col min="6" max="7" width="10.85546875" style="1" bestFit="1" customWidth="1"/>
    <col min="8" max="8" width="17.5703125" style="1" bestFit="1" customWidth="1"/>
    <col min="9" max="9" width="12.28515625" style="1" bestFit="1" customWidth="1"/>
    <col min="10" max="11" width="14.42578125" style="1" bestFit="1" customWidth="1"/>
    <col min="12" max="12" width="17.85546875" style="1" customWidth="1"/>
    <col min="13" max="13" width="15.85546875" style="1" bestFit="1" customWidth="1"/>
    <col min="14" max="14" width="9.140625" style="1"/>
    <col min="15" max="15" width="8" style="1" bestFit="1" customWidth="1"/>
    <col min="16" max="16384" width="9.140625" style="1"/>
  </cols>
  <sheetData>
    <row r="1" spans="1:13">
      <c r="A1" s="398" t="s">
        <v>194</v>
      </c>
      <c r="B1" s="398"/>
      <c r="C1" s="398"/>
      <c r="D1" s="398"/>
      <c r="E1" s="398"/>
      <c r="F1" s="398"/>
      <c r="G1" s="398"/>
      <c r="H1" s="398"/>
    </row>
    <row r="2" spans="1:13">
      <c r="A2" s="398"/>
      <c r="B2" s="398"/>
      <c r="C2" s="398"/>
      <c r="D2" s="398"/>
      <c r="E2" s="398"/>
      <c r="F2" s="398"/>
      <c r="G2" s="398"/>
      <c r="H2" s="398"/>
    </row>
    <row r="3" spans="1:13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A5" s="18"/>
      <c r="B5" s="3" t="s">
        <v>0</v>
      </c>
      <c r="C5" s="4" t="s">
        <v>1</v>
      </c>
      <c r="D5" s="4" t="s">
        <v>2</v>
      </c>
      <c r="E5" s="275" t="s">
        <v>75</v>
      </c>
      <c r="F5" s="3" t="s">
        <v>0</v>
      </c>
      <c r="G5" s="4" t="s">
        <v>1</v>
      </c>
      <c r="H5" s="4" t="s">
        <v>2</v>
      </c>
      <c r="I5" s="275" t="s">
        <v>75</v>
      </c>
      <c r="J5" s="3" t="s">
        <v>39</v>
      </c>
      <c r="K5" s="4" t="s">
        <v>41</v>
      </c>
      <c r="L5" s="4" t="s">
        <v>40</v>
      </c>
      <c r="M5" s="275" t="s">
        <v>75</v>
      </c>
    </row>
    <row r="6" spans="1:13">
      <c r="A6" s="19" t="s">
        <v>6</v>
      </c>
      <c r="B6" s="6">
        <f>240000000/(1000000)</f>
        <v>240</v>
      </c>
      <c r="C6" s="7">
        <f>273000000/(1000000)</f>
        <v>273</v>
      </c>
      <c r="D6" s="7">
        <f>556000000/(1000000)</f>
        <v>556</v>
      </c>
      <c r="E6" s="8">
        <f>(SUM(B6:D6))</f>
        <v>1069</v>
      </c>
      <c r="F6" s="7">
        <f>56000000/(1000000)</f>
        <v>56</v>
      </c>
      <c r="G6" s="7">
        <f>15000000/(1000000)</f>
        <v>15</v>
      </c>
      <c r="H6" s="7">
        <f>1025000000/(1000000)</f>
        <v>1025</v>
      </c>
      <c r="I6" s="8">
        <f>(SUM(F6:H6))</f>
        <v>1096</v>
      </c>
      <c r="J6" s="91">
        <f>32700000000/(1000000)</f>
        <v>32700.000000000004</v>
      </c>
      <c r="K6" s="92">
        <f>23000000000/(1000000)</f>
        <v>23000</v>
      </c>
      <c r="L6" s="92">
        <f>136000000000/(1000000)</f>
        <v>136000</v>
      </c>
      <c r="M6" s="8">
        <f>(SUM(J6:L6))</f>
        <v>191700</v>
      </c>
    </row>
    <row r="7" spans="1:13">
      <c r="A7" s="20" t="s">
        <v>7</v>
      </c>
      <c r="B7" s="9">
        <f>168000000/(1000000)</f>
        <v>168</v>
      </c>
      <c r="C7" s="10">
        <f>198000000/(1000000)</f>
        <v>198</v>
      </c>
      <c r="D7" s="10">
        <f>569000000/(1000000)</f>
        <v>569</v>
      </c>
      <c r="E7" s="11">
        <f t="shared" ref="E7:E35" si="0">(SUM(B7:D7))</f>
        <v>935</v>
      </c>
      <c r="F7" s="10">
        <f>45000000/(1000000)</f>
        <v>45</v>
      </c>
      <c r="G7" s="10">
        <f>11000000/(1000000)</f>
        <v>11</v>
      </c>
      <c r="H7" s="10">
        <f>1172000000/(1000000)</f>
        <v>1172</v>
      </c>
      <c r="I7" s="11">
        <f t="shared" ref="I7:I35" si="1">(SUM(F7:H7))</f>
        <v>1228</v>
      </c>
      <c r="J7" s="93">
        <f>38400000000/(1000000)</f>
        <v>38400</v>
      </c>
      <c r="K7" s="94">
        <f>26800000000/(1000000)</f>
        <v>26800</v>
      </c>
      <c r="L7" s="94">
        <f>153600000000/(1000000)</f>
        <v>153600</v>
      </c>
      <c r="M7" s="11">
        <f t="shared" ref="M7:M35" si="2">(SUM(J7:L7))</f>
        <v>218800</v>
      </c>
    </row>
    <row r="8" spans="1:13">
      <c r="A8" s="20" t="s">
        <v>8</v>
      </c>
      <c r="B8" s="9">
        <f>117000000/(1000000)</f>
        <v>117</v>
      </c>
      <c r="C8" s="10">
        <f>156000000/(1000000)</f>
        <v>156</v>
      </c>
      <c r="D8" s="10">
        <f>676000000/(1000000)</f>
        <v>676</v>
      </c>
      <c r="E8" s="11">
        <f t="shared" si="0"/>
        <v>949</v>
      </c>
      <c r="F8" s="10">
        <f>28000000/(1000000)</f>
        <v>28</v>
      </c>
      <c r="G8" s="10">
        <f>9000000/(1000000)</f>
        <v>9</v>
      </c>
      <c r="H8" s="10">
        <f>1260000000/(1000000)</f>
        <v>1260</v>
      </c>
      <c r="I8" s="11">
        <f t="shared" si="1"/>
        <v>1297</v>
      </c>
      <c r="J8" s="93">
        <f>43000000000/(1000000)</f>
        <v>43000</v>
      </c>
      <c r="K8" s="94">
        <f>30700000000/(1000000)</f>
        <v>30700</v>
      </c>
      <c r="L8" s="94">
        <f>168300000000/(1000000)</f>
        <v>168300</v>
      </c>
      <c r="M8" s="11">
        <f t="shared" si="2"/>
        <v>242000</v>
      </c>
    </row>
    <row r="9" spans="1:13">
      <c r="A9" s="20" t="s">
        <v>9</v>
      </c>
      <c r="B9" s="9">
        <f>122000000/(1000000)</f>
        <v>122</v>
      </c>
      <c r="C9" s="10">
        <f>154000000/(1000000)</f>
        <v>154</v>
      </c>
      <c r="D9" s="10">
        <f>1046000000/(1000000)</f>
        <v>1046</v>
      </c>
      <c r="E9" s="11">
        <f t="shared" si="0"/>
        <v>1322</v>
      </c>
      <c r="F9" s="10">
        <f>17000000/(1000000)</f>
        <v>17</v>
      </c>
      <c r="G9" s="10">
        <f>7000000/(1000000)</f>
        <v>7</v>
      </c>
      <c r="H9" s="10">
        <f>1458000000/(1000000)</f>
        <v>1458</v>
      </c>
      <c r="I9" s="11">
        <f t="shared" si="1"/>
        <v>1482</v>
      </c>
      <c r="J9" s="93">
        <f>53900000000/(1000000)</f>
        <v>53900</v>
      </c>
      <c r="K9" s="94">
        <f>36500000000/(1000000)</f>
        <v>36500</v>
      </c>
      <c r="L9" s="94">
        <f>186900000000/(1000000)</f>
        <v>186900</v>
      </c>
      <c r="M9" s="11">
        <f t="shared" si="2"/>
        <v>277300</v>
      </c>
    </row>
    <row r="10" spans="1:13">
      <c r="A10" s="20" t="s">
        <v>10</v>
      </c>
      <c r="B10" s="9">
        <f>151000000/(1000000)</f>
        <v>151</v>
      </c>
      <c r="C10" s="10">
        <f>169000000/(1000000)</f>
        <v>169</v>
      </c>
      <c r="D10" s="10">
        <f>1385000000/(1000000)</f>
        <v>1385</v>
      </c>
      <c r="E10" s="11">
        <f t="shared" si="0"/>
        <v>1705</v>
      </c>
      <c r="F10" s="10">
        <f>14000000/(1000000)</f>
        <v>14</v>
      </c>
      <c r="G10" s="10">
        <f>6000000/(1000000)</f>
        <v>6</v>
      </c>
      <c r="H10" s="10">
        <f>1620000000/(1000000)</f>
        <v>1620</v>
      </c>
      <c r="I10" s="11">
        <f t="shared" si="1"/>
        <v>1640</v>
      </c>
      <c r="J10" s="93">
        <f>63800000000/(1000000)</f>
        <v>63800</v>
      </c>
      <c r="K10" s="94">
        <f>42300000000/(1000000)</f>
        <v>42300</v>
      </c>
      <c r="L10" s="94">
        <f>202600000000/(1000000)</f>
        <v>202600</v>
      </c>
      <c r="M10" s="11">
        <f t="shared" si="2"/>
        <v>308700</v>
      </c>
    </row>
    <row r="11" spans="1:13">
      <c r="A11" s="20" t="s">
        <v>11</v>
      </c>
      <c r="B11" s="9">
        <f>199000000/(1000000)</f>
        <v>199</v>
      </c>
      <c r="C11" s="10">
        <f>213000000/(1000000)</f>
        <v>213</v>
      </c>
      <c r="D11" s="10">
        <f>1909000000/(1000000)</f>
        <v>1909</v>
      </c>
      <c r="E11" s="11">
        <f t="shared" si="0"/>
        <v>2321</v>
      </c>
      <c r="F11" s="10">
        <f>11000000/(1000000)</f>
        <v>11</v>
      </c>
      <c r="G11" s="10">
        <f>6000000/(1000000)</f>
        <v>6</v>
      </c>
      <c r="H11" s="10">
        <f>1673000000/(1000000)</f>
        <v>1673</v>
      </c>
      <c r="I11" s="11">
        <f t="shared" si="1"/>
        <v>1690</v>
      </c>
      <c r="J11" s="93">
        <f>68200000000/(1000000)</f>
        <v>68200</v>
      </c>
      <c r="K11" s="94">
        <f>47600000000/(1000000)</f>
        <v>47600</v>
      </c>
      <c r="L11" s="94">
        <f>218800000000/(1000000)</f>
        <v>218800</v>
      </c>
      <c r="M11" s="11">
        <f t="shared" si="2"/>
        <v>334600</v>
      </c>
    </row>
    <row r="12" spans="1:13">
      <c r="A12" s="20" t="s">
        <v>12</v>
      </c>
      <c r="B12" s="9">
        <f>197000000/(1000000)</f>
        <v>197</v>
      </c>
      <c r="C12" s="10">
        <f>204000000/(1000000)</f>
        <v>204</v>
      </c>
      <c r="D12" s="10">
        <f>1947000000/(1000000)</f>
        <v>1947</v>
      </c>
      <c r="E12" s="11">
        <f t="shared" si="0"/>
        <v>2348</v>
      </c>
      <c r="F12" s="10">
        <f>10000000/(1000000)</f>
        <v>10</v>
      </c>
      <c r="G12" s="10">
        <f>6000000/(1000000)</f>
        <v>6</v>
      </c>
      <c r="H12" s="10">
        <f>1699000000/(1000000)</f>
        <v>1699</v>
      </c>
      <c r="I12" s="11">
        <f t="shared" si="1"/>
        <v>1715</v>
      </c>
      <c r="J12" s="93">
        <f>76000000000/(1000000)</f>
        <v>76000</v>
      </c>
      <c r="K12" s="94">
        <f>54500000000/(1000000)</f>
        <v>54500</v>
      </c>
      <c r="L12" s="94">
        <f>234200000000/(1000000)</f>
        <v>234200</v>
      </c>
      <c r="M12" s="11">
        <f t="shared" si="2"/>
        <v>364700</v>
      </c>
    </row>
    <row r="13" spans="1:13">
      <c r="A13" s="20" t="s">
        <v>13</v>
      </c>
      <c r="B13" s="9">
        <f>223000000/(1000000)</f>
        <v>223</v>
      </c>
      <c r="C13" s="10">
        <f>236000000/(1000000)</f>
        <v>236</v>
      </c>
      <c r="D13" s="10">
        <f>2202000000/(1000000)</f>
        <v>2202</v>
      </c>
      <c r="E13" s="11">
        <f t="shared" si="0"/>
        <v>2661</v>
      </c>
      <c r="F13" s="10">
        <f>23000000/(1000000)</f>
        <v>23</v>
      </c>
      <c r="G13" s="10">
        <f>11000000/(1000000)</f>
        <v>11</v>
      </c>
      <c r="H13" s="10">
        <f>1824000000/(1000000)</f>
        <v>1824</v>
      </c>
      <c r="I13" s="11">
        <f t="shared" si="1"/>
        <v>1858</v>
      </c>
      <c r="J13" s="93">
        <f>82500000000/(1000000)</f>
        <v>82500</v>
      </c>
      <c r="K13" s="94">
        <f>62000000000/(1000000)</f>
        <v>62000</v>
      </c>
      <c r="L13" s="94">
        <f>247300000000/(1000000)</f>
        <v>247300</v>
      </c>
      <c r="M13" s="11">
        <f t="shared" si="2"/>
        <v>391800</v>
      </c>
    </row>
    <row r="14" spans="1:13">
      <c r="A14" s="20" t="s">
        <v>14</v>
      </c>
      <c r="B14" s="9">
        <f>258000000/(1000000)</f>
        <v>258</v>
      </c>
      <c r="C14" s="10">
        <f>296000000/(1000000)</f>
        <v>296</v>
      </c>
      <c r="D14" s="10">
        <f>2691000000/(1000000)</f>
        <v>2691</v>
      </c>
      <c r="E14" s="11">
        <f t="shared" si="0"/>
        <v>3245</v>
      </c>
      <c r="F14" s="10">
        <f>47000000/(1000000)</f>
        <v>47</v>
      </c>
      <c r="G14" s="10">
        <f>29000000/(1000000)</f>
        <v>29</v>
      </c>
      <c r="H14" s="10">
        <f>1980000000/(1000000)</f>
        <v>1980</v>
      </c>
      <c r="I14" s="11">
        <f t="shared" si="1"/>
        <v>2056</v>
      </c>
      <c r="J14" s="93">
        <f>89500000000/(1000000)</f>
        <v>89500</v>
      </c>
      <c r="K14" s="94">
        <f>72000000000/(1000000)</f>
        <v>72000</v>
      </c>
      <c r="L14" s="94">
        <f>262400000000/(1000000)</f>
        <v>262399.99999999994</v>
      </c>
      <c r="M14" s="11">
        <f t="shared" si="2"/>
        <v>423899.99999999994</v>
      </c>
    </row>
    <row r="15" spans="1:13">
      <c r="A15" s="20" t="s">
        <v>15</v>
      </c>
      <c r="B15" s="9">
        <f>280000000/(1000000)</f>
        <v>280</v>
      </c>
      <c r="C15" s="10">
        <f>393000000/(1000000)</f>
        <v>393</v>
      </c>
      <c r="D15" s="10">
        <f>3279000000/(1000000)</f>
        <v>3279</v>
      </c>
      <c r="E15" s="11">
        <f t="shared" si="0"/>
        <v>3952</v>
      </c>
      <c r="F15" s="10">
        <f>72000000/(1000000)</f>
        <v>72</v>
      </c>
      <c r="G15" s="10">
        <f>60000000/(1000000)</f>
        <v>60</v>
      </c>
      <c r="H15" s="10">
        <f>1974000000/(1000000)</f>
        <v>1974</v>
      </c>
      <c r="I15" s="11">
        <f t="shared" si="1"/>
        <v>2106</v>
      </c>
      <c r="J15" s="93">
        <f>88300000000/(1000000)</f>
        <v>88300</v>
      </c>
      <c r="K15" s="94">
        <f>85000000000/(1000000)</f>
        <v>85000</v>
      </c>
      <c r="L15" s="94">
        <f>275100000000/(1000000)</f>
        <v>275100</v>
      </c>
      <c r="M15" s="11">
        <f t="shared" si="2"/>
        <v>448400</v>
      </c>
    </row>
    <row r="16" spans="1:13">
      <c r="A16" s="20" t="s">
        <v>16</v>
      </c>
      <c r="B16" s="9">
        <f>279000000/(1000000)</f>
        <v>279</v>
      </c>
      <c r="C16" s="10">
        <f>484000000/(1000000)</f>
        <v>484</v>
      </c>
      <c r="D16" s="10">
        <f>3751000000/(1000000)</f>
        <v>3751</v>
      </c>
      <c r="E16" s="11">
        <f t="shared" si="0"/>
        <v>4514</v>
      </c>
      <c r="F16" s="10">
        <f>89000000/(1000000)</f>
        <v>89</v>
      </c>
      <c r="G16" s="10">
        <f>93000000/(1000000)</f>
        <v>93</v>
      </c>
      <c r="H16" s="10">
        <f>1911000000/(1000000)</f>
        <v>1911</v>
      </c>
      <c r="I16" s="11">
        <f t="shared" si="1"/>
        <v>2093</v>
      </c>
      <c r="J16" s="93">
        <f>84200000000/(1000000)</f>
        <v>84200</v>
      </c>
      <c r="K16" s="94">
        <f>94100000000/(1000000)</f>
        <v>94100</v>
      </c>
      <c r="L16" s="94">
        <f>285500000000/(1000000)</f>
        <v>285500</v>
      </c>
      <c r="M16" s="11">
        <f t="shared" si="2"/>
        <v>463800</v>
      </c>
    </row>
    <row r="17" spans="1:13">
      <c r="A17" s="20" t="s">
        <v>17</v>
      </c>
      <c r="B17" s="9">
        <f>302000000/(1000000)</f>
        <v>302</v>
      </c>
      <c r="C17" s="10">
        <f>582000000/(1000000)</f>
        <v>582</v>
      </c>
      <c r="D17" s="10">
        <f>5563000000/(1000000)</f>
        <v>5563</v>
      </c>
      <c r="E17" s="11">
        <f t="shared" si="0"/>
        <v>6447</v>
      </c>
      <c r="F17" s="10">
        <f>124000000/(1000000)</f>
        <v>124</v>
      </c>
      <c r="G17" s="10">
        <f>140000000/(1000000)</f>
        <v>140</v>
      </c>
      <c r="H17" s="10">
        <f>1786000000/(1000000)</f>
        <v>1786</v>
      </c>
      <c r="I17" s="11">
        <f t="shared" si="1"/>
        <v>2050</v>
      </c>
      <c r="J17" s="93">
        <f>83500000000/(1000000)</f>
        <v>83500</v>
      </c>
      <c r="K17" s="94">
        <f>104000000000/(1000000)</f>
        <v>104000</v>
      </c>
      <c r="L17" s="94">
        <f>295000000000/(1000000)</f>
        <v>295000</v>
      </c>
      <c r="M17" s="11">
        <f t="shared" si="2"/>
        <v>482500</v>
      </c>
    </row>
    <row r="18" spans="1:13">
      <c r="A18" s="20" t="s">
        <v>18</v>
      </c>
      <c r="B18" s="9">
        <f>356000000/(1000000)</f>
        <v>356</v>
      </c>
      <c r="C18" s="10">
        <f>739000000/(1000000)</f>
        <v>739</v>
      </c>
      <c r="D18" s="10">
        <f>6990000000/(1000000)</f>
        <v>6990</v>
      </c>
      <c r="E18" s="11">
        <f t="shared" si="0"/>
        <v>8085</v>
      </c>
      <c r="F18" s="10">
        <f>247000000/(1000000)</f>
        <v>247</v>
      </c>
      <c r="G18" s="10">
        <f>349000000/(1000000)</f>
        <v>349</v>
      </c>
      <c r="H18" s="10">
        <f>1785000000/(1000000)</f>
        <v>1785</v>
      </c>
      <c r="I18" s="11">
        <f t="shared" si="1"/>
        <v>2381</v>
      </c>
      <c r="J18" s="93">
        <f>86300000000/(1000000)</f>
        <v>86300</v>
      </c>
      <c r="K18" s="94">
        <f>116900000000/(1000000)</f>
        <v>116900</v>
      </c>
      <c r="L18" s="94">
        <f>306100000000/(1000000)</f>
        <v>306100</v>
      </c>
      <c r="M18" s="11">
        <f t="shared" si="2"/>
        <v>509300</v>
      </c>
    </row>
    <row r="19" spans="1:13">
      <c r="A19" s="20" t="s">
        <v>19</v>
      </c>
      <c r="B19" s="9">
        <f>438000000/(1000000)</f>
        <v>438</v>
      </c>
      <c r="C19" s="10">
        <f>986000000/(1000000)</f>
        <v>986</v>
      </c>
      <c r="D19" s="10">
        <f>8889000000/(1000000)</f>
        <v>8889</v>
      </c>
      <c r="E19" s="11">
        <f t="shared" si="0"/>
        <v>10313</v>
      </c>
      <c r="F19" s="10">
        <f>360000000/(1000000)</f>
        <v>360</v>
      </c>
      <c r="G19" s="10">
        <f>537000000/(1000000)</f>
        <v>537</v>
      </c>
      <c r="H19" s="10">
        <f>1792000000/(1000000)</f>
        <v>1792</v>
      </c>
      <c r="I19" s="11">
        <f t="shared" si="1"/>
        <v>2689</v>
      </c>
      <c r="J19" s="93">
        <f>91100000000/(1000000)</f>
        <v>91100</v>
      </c>
      <c r="K19" s="94">
        <f>127200000000/(1000000)</f>
        <v>127200</v>
      </c>
      <c r="L19" s="94">
        <f>316700000000/(1000000)</f>
        <v>316700</v>
      </c>
      <c r="M19" s="11">
        <f t="shared" si="2"/>
        <v>535000</v>
      </c>
    </row>
    <row r="20" spans="1:13">
      <c r="A20" s="20" t="s">
        <v>20</v>
      </c>
      <c r="B20" s="9">
        <f>675000000/(1000000)</f>
        <v>675</v>
      </c>
      <c r="C20" s="10">
        <f>1510000000/(1000000)</f>
        <v>1510</v>
      </c>
      <c r="D20" s="10">
        <f>13345000000/(1000000)</f>
        <v>13345</v>
      </c>
      <c r="E20" s="11">
        <f t="shared" si="0"/>
        <v>15530</v>
      </c>
      <c r="F20" s="10">
        <f>423000000/(1000000)</f>
        <v>423</v>
      </c>
      <c r="G20" s="10">
        <f>617000000/(1000000)</f>
        <v>617</v>
      </c>
      <c r="H20" s="10">
        <f>1784000000/(1000000)</f>
        <v>1784</v>
      </c>
      <c r="I20" s="11">
        <f t="shared" si="1"/>
        <v>2824</v>
      </c>
      <c r="J20" s="93">
        <f>98900000000/(1000000)</f>
        <v>98900</v>
      </c>
      <c r="K20" s="94">
        <f>140100000000/(1000000)</f>
        <v>140100</v>
      </c>
      <c r="L20" s="94">
        <f>332900000000/(1000000)</f>
        <v>332900</v>
      </c>
      <c r="M20" s="11">
        <f t="shared" si="2"/>
        <v>571900</v>
      </c>
    </row>
    <row r="21" spans="1:13">
      <c r="A21" s="20" t="s">
        <v>21</v>
      </c>
      <c r="B21" s="9">
        <f>921000000/(1000000)</f>
        <v>921</v>
      </c>
      <c r="C21" s="10">
        <f>2094000000/(1000000)</f>
        <v>2094</v>
      </c>
      <c r="D21" s="10">
        <f>19071000000/(1000000)</f>
        <v>19071</v>
      </c>
      <c r="E21" s="11">
        <f t="shared" si="0"/>
        <v>22086</v>
      </c>
      <c r="F21" s="10">
        <f>432000000/(1000000)</f>
        <v>432</v>
      </c>
      <c r="G21" s="10">
        <f>648000000/(1000000)</f>
        <v>648</v>
      </c>
      <c r="H21" s="10">
        <f>1816000000/(1000000)</f>
        <v>1816</v>
      </c>
      <c r="I21" s="11">
        <f t="shared" si="1"/>
        <v>2896</v>
      </c>
      <c r="J21" s="93">
        <f>106500000000/(1000000)</f>
        <v>106500</v>
      </c>
      <c r="K21" s="94">
        <f>154000000000/(1000000)</f>
        <v>154000</v>
      </c>
      <c r="L21" s="94">
        <f>361300000000/(1000000)</f>
        <v>361300</v>
      </c>
      <c r="M21" s="11">
        <f t="shared" si="2"/>
        <v>621800</v>
      </c>
    </row>
    <row r="22" spans="1:13">
      <c r="A22" s="20" t="s">
        <v>22</v>
      </c>
      <c r="B22" s="9">
        <f>1354000000/(1000000)</f>
        <v>1354</v>
      </c>
      <c r="C22" s="10">
        <f>3044000000/(1000000)</f>
        <v>3044</v>
      </c>
      <c r="D22" s="10">
        <f>25777000000/(1000000)</f>
        <v>25777</v>
      </c>
      <c r="E22" s="11">
        <f t="shared" si="0"/>
        <v>30175</v>
      </c>
      <c r="F22" s="10">
        <f>412000000/(1000000)</f>
        <v>412</v>
      </c>
      <c r="G22" s="10">
        <f>661000000/(1000000)</f>
        <v>661</v>
      </c>
      <c r="H22" s="10">
        <f>1756000000/(1000000)</f>
        <v>1756</v>
      </c>
      <c r="I22" s="11">
        <f t="shared" si="1"/>
        <v>2829</v>
      </c>
      <c r="J22" s="93">
        <f>117600000000/(1000000)</f>
        <v>117600</v>
      </c>
      <c r="K22" s="94">
        <f>180000000000/(1000000)</f>
        <v>180000</v>
      </c>
      <c r="L22" s="94">
        <f>385000000000/(1000000)</f>
        <v>385000</v>
      </c>
      <c r="M22" s="11">
        <f t="shared" si="2"/>
        <v>682600</v>
      </c>
    </row>
    <row r="23" spans="1:13">
      <c r="A23" s="20" t="s">
        <v>23</v>
      </c>
      <c r="B23" s="9">
        <f>1552000000/(1000000)</f>
        <v>1552</v>
      </c>
      <c r="C23" s="10">
        <f>3572000000/(1000000)</f>
        <v>3572</v>
      </c>
      <c r="D23" s="10">
        <f>30006000000/(1000000)</f>
        <v>30006</v>
      </c>
      <c r="E23" s="11">
        <f t="shared" si="0"/>
        <v>35130</v>
      </c>
      <c r="F23" s="10">
        <f>431000000/(1000000)</f>
        <v>431</v>
      </c>
      <c r="G23" s="10">
        <f>746000000/(1000000)</f>
        <v>746</v>
      </c>
      <c r="H23" s="10">
        <f>1704000000/(1000000)</f>
        <v>1704</v>
      </c>
      <c r="I23" s="11">
        <f t="shared" si="1"/>
        <v>2881</v>
      </c>
      <c r="J23" s="93">
        <f>126000000000/(1000000)</f>
        <v>126000</v>
      </c>
      <c r="K23" s="94">
        <f>213300000000/(1000000)</f>
        <v>213300</v>
      </c>
      <c r="L23" s="94">
        <f>402100000000/(1000000)</f>
        <v>402100</v>
      </c>
      <c r="M23" s="11">
        <f t="shared" si="2"/>
        <v>741400</v>
      </c>
    </row>
    <row r="24" spans="1:13">
      <c r="A24" s="20" t="s">
        <v>24</v>
      </c>
      <c r="B24" s="9">
        <f>1523000000/(1000000)</f>
        <v>1523</v>
      </c>
      <c r="C24" s="10">
        <f>3593000000/(1000000)</f>
        <v>3593</v>
      </c>
      <c r="D24" s="10">
        <f>31078000000/(1000000)</f>
        <v>31078</v>
      </c>
      <c r="E24" s="11">
        <f t="shared" si="0"/>
        <v>36194</v>
      </c>
      <c r="F24" s="10">
        <f>458000000/(1000000)</f>
        <v>458</v>
      </c>
      <c r="G24" s="10">
        <f>845000000/(1000000)</f>
        <v>845</v>
      </c>
      <c r="H24" s="10">
        <f>1695000000/(1000000)</f>
        <v>1695</v>
      </c>
      <c r="I24" s="11">
        <f t="shared" si="1"/>
        <v>2998</v>
      </c>
      <c r="J24" s="93">
        <f>149500000000/(1000000)</f>
        <v>149500</v>
      </c>
      <c r="K24" s="94">
        <f>264400000000/(1000000)</f>
        <v>264399.99999999994</v>
      </c>
      <c r="L24" s="94">
        <f>431000000000/(1000000)</f>
        <v>431000</v>
      </c>
      <c r="M24" s="11">
        <f t="shared" si="2"/>
        <v>844900</v>
      </c>
    </row>
    <row r="25" spans="1:13">
      <c r="A25" s="20" t="s">
        <v>25</v>
      </c>
      <c r="B25" s="9">
        <f>1685000000/(1000000)</f>
        <v>1685</v>
      </c>
      <c r="C25" s="10">
        <f>4193000000/(1000000)</f>
        <v>4193</v>
      </c>
      <c r="D25" s="10">
        <f>34642000000/(1000000)</f>
        <v>34642</v>
      </c>
      <c r="E25" s="11">
        <f t="shared" si="0"/>
        <v>40520</v>
      </c>
      <c r="F25" s="10">
        <f>375000000/(1000000)</f>
        <v>375</v>
      </c>
      <c r="G25" s="10">
        <f>717000000/(1000000)</f>
        <v>717</v>
      </c>
      <c r="H25" s="10">
        <f>1604000000/(1000000)</f>
        <v>1604</v>
      </c>
      <c r="I25" s="11">
        <f t="shared" si="1"/>
        <v>2696</v>
      </c>
      <c r="J25" s="93">
        <f>170700000000/(1000000)</f>
        <v>170700</v>
      </c>
      <c r="K25" s="94">
        <f>319700000000/(1000000)</f>
        <v>319700</v>
      </c>
      <c r="L25" s="94">
        <f>483700000000/(1000000)</f>
        <v>483700</v>
      </c>
      <c r="M25" s="11">
        <f t="shared" si="2"/>
        <v>974100</v>
      </c>
    </row>
    <row r="26" spans="1:13">
      <c r="A26" s="20" t="s">
        <v>26</v>
      </c>
      <c r="B26" s="9">
        <f>1539000000/(1000000)</f>
        <v>1539</v>
      </c>
      <c r="C26" s="10">
        <f>4241000000/(1000000)</f>
        <v>4241</v>
      </c>
      <c r="D26" s="10">
        <f>36581000000/(1000000)</f>
        <v>36581</v>
      </c>
      <c r="E26" s="11">
        <f t="shared" si="0"/>
        <v>42361</v>
      </c>
      <c r="F26" s="10">
        <f>260000000/(1000000)</f>
        <v>260</v>
      </c>
      <c r="G26" s="10">
        <f>540000000/(1000000)</f>
        <v>540</v>
      </c>
      <c r="H26" s="10">
        <f>1487000000/(1000000)</f>
        <v>1487</v>
      </c>
      <c r="I26" s="11">
        <f t="shared" si="1"/>
        <v>2287</v>
      </c>
      <c r="J26" s="93">
        <f>163800000000/(1000000)</f>
        <v>163800</v>
      </c>
      <c r="K26" s="94">
        <f>346800000000/(1000000)</f>
        <v>346800</v>
      </c>
      <c r="L26" s="94">
        <f>514900000000/(1000000)</f>
        <v>514900</v>
      </c>
      <c r="M26" s="11">
        <f t="shared" si="2"/>
        <v>1025500</v>
      </c>
    </row>
    <row r="27" spans="1:13">
      <c r="A27" s="20" t="s">
        <v>27</v>
      </c>
      <c r="B27" s="9">
        <f>1081000000/(1000000)</f>
        <v>1081</v>
      </c>
      <c r="C27" s="10">
        <f>2934000000/(1000000)</f>
        <v>2934</v>
      </c>
      <c r="D27" s="10">
        <f>32651000000/(1000000)</f>
        <v>32651</v>
      </c>
      <c r="E27" s="11">
        <f t="shared" si="0"/>
        <v>36666</v>
      </c>
      <c r="F27" s="10">
        <f>191000000/(1000000)</f>
        <v>191</v>
      </c>
      <c r="G27" s="10">
        <f>399000000/(1000000)</f>
        <v>399</v>
      </c>
      <c r="H27" s="10">
        <f>1385000000/(1000000)</f>
        <v>1385</v>
      </c>
      <c r="I27" s="11">
        <f t="shared" si="1"/>
        <v>1975</v>
      </c>
      <c r="J27" s="93">
        <f>161600000000/(1000000)</f>
        <v>161600</v>
      </c>
      <c r="K27" s="94">
        <f>360200000000/(1000000)</f>
        <v>360200</v>
      </c>
      <c r="L27" s="94">
        <f>520300000000/(1000000)</f>
        <v>520299.99999999994</v>
      </c>
      <c r="M27" s="11">
        <f t="shared" si="2"/>
        <v>1042100</v>
      </c>
    </row>
    <row r="28" spans="1:13">
      <c r="A28" s="20" t="s">
        <v>28</v>
      </c>
      <c r="B28" s="9">
        <f>774000000/(1000000)</f>
        <v>774</v>
      </c>
      <c r="C28" s="10">
        <f>2090000000/(1000000)</f>
        <v>2090</v>
      </c>
      <c r="D28" s="10">
        <f>28384000000/(1000000)</f>
        <v>28384</v>
      </c>
      <c r="E28" s="11">
        <f t="shared" si="0"/>
        <v>31248</v>
      </c>
      <c r="F28" s="10">
        <f>160000000/(1000000)</f>
        <v>160</v>
      </c>
      <c r="G28" s="10">
        <f>321000000/(1000000)</f>
        <v>321</v>
      </c>
      <c r="H28" s="10">
        <f>1284000000/(1000000)</f>
        <v>1284</v>
      </c>
      <c r="I28" s="11">
        <f t="shared" si="1"/>
        <v>1765</v>
      </c>
      <c r="J28" s="93">
        <f>161900000000/(1000000)</f>
        <v>161900</v>
      </c>
      <c r="K28" s="94">
        <f>372800000000/(1000000)</f>
        <v>372800</v>
      </c>
      <c r="L28" s="94">
        <f>509400000000/(1000000)</f>
        <v>509400</v>
      </c>
      <c r="M28" s="11">
        <f t="shared" si="2"/>
        <v>1044100</v>
      </c>
    </row>
    <row r="29" spans="1:13">
      <c r="A29" s="20" t="s">
        <v>29</v>
      </c>
      <c r="B29" s="9">
        <f>567000000/(1000000)</f>
        <v>567</v>
      </c>
      <c r="C29" s="10">
        <f>1571000000/(1000000)</f>
        <v>1571</v>
      </c>
      <c r="D29" s="10">
        <f>25409000000/(1000000)</f>
        <v>25409</v>
      </c>
      <c r="E29" s="11">
        <f t="shared" si="0"/>
        <v>27547</v>
      </c>
      <c r="F29" s="10">
        <f>139000000/(1000000)</f>
        <v>139</v>
      </c>
      <c r="G29" s="10">
        <f>276000000/(1000000)</f>
        <v>276</v>
      </c>
      <c r="H29" s="10">
        <f>1225000000/(1000000)</f>
        <v>1225</v>
      </c>
      <c r="I29" s="11">
        <f t="shared" si="1"/>
        <v>1640</v>
      </c>
      <c r="J29" s="93">
        <f>162300000000/(1000000)</f>
        <v>162300</v>
      </c>
      <c r="K29" s="94">
        <f>396300000000/(1000000)</f>
        <v>396300</v>
      </c>
      <c r="L29" s="94">
        <f>515700000000/(1000000)</f>
        <v>515700.00000000006</v>
      </c>
      <c r="M29" s="11">
        <f t="shared" si="2"/>
        <v>1074300</v>
      </c>
    </row>
    <row r="30" spans="1:13">
      <c r="A30" s="20" t="s">
        <v>30</v>
      </c>
      <c r="B30" s="9">
        <f>413000000/(1000000)</f>
        <v>413</v>
      </c>
      <c r="C30" s="10">
        <f>1216000000/(1000000)</f>
        <v>1216</v>
      </c>
      <c r="D30" s="10">
        <f>23091000000/(1000000)</f>
        <v>23091</v>
      </c>
      <c r="E30" s="11">
        <f t="shared" si="0"/>
        <v>24720</v>
      </c>
      <c r="F30" s="10">
        <f>122000000/(1000000)</f>
        <v>122</v>
      </c>
      <c r="G30" s="10">
        <f>253000000/(1000000)</f>
        <v>253</v>
      </c>
      <c r="H30" s="10">
        <f>1192000000/(1000000)</f>
        <v>1192</v>
      </c>
      <c r="I30" s="11">
        <f t="shared" si="1"/>
        <v>1567</v>
      </c>
      <c r="J30" s="93">
        <f>157300000000/(1000000)</f>
        <v>157300</v>
      </c>
      <c r="K30" s="94">
        <f>424600000000/(1000000)</f>
        <v>424600</v>
      </c>
      <c r="L30" s="94">
        <f>529800000000/(1000000)</f>
        <v>529799.99999999988</v>
      </c>
      <c r="M30" s="11">
        <f t="shared" si="2"/>
        <v>1111700</v>
      </c>
    </row>
    <row r="31" spans="1:13">
      <c r="A31" s="20" t="s">
        <v>31</v>
      </c>
      <c r="B31" s="9">
        <f>326000000/(1000000)</f>
        <v>326</v>
      </c>
      <c r="C31" s="10">
        <f>979000000/(1000000)</f>
        <v>979</v>
      </c>
      <c r="D31" s="10">
        <f>22019000000/(1000000)</f>
        <v>22019</v>
      </c>
      <c r="E31" s="11">
        <f t="shared" si="0"/>
        <v>23324</v>
      </c>
      <c r="F31" s="10">
        <f>122000000/(1000000)</f>
        <v>122</v>
      </c>
      <c r="G31" s="10">
        <f>250000000/(1000000)</f>
        <v>250</v>
      </c>
      <c r="H31" s="10">
        <f>1236000000/(1000000)</f>
        <v>1236</v>
      </c>
      <c r="I31" s="11">
        <f t="shared" si="1"/>
        <v>1608</v>
      </c>
      <c r="J31" s="93">
        <f>161400000000/(1000000)</f>
        <v>161400</v>
      </c>
      <c r="K31" s="94">
        <f>455300000000/(1000000)</f>
        <v>455300</v>
      </c>
      <c r="L31" s="94">
        <f>578700000000/(1000000)</f>
        <v>578700</v>
      </c>
      <c r="M31" s="11">
        <f t="shared" si="2"/>
        <v>1195400</v>
      </c>
    </row>
    <row r="32" spans="1:13">
      <c r="A32" s="20" t="s">
        <v>32</v>
      </c>
      <c r="B32" s="9">
        <f>330000000/(1000000)</f>
        <v>330</v>
      </c>
      <c r="C32" s="10">
        <f>947000000/(1000000)</f>
        <v>947</v>
      </c>
      <c r="D32" s="10">
        <f>18859000000/(1000000)</f>
        <v>18859</v>
      </c>
      <c r="E32" s="11">
        <f t="shared" si="0"/>
        <v>20136</v>
      </c>
      <c r="F32" s="10">
        <f>146000000/(1000000)</f>
        <v>146</v>
      </c>
      <c r="G32" s="10">
        <f>283000000/(1000000)</f>
        <v>283</v>
      </c>
      <c r="H32" s="10">
        <f>1175000000/(1000000)</f>
        <v>1175</v>
      </c>
      <c r="I32" s="11">
        <f t="shared" si="1"/>
        <v>1604</v>
      </c>
      <c r="J32" s="93">
        <f>166400000000/(1000000)</f>
        <v>166400</v>
      </c>
      <c r="K32" s="94">
        <f>484800000000/(1000000)</f>
        <v>484800</v>
      </c>
      <c r="L32" s="94">
        <f>554800000000/(1000000)</f>
        <v>554800</v>
      </c>
      <c r="M32" s="11">
        <f t="shared" si="2"/>
        <v>1206000</v>
      </c>
    </row>
    <row r="33" spans="1:13">
      <c r="A33" s="20" t="s">
        <v>33</v>
      </c>
      <c r="B33" s="9">
        <f>346000000/(1000000)</f>
        <v>346</v>
      </c>
      <c r="C33" s="10">
        <f>933000000/(1000000)</f>
        <v>933</v>
      </c>
      <c r="D33" s="10">
        <f>17474000000/(1000000)</f>
        <v>17474</v>
      </c>
      <c r="E33" s="11">
        <f t="shared" si="0"/>
        <v>18753</v>
      </c>
      <c r="F33" s="10">
        <f>177000000/(1000000)</f>
        <v>177</v>
      </c>
      <c r="G33" s="10">
        <f>321000000/(1000000)</f>
        <v>321</v>
      </c>
      <c r="H33" s="10">
        <f>1213000000/(1000000)</f>
        <v>1213</v>
      </c>
      <c r="I33" s="11">
        <f t="shared" si="1"/>
        <v>1711</v>
      </c>
      <c r="J33" s="93">
        <f>169500000000/(1000000)</f>
        <v>169500</v>
      </c>
      <c r="K33" s="94">
        <f>513500000000/(1000000)</f>
        <v>513500</v>
      </c>
      <c r="L33" s="94">
        <f>564100000000/(1000000)</f>
        <v>564100</v>
      </c>
      <c r="M33" s="11">
        <f t="shared" si="2"/>
        <v>1247100</v>
      </c>
    </row>
    <row r="34" spans="1:13">
      <c r="A34" s="20" t="s">
        <v>34</v>
      </c>
      <c r="B34" s="9">
        <f>329000000/(1000000)</f>
        <v>329</v>
      </c>
      <c r="C34" s="10">
        <f>849000000/(1000000)</f>
        <v>849</v>
      </c>
      <c r="D34" s="10">
        <f>15615000000/(1000000)</f>
        <v>15615</v>
      </c>
      <c r="E34" s="11">
        <f t="shared" si="0"/>
        <v>16793</v>
      </c>
      <c r="F34" s="10">
        <f>179000000/(1000000)</f>
        <v>179</v>
      </c>
      <c r="G34" s="10">
        <f>303000000/(1000000)</f>
        <v>303</v>
      </c>
      <c r="H34" s="10">
        <f>1168000000/(1000000)</f>
        <v>1168</v>
      </c>
      <c r="I34" s="11">
        <f t="shared" si="1"/>
        <v>1650</v>
      </c>
      <c r="J34" s="93">
        <f>165600000000/(1000000)</f>
        <v>165600</v>
      </c>
      <c r="K34" s="94">
        <f>523600000000/(1000000)</f>
        <v>523600</v>
      </c>
      <c r="L34" s="94">
        <f>549600000000/(1000000)</f>
        <v>549600</v>
      </c>
      <c r="M34" s="11">
        <f t="shared" si="2"/>
        <v>1238800</v>
      </c>
    </row>
    <row r="35" spans="1:13">
      <c r="A35" s="21" t="s">
        <v>35</v>
      </c>
      <c r="B35" s="12">
        <f>349000000/(1000000)</f>
        <v>349</v>
      </c>
      <c r="C35" s="13">
        <f>801000000/(1000000)</f>
        <v>801</v>
      </c>
      <c r="D35" s="13">
        <f>13318000000/(1000000)</f>
        <v>13318</v>
      </c>
      <c r="E35" s="14">
        <f t="shared" si="0"/>
        <v>14468</v>
      </c>
      <c r="F35" s="13">
        <f>201000000/(1000000)</f>
        <v>201</v>
      </c>
      <c r="G35" s="13">
        <f>297000000/(1000000)</f>
        <v>297</v>
      </c>
      <c r="H35" s="13">
        <f>1076000000/(1000000)</f>
        <v>1076</v>
      </c>
      <c r="I35" s="14">
        <f t="shared" si="1"/>
        <v>1574</v>
      </c>
      <c r="J35" s="95">
        <f>180700000000/(1000000)</f>
        <v>180700</v>
      </c>
      <c r="K35" s="96">
        <f>533100000000/(1000000)</f>
        <v>533100</v>
      </c>
      <c r="L35" s="96">
        <f>512400000000/(1000000)</f>
        <v>512400</v>
      </c>
      <c r="M35" s="14">
        <f t="shared" si="2"/>
        <v>1226200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(POWER(B15/B6,1/($A15-$A6))-1)*100</f>
        <v>1.7275376039383783</v>
      </c>
      <c r="C38" s="83">
        <f t="shared" ref="C38:M38" si="3">(POWER(C15/C6,1/($A15-$A6))-1)*100</f>
        <v>4.131254469775536</v>
      </c>
      <c r="D38" s="83">
        <f t="shared" si="3"/>
        <v>21.795046345933457</v>
      </c>
      <c r="E38" s="84">
        <f t="shared" si="3"/>
        <v>15.636049900176863</v>
      </c>
      <c r="F38" s="83">
        <f t="shared" si="3"/>
        <v>2.8317349738656628</v>
      </c>
      <c r="G38" s="83">
        <f>(POWER(G15/G6,1/($A15-$A6))-1)*100</f>
        <v>16.652903957611652</v>
      </c>
      <c r="H38" s="83">
        <f t="shared" si="3"/>
        <v>7.5535647547123164</v>
      </c>
      <c r="I38" s="83">
        <f t="shared" si="3"/>
        <v>7.5267262805477353</v>
      </c>
      <c r="J38" s="82">
        <f t="shared" si="3"/>
        <v>11.669551614585361</v>
      </c>
      <c r="K38" s="83">
        <f t="shared" si="3"/>
        <v>15.631667283381944</v>
      </c>
      <c r="L38" s="83">
        <f t="shared" si="3"/>
        <v>8.1420582902933738</v>
      </c>
      <c r="M38" s="84">
        <f t="shared" si="3"/>
        <v>9.9018067995854118</v>
      </c>
    </row>
    <row r="39" spans="1:13">
      <c r="A39" s="16" t="s">
        <v>71</v>
      </c>
      <c r="B39" s="37">
        <f>(POWER(B$25/B15,1/($A$25-$A$15))-1)*100</f>
        <v>19.658674412417774</v>
      </c>
      <c r="C39" s="43">
        <f t="shared" ref="C39:M39" si="4">(POWER(C$25/C15,1/($A$25-$A$15))-1)*100</f>
        <v>26.710682804957496</v>
      </c>
      <c r="D39" s="43">
        <f t="shared" si="4"/>
        <v>26.586139118047324</v>
      </c>
      <c r="E39" s="47">
        <f t="shared" si="4"/>
        <v>26.207525004144738</v>
      </c>
      <c r="F39" s="43">
        <f t="shared" si="4"/>
        <v>17.942377235709085</v>
      </c>
      <c r="G39" s="43">
        <f t="shared" si="4"/>
        <v>28.155364601453115</v>
      </c>
      <c r="H39" s="43">
        <f t="shared" si="4"/>
        <v>-2.0542217067375135</v>
      </c>
      <c r="I39" s="43">
        <f t="shared" si="4"/>
        <v>2.500539699125115</v>
      </c>
      <c r="J39" s="46">
        <f t="shared" si="4"/>
        <v>6.8137793363641563</v>
      </c>
      <c r="K39" s="43">
        <f t="shared" si="4"/>
        <v>14.164839662011609</v>
      </c>
      <c r="L39" s="43">
        <f t="shared" si="4"/>
        <v>5.8055745111979196</v>
      </c>
      <c r="M39" s="47">
        <f t="shared" si="4"/>
        <v>8.0671738260759351</v>
      </c>
    </row>
    <row r="40" spans="1:13">
      <c r="A40" s="16" t="s">
        <v>69</v>
      </c>
      <c r="B40" s="37">
        <f>(POWER(B$35/B25,1/($A$35-$A$25))-1)*100</f>
        <v>-14.567610765757477</v>
      </c>
      <c r="C40" s="43">
        <f t="shared" ref="C40:M40" si="5">(POWER(C$35/C25,1/($A$35-$A$25))-1)*100</f>
        <v>-15.255647575779442</v>
      </c>
      <c r="D40" s="43">
        <f t="shared" si="5"/>
        <v>-9.1168010122951735</v>
      </c>
      <c r="E40" s="47">
        <f t="shared" si="5"/>
        <v>-9.7860068750859508</v>
      </c>
      <c r="F40" s="43">
        <f t="shared" si="5"/>
        <v>-6.0457394270892024</v>
      </c>
      <c r="G40" s="43">
        <f t="shared" si="5"/>
        <v>-8.4362165963415503</v>
      </c>
      <c r="H40" s="43">
        <f>(POWER(H$35/H25,1/($A$35-$A$25))-1)*100</f>
        <v>-3.9138503521216395</v>
      </c>
      <c r="I40" s="43">
        <f t="shared" si="5"/>
        <v>-5.2392511663732382</v>
      </c>
      <c r="J40" s="46">
        <f t="shared" si="5"/>
        <v>0.57092930241917639</v>
      </c>
      <c r="K40" s="43">
        <f t="shared" si="5"/>
        <v>5.2462437157801078</v>
      </c>
      <c r="L40" s="43">
        <f t="shared" si="5"/>
        <v>0.57807132292855279</v>
      </c>
      <c r="M40" s="47">
        <f t="shared" si="5"/>
        <v>2.3283041649234448</v>
      </c>
    </row>
    <row r="41" spans="1:13">
      <c r="A41" s="17" t="s">
        <v>70</v>
      </c>
      <c r="B41" s="39">
        <f>(POWER(B35/B6,1/($A$35-$A$6))-1)*100</f>
        <v>1.2995195811057236</v>
      </c>
      <c r="C41" s="49">
        <f t="shared" ref="C41:M41" si="6">(POWER(C35/C6,1/($A$35-$A$6))-1)*100</f>
        <v>3.7814300312958515</v>
      </c>
      <c r="D41" s="49">
        <f t="shared" si="6"/>
        <v>11.574328925062094</v>
      </c>
      <c r="E41" s="50">
        <f t="shared" si="6"/>
        <v>9.3993785571513833</v>
      </c>
      <c r="F41" s="49">
        <f t="shared" si="6"/>
        <v>4.5052739246235873</v>
      </c>
      <c r="G41" s="49">
        <f t="shared" si="6"/>
        <v>10.844102881624096</v>
      </c>
      <c r="H41" s="49">
        <f t="shared" si="6"/>
        <v>0.16758111961530098</v>
      </c>
      <c r="I41" s="49">
        <f t="shared" si="6"/>
        <v>1.2559351050845047</v>
      </c>
      <c r="J41" s="48">
        <f t="shared" si="6"/>
        <v>6.0719025520257652</v>
      </c>
      <c r="K41" s="49">
        <f t="shared" si="6"/>
        <v>11.447865047469552</v>
      </c>
      <c r="L41" s="49">
        <f t="shared" si="6"/>
        <v>4.6801870732348316</v>
      </c>
      <c r="M41" s="50">
        <f t="shared" si="6"/>
        <v>6.6082972534656337</v>
      </c>
    </row>
    <row r="43" spans="1:13">
      <c r="A43" s="1" t="s">
        <v>43</v>
      </c>
    </row>
    <row r="44" spans="1:13">
      <c r="A44" s="211" t="s">
        <v>73</v>
      </c>
    </row>
  </sheetData>
  <mergeCells count="5">
    <mergeCell ref="J4:M4"/>
    <mergeCell ref="A37:M37"/>
    <mergeCell ref="A1:H2"/>
    <mergeCell ref="B4:E4"/>
    <mergeCell ref="F4:I4"/>
  </mergeCells>
  <hyperlinks>
    <hyperlink ref="A44" r:id="rId1"/>
  </hyperlinks>
  <pageMargins left="0.7" right="0.7" top="0.75" bottom="0.75" header="0.3" footer="0.3"/>
  <pageSetup scale="67" orientation="landscape" horizontalDpi="0" verticalDpi="0"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74"/>
  <dimension ref="A1:M44"/>
  <sheetViews>
    <sheetView zoomScaleNormal="100" workbookViewId="0">
      <selection activeCell="A37" sqref="A37:XFD42"/>
    </sheetView>
  </sheetViews>
  <sheetFormatPr defaultRowHeight="15"/>
  <cols>
    <col min="1" max="1" width="11.7109375" style="1" customWidth="1"/>
    <col min="2" max="2" width="10.42578125" style="1" customWidth="1"/>
    <col min="3" max="3" width="9.140625" style="1"/>
    <col min="4" max="4" width="17.140625" style="1" customWidth="1"/>
    <col min="5" max="5" width="12.5703125" style="1" customWidth="1"/>
    <col min="6" max="6" width="10.5703125" style="1" customWidth="1"/>
    <col min="7" max="7" width="9.140625" style="1"/>
    <col min="8" max="8" width="18.28515625" style="1" customWidth="1"/>
    <col min="9" max="9" width="11.85546875" style="1" customWidth="1"/>
    <col min="10" max="10" width="12.42578125" style="1" customWidth="1"/>
    <col min="11" max="11" width="9.140625" style="1"/>
    <col min="12" max="12" width="18.28515625" style="1" customWidth="1"/>
    <col min="13" max="13" width="12" style="1" customWidth="1"/>
    <col min="14" max="16384" width="9.140625" style="1"/>
  </cols>
  <sheetData>
    <row r="1" spans="1:13">
      <c r="A1" s="2" t="s">
        <v>150</v>
      </c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B5" s="59" t="s">
        <v>0</v>
      </c>
      <c r="C5" s="60" t="s">
        <v>1</v>
      </c>
      <c r="D5" s="60" t="s">
        <v>2</v>
      </c>
      <c r="E5" s="275" t="s">
        <v>75</v>
      </c>
      <c r="F5" s="60" t="s">
        <v>0</v>
      </c>
      <c r="G5" s="60" t="s">
        <v>1</v>
      </c>
      <c r="H5" s="60" t="s">
        <v>2</v>
      </c>
      <c r="I5" s="275" t="s">
        <v>75</v>
      </c>
      <c r="J5" s="3" t="s">
        <v>39</v>
      </c>
      <c r="K5" s="4" t="s">
        <v>41</v>
      </c>
      <c r="L5" s="4" t="s">
        <v>40</v>
      </c>
      <c r="M5" s="275" t="s">
        <v>75</v>
      </c>
    </row>
    <row r="6" spans="1:13">
      <c r="A6" s="15">
        <v>1981</v>
      </c>
      <c r="B6" s="35">
        <f>'7a'!B6/'5b'!$B6*100</f>
        <v>1.7647058823529411</v>
      </c>
      <c r="C6" s="30">
        <f>'7a'!C6/'5b'!$B6*100</f>
        <v>2.0073529411764706</v>
      </c>
      <c r="D6" s="30">
        <f>'7a'!D6/'5b'!$B6*100</f>
        <v>4.0882352941176476</v>
      </c>
      <c r="E6" s="36">
        <f>'7a'!E6/'5b'!$B6*100</f>
        <v>7.860294117647058</v>
      </c>
      <c r="F6" s="35">
        <f>'7a'!F6/'5b'!$B6*100</f>
        <v>0.41176470588235298</v>
      </c>
      <c r="G6" s="30">
        <f>'7a'!G6/'5b'!$B6*100</f>
        <v>0.11029411764705882</v>
      </c>
      <c r="H6" s="30">
        <f>'7a'!H6/'5b'!$B6*100</f>
        <v>7.5367647058823524</v>
      </c>
      <c r="I6" s="36">
        <f>'7a'!I6/'5b'!$B6*100</f>
        <v>8.0588235294117645</v>
      </c>
      <c r="J6" s="147">
        <f>'7a'!J6/'5b'!$D6*100</f>
        <v>1.2103938406870005</v>
      </c>
      <c r="K6" s="100">
        <f>'7a'!K6/'5b'!$D6*100</f>
        <v>0.85134734971868531</v>
      </c>
      <c r="L6" s="100">
        <f>'7a'!L6/'5b'!$D6*100</f>
        <v>5.034053893988748</v>
      </c>
      <c r="M6" s="101">
        <f>'7a'!M6/'5b'!$D6*100</f>
        <v>7.0957950843944326</v>
      </c>
    </row>
    <row r="7" spans="1:13">
      <c r="A7" s="16">
        <v>1982</v>
      </c>
      <c r="B7" s="37">
        <f>'7a'!B7/'5b'!$B7*100</f>
        <v>1.2262773722627736</v>
      </c>
      <c r="C7" s="34">
        <f>'7a'!C7/'5b'!$B7*100</f>
        <v>1.4452554744525548</v>
      </c>
      <c r="D7" s="34">
        <f>'7a'!D7/'5b'!$B7*100</f>
        <v>4.1532846715328464</v>
      </c>
      <c r="E7" s="38">
        <f>'7a'!E7/'5b'!$B7*100</f>
        <v>6.8248175182481745</v>
      </c>
      <c r="F7" s="37">
        <f>'7a'!F7/'5b'!$B7*100</f>
        <v>0.32846715328467152</v>
      </c>
      <c r="G7" s="34">
        <f>'7a'!G7/'5b'!$B7*100</f>
        <v>8.0291970802919707E-2</v>
      </c>
      <c r="H7" s="34">
        <f>'7a'!H7/'5b'!$B7*100</f>
        <v>8.554744525547445</v>
      </c>
      <c r="I7" s="38">
        <f>'7a'!I7/'5b'!$B7*100</f>
        <v>8.9635036496350367</v>
      </c>
      <c r="J7" s="147">
        <f>'7a'!J7/'5b'!$D7*100</f>
        <v>1.3756537937952282</v>
      </c>
      <c r="K7" s="100">
        <f>'7a'!K7/'5b'!$D7*100</f>
        <v>0.96009171025291973</v>
      </c>
      <c r="L7" s="100">
        <f>'7a'!L7/'5b'!$D7*100</f>
        <v>5.5026151751809129</v>
      </c>
      <c r="M7" s="101">
        <f>'7a'!M7/'5b'!$D7*100</f>
        <v>7.8383606792290603</v>
      </c>
    </row>
    <row r="8" spans="1:13">
      <c r="A8" s="16">
        <v>1983</v>
      </c>
      <c r="B8" s="37">
        <f>'7a'!B8/'5b'!$B8*100</f>
        <v>0.70481927710843373</v>
      </c>
      <c r="C8" s="34">
        <f>'7a'!C8/'5b'!$B8*100</f>
        <v>0.93975903614457834</v>
      </c>
      <c r="D8" s="34">
        <f>'7a'!D8/'5b'!$B8*100</f>
        <v>4.072289156626506</v>
      </c>
      <c r="E8" s="38">
        <f>'7a'!E8/'5b'!$B8*100</f>
        <v>5.7168674698795181</v>
      </c>
      <c r="F8" s="37">
        <f>'7a'!F8/'5b'!$B8*100</f>
        <v>0.16867469879518071</v>
      </c>
      <c r="G8" s="34">
        <f>'7a'!G8/'5b'!$B8*100</f>
        <v>5.4216867469879519E-2</v>
      </c>
      <c r="H8" s="34">
        <f>'7a'!H8/'5b'!$B8*100</f>
        <v>7.5903614457831319</v>
      </c>
      <c r="I8" s="38">
        <f>'7a'!I8/'5b'!$B8*100</f>
        <v>7.8132530120481922</v>
      </c>
      <c r="J8" s="147">
        <f>'7a'!J8/'5b'!$D8*100</f>
        <v>1.4136831377190386</v>
      </c>
      <c r="K8" s="100">
        <f>'7a'!K8/'5b'!$D8*100</f>
        <v>1.0093040076273136</v>
      </c>
      <c r="L8" s="100">
        <f>'7a'!L8/'5b'!$D8*100</f>
        <v>5.533090048328237</v>
      </c>
      <c r="M8" s="101">
        <f>'7a'!M8/'5b'!$D8*100</f>
        <v>7.9560771936745907</v>
      </c>
    </row>
    <row r="9" spans="1:13">
      <c r="A9" s="16">
        <v>1984</v>
      </c>
      <c r="B9" s="37">
        <f>'7a'!B9/'5b'!$B9*100</f>
        <v>0.64550264550264547</v>
      </c>
      <c r="C9" s="34">
        <f>'7a'!C9/'5b'!$B9*100</f>
        <v>0.81481481481481477</v>
      </c>
      <c r="D9" s="34">
        <f>'7a'!D9/'5b'!$B9*100</f>
        <v>5.534391534391534</v>
      </c>
      <c r="E9" s="38">
        <f>'7a'!E9/'5b'!$B9*100</f>
        <v>6.9947089947089953</v>
      </c>
      <c r="F9" s="37">
        <f>'7a'!F9/'5b'!$B9*100</f>
        <v>8.9947089947089942E-2</v>
      </c>
      <c r="G9" s="34">
        <f>'7a'!G9/'5b'!$B9*100</f>
        <v>3.7037037037037035E-2</v>
      </c>
      <c r="H9" s="34">
        <f>'7a'!H9/'5b'!$B9*100</f>
        <v>7.7142857142857135</v>
      </c>
      <c r="I9" s="38">
        <f>'7a'!I9/'5b'!$B9*100</f>
        <v>7.8412698412698409</v>
      </c>
      <c r="J9" s="147">
        <f>'7a'!J9/'5b'!$D9*100</f>
        <v>1.5885646920129677</v>
      </c>
      <c r="K9" s="100">
        <f>'7a'!K9/'5b'!$D9*100</f>
        <v>1.0757441791924549</v>
      </c>
      <c r="L9" s="100">
        <f>'7a'!L9/'5b'!$D9*100</f>
        <v>5.5083996463306804</v>
      </c>
      <c r="M9" s="101">
        <f>'7a'!M9/'5b'!$D9*100</f>
        <v>8.1727085175361029</v>
      </c>
    </row>
    <row r="10" spans="1:13">
      <c r="A10" s="16">
        <v>1985</v>
      </c>
      <c r="B10" s="37">
        <f>'7a'!B10/'5b'!$B10*100</f>
        <v>0.78238341968911906</v>
      </c>
      <c r="C10" s="34">
        <f>'7a'!C10/'5b'!$B10*100</f>
        <v>0.87564766839378239</v>
      </c>
      <c r="D10" s="34">
        <f>'7a'!D10/'5b'!$B10*100</f>
        <v>7.176165803108808</v>
      </c>
      <c r="E10" s="38">
        <f>'7a'!E10/'5b'!$B10*100</f>
        <v>8.834196891191711</v>
      </c>
      <c r="F10" s="37">
        <f>'7a'!F10/'5b'!$B10*100</f>
        <v>7.2538860103626951E-2</v>
      </c>
      <c r="G10" s="34">
        <f>'7a'!G10/'5b'!$B10*100</f>
        <v>3.10880829015544E-2</v>
      </c>
      <c r="H10" s="34">
        <f>'7a'!H10/'5b'!$B10*100</f>
        <v>8.3937823834196887</v>
      </c>
      <c r="I10" s="38">
        <f>'7a'!I10/'5b'!$B10*100</f>
        <v>8.4974093264248705</v>
      </c>
      <c r="J10" s="147">
        <f>'7a'!J10/'5b'!$D10*100</f>
        <v>1.7553513454025202</v>
      </c>
      <c r="K10" s="100">
        <f>'7a'!K10/'5b'!$D10*100</f>
        <v>1.1638144500082539</v>
      </c>
      <c r="L10" s="100">
        <f>'7a'!L10/'5b'!$D10*100</f>
        <v>5.5742034886920155</v>
      </c>
      <c r="M10" s="101">
        <f>'7a'!M10/'5b'!$D10*100</f>
        <v>8.4933692841027906</v>
      </c>
    </row>
    <row r="11" spans="1:13">
      <c r="A11" s="16">
        <v>1986</v>
      </c>
      <c r="B11" s="37">
        <f>'7a'!B11/'5b'!$B11*100</f>
        <v>0.95673076923076927</v>
      </c>
      <c r="C11" s="34">
        <f>'7a'!C11/'5b'!$B11*100</f>
        <v>1.0240384615384615</v>
      </c>
      <c r="D11" s="34">
        <f>'7a'!D11/'5b'!$B11*100</f>
        <v>9.177884615384615</v>
      </c>
      <c r="E11" s="38">
        <f>'7a'!E11/'5b'!$B11*100</f>
        <v>11.158653846153847</v>
      </c>
      <c r="F11" s="37">
        <f>'7a'!F11/'5b'!$B11*100</f>
        <v>5.2884615384615384E-2</v>
      </c>
      <c r="G11" s="34">
        <f>'7a'!G11/'5b'!$B11*100</f>
        <v>2.8846153846153848E-2</v>
      </c>
      <c r="H11" s="34">
        <f>'7a'!H11/'5b'!$B11*100</f>
        <v>8.0432692307692299</v>
      </c>
      <c r="I11" s="38">
        <f>'7a'!I11/'5b'!$B11*100</f>
        <v>8.125</v>
      </c>
      <c r="J11" s="147">
        <f>'7a'!J11/'5b'!$D11*100</f>
        <v>1.7758566815956671</v>
      </c>
      <c r="K11" s="100">
        <f>'7a'!K11/'5b'!$D11*100</f>
        <v>1.2394542235183836</v>
      </c>
      <c r="L11" s="100">
        <f>'7a'!L11/'5b'!$D11*100</f>
        <v>5.6973231955004682</v>
      </c>
      <c r="M11" s="101">
        <f>'7a'!M11/'5b'!$D11*100</f>
        <v>8.7126341006145189</v>
      </c>
    </row>
    <row r="12" spans="1:13">
      <c r="A12" s="16">
        <v>1987</v>
      </c>
      <c r="B12" s="37">
        <f>'7a'!B12/'5b'!$B12*100</f>
        <v>0.81404958677685957</v>
      </c>
      <c r="C12" s="34">
        <f>'7a'!C12/'5b'!$B12*100</f>
        <v>0.84297520661157022</v>
      </c>
      <c r="D12" s="34">
        <f>'7a'!D12/'5b'!$B12*100</f>
        <v>8.0454545454545467</v>
      </c>
      <c r="E12" s="38">
        <f>'7a'!E12/'5b'!$B12*100</f>
        <v>9.7024793388429753</v>
      </c>
      <c r="F12" s="37">
        <f>'7a'!F12/'5b'!$B12*100</f>
        <v>4.1322314049586778E-2</v>
      </c>
      <c r="G12" s="34">
        <f>'7a'!G12/'5b'!$B12*100</f>
        <v>2.4793388429752067E-2</v>
      </c>
      <c r="H12" s="34">
        <f>'7a'!H12/'5b'!$B12*100</f>
        <v>7.0206611570247937</v>
      </c>
      <c r="I12" s="38">
        <f>'7a'!I12/'5b'!$B12*100</f>
        <v>7.0867768595041323</v>
      </c>
      <c r="J12" s="147">
        <f>'7a'!J12/'5b'!$D12*100</f>
        <v>1.8637043576350574</v>
      </c>
      <c r="K12" s="100">
        <f>'7a'!K12/'5b'!$D12*100</f>
        <v>1.3364722038304029</v>
      </c>
      <c r="L12" s="100">
        <f>'7a'!L12/'5b'!$D12*100</f>
        <v>5.7431521126069791</v>
      </c>
      <c r="M12" s="101">
        <f>'7a'!M12/'5b'!$D12*100</f>
        <v>8.9433286740724398</v>
      </c>
    </row>
    <row r="13" spans="1:13">
      <c r="A13" s="16">
        <v>1988</v>
      </c>
      <c r="B13" s="37">
        <f>'7a'!B13/'5b'!$B13*100</f>
        <v>0.735973597359736</v>
      </c>
      <c r="C13" s="34">
        <f>'7a'!C13/'5b'!$B13*100</f>
        <v>0.77887788778877887</v>
      </c>
      <c r="D13" s="34">
        <f>'7a'!D13/'5b'!$B13*100</f>
        <v>7.2673267326732667</v>
      </c>
      <c r="E13" s="38">
        <f>'7a'!E13/'5b'!$B13*100</f>
        <v>8.782178217821782</v>
      </c>
      <c r="F13" s="37">
        <f>'7a'!F13/'5b'!$B13*100</f>
        <v>7.590759075907591E-2</v>
      </c>
      <c r="G13" s="34">
        <f>'7a'!G13/'5b'!$B13*100</f>
        <v>3.6303630363036306E-2</v>
      </c>
      <c r="H13" s="34">
        <f>'7a'!H13/'5b'!$B13*100</f>
        <v>6.0198019801980198</v>
      </c>
      <c r="I13" s="38">
        <f>'7a'!I13/'5b'!$B13*100</f>
        <v>6.1320132013201318</v>
      </c>
      <c r="J13" s="147">
        <f>'7a'!J13/'5b'!$D13*100</f>
        <v>1.8770049825950448</v>
      </c>
      <c r="K13" s="100">
        <f>'7a'!K13/'5b'!$D13*100</f>
        <v>1.4105976838896095</v>
      </c>
      <c r="L13" s="100">
        <f>'7a'!L13/'5b'!$D13*100</f>
        <v>5.6264646326758125</v>
      </c>
      <c r="M13" s="101">
        <f>'7a'!M13/'5b'!$D13*100</f>
        <v>8.9140672991604664</v>
      </c>
    </row>
    <row r="14" spans="1:13">
      <c r="A14" s="16">
        <v>1989</v>
      </c>
      <c r="B14" s="37">
        <f>'7a'!B14/'5b'!$B14*100</f>
        <v>0.84868421052631571</v>
      </c>
      <c r="C14" s="34">
        <f>'7a'!C14/'5b'!$B14*100</f>
        <v>0.97368421052631582</v>
      </c>
      <c r="D14" s="34">
        <f>'7a'!D14/'5b'!$B14*100</f>
        <v>8.8519736842105257</v>
      </c>
      <c r="E14" s="38">
        <f>'7a'!E14/'5b'!$B14*100</f>
        <v>10.674342105263159</v>
      </c>
      <c r="F14" s="37">
        <f>'7a'!F14/'5b'!$B14*100</f>
        <v>0.15460526315789475</v>
      </c>
      <c r="G14" s="34">
        <f>'7a'!G14/'5b'!$B14*100</f>
        <v>9.5394736842105254E-2</v>
      </c>
      <c r="H14" s="34">
        <f>'7a'!H14/'5b'!$B14*100</f>
        <v>6.5131578947368416</v>
      </c>
      <c r="I14" s="38">
        <f>'7a'!I14/'5b'!$B14*100</f>
        <v>6.7631578947368416</v>
      </c>
      <c r="J14" s="147">
        <f>'7a'!J14/'5b'!$D14*100</f>
        <v>1.8922976087278263</v>
      </c>
      <c r="K14" s="100">
        <f>'7a'!K14/'5b'!$D14*100</f>
        <v>1.5222952829989218</v>
      </c>
      <c r="L14" s="100">
        <f>'7a'!L14/'5b'!$D14*100</f>
        <v>5.5479205869294024</v>
      </c>
      <c r="M14" s="101">
        <f>'7a'!M14/'5b'!$D14*100</f>
        <v>8.9625134786561507</v>
      </c>
    </row>
    <row r="15" spans="1:13">
      <c r="A15" s="16">
        <v>1990</v>
      </c>
      <c r="B15" s="37">
        <f>'7a'!B15/'5b'!$B15*100</f>
        <v>0.89456869009584672</v>
      </c>
      <c r="C15" s="34">
        <f>'7a'!C15/'5b'!$B15*100</f>
        <v>1.255591054313099</v>
      </c>
      <c r="D15" s="34">
        <f>'7a'!D15/'5b'!$B15*100</f>
        <v>10.476038338658148</v>
      </c>
      <c r="E15" s="38">
        <f>'7a'!E15/'5b'!$B15*100</f>
        <v>12.626198083067091</v>
      </c>
      <c r="F15" s="37">
        <f>'7a'!F15/'5b'!$B15*100</f>
        <v>0.23003194888178916</v>
      </c>
      <c r="G15" s="34">
        <f>'7a'!G15/'5b'!$B15*100</f>
        <v>0.19169329073482427</v>
      </c>
      <c r="H15" s="34">
        <f>'7a'!H15/'5b'!$B15*100</f>
        <v>6.3067092651757193</v>
      </c>
      <c r="I15" s="38">
        <f>'7a'!I15/'5b'!$B15*100</f>
        <v>6.7284345047923324</v>
      </c>
      <c r="J15" s="147">
        <f>'7a'!J15/'5b'!$D15*100</f>
        <v>1.7680155377129927</v>
      </c>
      <c r="K15" s="100">
        <f>'7a'!K15/'5b'!$D15*100</f>
        <v>1.7019402118414992</v>
      </c>
      <c r="L15" s="100">
        <f>'7a'!L15/'5b'!$D15*100</f>
        <v>5.5082794385599581</v>
      </c>
      <c r="M15" s="101">
        <f>'7a'!M15/'5b'!$D15*100</f>
        <v>8.97823518811445</v>
      </c>
    </row>
    <row r="16" spans="1:13">
      <c r="A16" s="16">
        <v>1991</v>
      </c>
      <c r="B16" s="37">
        <f>'7a'!B16/'5b'!$B16*100</f>
        <v>0.86111111111111116</v>
      </c>
      <c r="C16" s="34">
        <f>'7a'!C16/'5b'!$B16*100</f>
        <v>1.4938271604938271</v>
      </c>
      <c r="D16" s="34">
        <f>'7a'!D16/'5b'!$B16*100</f>
        <v>11.57716049382716</v>
      </c>
      <c r="E16" s="38">
        <f>'7a'!E16/'5b'!$B16*100</f>
        <v>13.9320987654321</v>
      </c>
      <c r="F16" s="37">
        <f>'7a'!F16/'5b'!$B16*100</f>
        <v>0.27469135802469136</v>
      </c>
      <c r="G16" s="34">
        <f>'7a'!G16/'5b'!$B16*100</f>
        <v>0.28703703703703703</v>
      </c>
      <c r="H16" s="34">
        <f>'7a'!H16/'5b'!$B16*100</f>
        <v>5.8981481481481479</v>
      </c>
      <c r="I16" s="38">
        <f>'7a'!I16/'5b'!$B16*100</f>
        <v>6.4598765432098766</v>
      </c>
      <c r="J16" s="147">
        <f>'7a'!J16/'5b'!$D16*100</f>
        <v>1.6403023455154679</v>
      </c>
      <c r="K16" s="100">
        <f>'7a'!K16/'5b'!$D16*100</f>
        <v>1.833164497779163</v>
      </c>
      <c r="L16" s="100">
        <f>'7a'!L16/'5b'!$D16*100</f>
        <v>5.5618327748772698</v>
      </c>
      <c r="M16" s="101">
        <f>'7a'!M16/'5b'!$D16*100</f>
        <v>9.0352996181719014</v>
      </c>
    </row>
    <row r="17" spans="1:13">
      <c r="A17" s="16">
        <v>1992</v>
      </c>
      <c r="B17" s="37">
        <f>'7a'!B17/'5b'!$B17*100</f>
        <v>0.86532951289398274</v>
      </c>
      <c r="C17" s="34">
        <f>'7a'!C17/'5b'!$B17*100</f>
        <v>1.667621776504298</v>
      </c>
      <c r="D17" s="34">
        <f>'7a'!D17/'5b'!$B17*100</f>
        <v>15.939828080229226</v>
      </c>
      <c r="E17" s="38">
        <f>'7a'!E17/'5b'!$B17*100</f>
        <v>18.472779369627506</v>
      </c>
      <c r="F17" s="37">
        <f>'7a'!F17/'5b'!$B17*100</f>
        <v>0.35530085959885388</v>
      </c>
      <c r="G17" s="34">
        <f>'7a'!G17/'5b'!$B17*100</f>
        <v>0.40114613180515757</v>
      </c>
      <c r="H17" s="34">
        <f>'7a'!H17/'5b'!$B17*100</f>
        <v>5.1174785100286533</v>
      </c>
      <c r="I17" s="38">
        <f>'7a'!I17/'5b'!$B17*100</f>
        <v>5.873925501432665</v>
      </c>
      <c r="J17" s="147">
        <f>'7a'!J17/'5b'!$D17*100</f>
        <v>1.5343623667769202</v>
      </c>
      <c r="K17" s="100">
        <f>'7a'!K17/'5b'!$D17*100</f>
        <v>1.9110621095185594</v>
      </c>
      <c r="L17" s="100">
        <f>'7a'!L17/'5b'!$D17*100</f>
        <v>5.4208011760382213</v>
      </c>
      <c r="M17" s="101">
        <f>'7a'!M17/'5b'!$D17*100</f>
        <v>8.8662256523337</v>
      </c>
    </row>
    <row r="18" spans="1:13">
      <c r="A18" s="16">
        <v>1993</v>
      </c>
      <c r="B18" s="37">
        <f>'7a'!B18/'5b'!$B18*100</f>
        <v>0.89898989898989901</v>
      </c>
      <c r="C18" s="34">
        <f>'7a'!C18/'5b'!$B18*100</f>
        <v>1.8661616161616161</v>
      </c>
      <c r="D18" s="34">
        <f>'7a'!D18/'5b'!$B18*100</f>
        <v>17.651515151515152</v>
      </c>
      <c r="E18" s="38">
        <f>'7a'!E18/'5b'!$B18*100</f>
        <v>20.416666666666668</v>
      </c>
      <c r="F18" s="37">
        <f>'7a'!F18/'5b'!$B18*100</f>
        <v>0.62373737373737381</v>
      </c>
      <c r="G18" s="34">
        <f>'7a'!G18/'5b'!$B18*100</f>
        <v>0.88131313131313127</v>
      </c>
      <c r="H18" s="34">
        <f>'7a'!H18/'5b'!$B18*100</f>
        <v>4.5075757575757578</v>
      </c>
      <c r="I18" s="38">
        <f>'7a'!I18/'5b'!$B18*100</f>
        <v>6.0126262626262621</v>
      </c>
      <c r="J18" s="147">
        <f>'7a'!J18/'5b'!$D18*100</f>
        <v>1.5045590055614637</v>
      </c>
      <c r="K18" s="100">
        <f>'7a'!K18/'5b'!$D18*100</f>
        <v>2.038041109503304</v>
      </c>
      <c r="L18" s="100">
        <f>'7a'!L18/'5b'!$D18*100</f>
        <v>5.3365644449868377</v>
      </c>
      <c r="M18" s="101">
        <f>'7a'!M18/'5b'!$D18*100</f>
        <v>8.8791645600516045</v>
      </c>
    </row>
    <row r="19" spans="1:13">
      <c r="A19" s="16">
        <v>1994</v>
      </c>
      <c r="B19" s="37">
        <f>'7a'!B19/'5b'!$B19*100</f>
        <v>1</v>
      </c>
      <c r="C19" s="34">
        <f>'7a'!C19/'5b'!$B19*100</f>
        <v>2.2511415525114158</v>
      </c>
      <c r="D19" s="34">
        <f>'7a'!D19/'5b'!$B19*100</f>
        <v>20.294520547945204</v>
      </c>
      <c r="E19" s="38">
        <f>'7a'!E19/'5b'!$B19*100</f>
        <v>23.545662100456621</v>
      </c>
      <c r="F19" s="37">
        <f>'7a'!F19/'5b'!$B19*100</f>
        <v>0.82191780821917804</v>
      </c>
      <c r="G19" s="34">
        <f>'7a'!G19/'5b'!$B19*100</f>
        <v>1.226027397260274</v>
      </c>
      <c r="H19" s="34">
        <f>'7a'!H19/'5b'!$B19*100</f>
        <v>4.0913242009132418</v>
      </c>
      <c r="I19" s="38">
        <f>'7a'!I19/'5b'!$B19*100</f>
        <v>6.1392694063926934</v>
      </c>
      <c r="J19" s="147">
        <f>'7a'!J19/'5b'!$D19*100</f>
        <v>1.4885864148106995</v>
      </c>
      <c r="K19" s="100">
        <f>'7a'!K19/'5b'!$D19*100</f>
        <v>2.0784653344008888</v>
      </c>
      <c r="L19" s="100">
        <f>'7a'!L19/'5b'!$D19*100</f>
        <v>5.1749211588424648</v>
      </c>
      <c r="M19" s="101">
        <f>'7a'!M19/'5b'!$D19*100</f>
        <v>8.7419729080540538</v>
      </c>
    </row>
    <row r="20" spans="1:13">
      <c r="A20" s="16">
        <v>1995</v>
      </c>
      <c r="B20" s="37">
        <f>'7a'!B20/'5b'!$B20*100</f>
        <v>1.4610389610389609</v>
      </c>
      <c r="C20" s="34">
        <f>'7a'!C20/'5b'!$B20*100</f>
        <v>3.2683982683982684</v>
      </c>
      <c r="D20" s="34">
        <f>'7a'!D20/'5b'!$B20*100</f>
        <v>28.885281385281385</v>
      </c>
      <c r="E20" s="38">
        <f>'7a'!E20/'5b'!$B20*100</f>
        <v>33.614718614718612</v>
      </c>
      <c r="F20" s="37">
        <f>'7a'!F20/'5b'!$B20*100</f>
        <v>0.9155844155844155</v>
      </c>
      <c r="G20" s="34">
        <f>'7a'!G20/'5b'!$B20*100</f>
        <v>1.3354978354978355</v>
      </c>
      <c r="H20" s="34">
        <f>'7a'!H20/'5b'!$B20*100</f>
        <v>3.8614718614718617</v>
      </c>
      <c r="I20" s="38">
        <f>'7a'!I20/'5b'!$B20*100</f>
        <v>6.1125541125541121</v>
      </c>
      <c r="J20" s="147">
        <f>'7a'!J20/'5b'!$D20*100</f>
        <v>1.5404984423676014</v>
      </c>
      <c r="K20" s="100">
        <f>'7a'!K20/'5b'!$D20*100</f>
        <v>2.1822429906542058</v>
      </c>
      <c r="L20" s="100">
        <f>'7a'!L20/'5b'!$D20*100</f>
        <v>5.1853582554517139</v>
      </c>
      <c r="M20" s="101">
        <f>'7a'!M20/'5b'!$D20*100</f>
        <v>8.90809968847352</v>
      </c>
    </row>
    <row r="21" spans="1:13">
      <c r="A21" s="16">
        <v>1996</v>
      </c>
      <c r="B21" s="37">
        <f>'7a'!B21/'5b'!$B21*100</f>
        <v>1.9637526652452024</v>
      </c>
      <c r="C21" s="34">
        <f>'7a'!C21/'5b'!$B21*100</f>
        <v>4.4648187633262264</v>
      </c>
      <c r="D21" s="34">
        <f>'7a'!D21/'5b'!$B21*100</f>
        <v>40.663113006396593</v>
      </c>
      <c r="E21" s="38">
        <f>'7a'!E21/'5b'!$B21*100</f>
        <v>47.091684434968016</v>
      </c>
      <c r="F21" s="37">
        <f>'7a'!F21/'5b'!$B21*100</f>
        <v>0.9211087420042644</v>
      </c>
      <c r="G21" s="34">
        <f>'7a'!G21/'5b'!$B21*100</f>
        <v>1.3816631130063965</v>
      </c>
      <c r="H21" s="34">
        <f>'7a'!H21/'5b'!$B21*100</f>
        <v>3.8720682302771854</v>
      </c>
      <c r="I21" s="38">
        <f>'7a'!I21/'5b'!$B21*100</f>
        <v>6.1748400852878467</v>
      </c>
      <c r="J21" s="147">
        <f>'7a'!J21/'5b'!$D21*100</f>
        <v>1.5632798050670815</v>
      </c>
      <c r="K21" s="100">
        <f>'7a'!K21/'5b'!$D21*100</f>
        <v>2.2605172768106154</v>
      </c>
      <c r="L21" s="100">
        <f>'7a'!L21/'5b'!$D21*100</f>
        <v>5.3034083903355542</v>
      </c>
      <c r="M21" s="101">
        <f>'7a'!M21/'5b'!$D21*100</f>
        <v>9.1272054722132534</v>
      </c>
    </row>
    <row r="22" spans="1:13">
      <c r="A22" s="16">
        <v>1997</v>
      </c>
      <c r="B22" s="37">
        <f>'7a'!B22/'5b'!$B22*100</f>
        <v>2.5261194029850746</v>
      </c>
      <c r="C22" s="34">
        <f>'7a'!C22/'5b'!$B22*100</f>
        <v>5.6791044776119399</v>
      </c>
      <c r="D22" s="34">
        <f>'7a'!D22/'5b'!$B22*100</f>
        <v>48.09141791044776</v>
      </c>
      <c r="E22" s="38">
        <f>'7a'!E22/'5b'!$B22*100</f>
        <v>56.296641791044777</v>
      </c>
      <c r="F22" s="37">
        <f>'7a'!F22/'5b'!$B22*100</f>
        <v>0.76865671641791045</v>
      </c>
      <c r="G22" s="34">
        <f>'7a'!G22/'5b'!$B22*100</f>
        <v>1.2332089552238805</v>
      </c>
      <c r="H22" s="34">
        <f>'7a'!H22/'5b'!$B22*100</f>
        <v>3.2761194029850746</v>
      </c>
      <c r="I22" s="38">
        <f>'7a'!I22/'5b'!$B22*100</f>
        <v>5.2779850746268657</v>
      </c>
      <c r="J22" s="147">
        <f>'7a'!J22/'5b'!$D22*100</f>
        <v>1.6173841287305737</v>
      </c>
      <c r="K22" s="100">
        <f>'7a'!K22/'5b'!$D22*100</f>
        <v>2.4755879521386328</v>
      </c>
      <c r="L22" s="100">
        <f>'7a'!L22/'5b'!$D22*100</f>
        <v>5.2950075642965198</v>
      </c>
      <c r="M22" s="101">
        <f>'7a'!M22/'5b'!$D22*100</f>
        <v>9.3879796451657267</v>
      </c>
    </row>
    <row r="23" spans="1:13">
      <c r="A23" s="16">
        <v>1998</v>
      </c>
      <c r="B23" s="37">
        <f>'7a'!B23/'5b'!$B23*100</f>
        <v>2.9618320610687023</v>
      </c>
      <c r="C23" s="34">
        <f>'7a'!C23/'5b'!$B23*100</f>
        <v>6.8167938931297716</v>
      </c>
      <c r="D23" s="34">
        <f>'7a'!D23/'5b'!$B23*100</f>
        <v>57.26335877862595</v>
      </c>
      <c r="E23" s="38">
        <f>'7a'!E23/'5b'!$B23*100</f>
        <v>67.041984732824417</v>
      </c>
      <c r="F23" s="37">
        <f>'7a'!F23/'5b'!$B23*100</f>
        <v>0.8225190839694656</v>
      </c>
      <c r="G23" s="34">
        <f>'7a'!G23/'5b'!$B23*100</f>
        <v>1.4236641221374045</v>
      </c>
      <c r="H23" s="34">
        <f>'7a'!H23/'5b'!$B23*100</f>
        <v>3.2519083969465652</v>
      </c>
      <c r="I23" s="38">
        <f>'7a'!I23/'5b'!$B23*100</f>
        <v>5.4980916030534353</v>
      </c>
      <c r="J23" s="147">
        <f>'7a'!J23/'5b'!$D23*100</f>
        <v>1.6375545851528384</v>
      </c>
      <c r="K23" s="100">
        <f>'7a'!K23/'5b'!$D23*100</f>
        <v>2.772145976294448</v>
      </c>
      <c r="L23" s="100">
        <f>'7a'!L23/'5b'!$D23*100</f>
        <v>5.2258785610313998</v>
      </c>
      <c r="M23" s="101">
        <f>'7a'!M23/'5b'!$D23*100</f>
        <v>9.6355791224786849</v>
      </c>
    </row>
    <row r="24" spans="1:13">
      <c r="A24" s="16">
        <v>1999</v>
      </c>
      <c r="B24" s="37">
        <f>'7a'!B24/'5b'!$B24*100</f>
        <v>2.8047882136279929</v>
      </c>
      <c r="C24" s="34">
        <f>'7a'!C24/'5b'!$B24*100</f>
        <v>6.6169429097605894</v>
      </c>
      <c r="D24" s="34">
        <f>'7a'!D24/'5b'!$B24*100</f>
        <v>57.233885819521177</v>
      </c>
      <c r="E24" s="38">
        <f>'7a'!E24/'5b'!$B24*100</f>
        <v>66.655616942909759</v>
      </c>
      <c r="F24" s="37">
        <f>'7a'!F24/'5b'!$B24*100</f>
        <v>0.84346224677716386</v>
      </c>
      <c r="G24" s="34">
        <f>'7a'!G24/'5b'!$B24*100</f>
        <v>1.5561694290976058</v>
      </c>
      <c r="H24" s="34">
        <f>'7a'!H24/'5b'!$B24*100</f>
        <v>3.1215469613259668</v>
      </c>
      <c r="I24" s="38">
        <f>'7a'!I24/'5b'!$B24*100</f>
        <v>5.5211786372007365</v>
      </c>
      <c r="J24" s="147">
        <f>'7a'!J24/'5b'!$D24*100</f>
        <v>1.8232596712034734</v>
      </c>
      <c r="K24" s="100">
        <f>'7a'!K24/'5b'!$D24*100</f>
        <v>3.2245475389043361</v>
      </c>
      <c r="L24" s="100">
        <f>'7a'!L24/'5b'!$D24*100</f>
        <v>5.256353968486267</v>
      </c>
      <c r="M24" s="101">
        <f>'7a'!M24/'5b'!$D24*100</f>
        <v>10.304161178594077</v>
      </c>
    </row>
    <row r="25" spans="1:13">
      <c r="A25" s="16">
        <v>2000</v>
      </c>
      <c r="B25" s="37">
        <f>'7a'!B25/'5b'!$B25*100</f>
        <v>3.1732580037664784</v>
      </c>
      <c r="C25" s="34">
        <f>'7a'!C25/'5b'!$B25*100</f>
        <v>7.8964218455743875</v>
      </c>
      <c r="D25" s="34">
        <f>'7a'!D25/'5b'!$B25*100</f>
        <v>65.239171374764595</v>
      </c>
      <c r="E25" s="38">
        <f>'7a'!E25/'5b'!$B25*100</f>
        <v>76.308851224105453</v>
      </c>
      <c r="F25" s="37">
        <f>'7a'!F25/'5b'!$B25*100</f>
        <v>0.70621468926553677</v>
      </c>
      <c r="G25" s="34">
        <f>'7a'!G25/'5b'!$B25*100</f>
        <v>1.3502824858757063</v>
      </c>
      <c r="H25" s="34">
        <f>'7a'!H25/'5b'!$B25*100</f>
        <v>3.0207156308851224</v>
      </c>
      <c r="I25" s="38">
        <f>'7a'!I25/'5b'!$B25*100</f>
        <v>5.077212806026365</v>
      </c>
      <c r="J25" s="147">
        <f>'7a'!J25/'5b'!$D25*100</f>
        <v>1.9539611497121141</v>
      </c>
      <c r="K25" s="100">
        <f>'7a'!K25/'5b'!$D25*100</f>
        <v>3.6595277068714869</v>
      </c>
      <c r="L25" s="100">
        <f>'7a'!L25/'5b'!$D25*100</f>
        <v>5.5367955952885159</v>
      </c>
      <c r="M25" s="101">
        <f>'7a'!M25/'5b'!$D25*100</f>
        <v>11.150284451872118</v>
      </c>
    </row>
    <row r="26" spans="1:13">
      <c r="A26" s="16">
        <v>2001</v>
      </c>
      <c r="B26" s="37">
        <f>'7a'!B26/'5b'!$B26*100</f>
        <v>3.4048672566371683</v>
      </c>
      <c r="C26" s="34">
        <f>'7a'!C26/'5b'!$B26*100</f>
        <v>9.3827433628318584</v>
      </c>
      <c r="D26" s="34">
        <f>'7a'!D26/'5b'!$B26*100</f>
        <v>80.931415929203538</v>
      </c>
      <c r="E26" s="38">
        <f>'7a'!E26/'5b'!$B26*100</f>
        <v>93.719026548672574</v>
      </c>
      <c r="F26" s="37">
        <f>'7a'!F26/'5b'!$B26*100</f>
        <v>0.5752212389380531</v>
      </c>
      <c r="G26" s="34">
        <f>'7a'!G26/'5b'!$B26*100</f>
        <v>1.1946902654867257</v>
      </c>
      <c r="H26" s="34">
        <f>'7a'!H26/'5b'!$B26*100</f>
        <v>3.2898230088495573</v>
      </c>
      <c r="I26" s="38">
        <f>'7a'!I26/'5b'!$B26*100</f>
        <v>5.0597345132743357</v>
      </c>
      <c r="J26" s="147">
        <f>'7a'!J26/'5b'!$D26*100</f>
        <v>1.8178186176588094</v>
      </c>
      <c r="K26" s="100">
        <f>'7a'!K26/'5b'!$D26*100</f>
        <v>3.848714875482754</v>
      </c>
      <c r="L26" s="100">
        <f>'7a'!L26/'5b'!$D26*100</f>
        <v>5.7142540063035474</v>
      </c>
      <c r="M26" s="101">
        <f>'7a'!M26/'5b'!$D26*100</f>
        <v>11.380787499445111</v>
      </c>
    </row>
    <row r="27" spans="1:13">
      <c r="A27" s="16">
        <v>2002</v>
      </c>
      <c r="B27" s="37">
        <f>'7a'!B27/'5b'!$B27*100</f>
        <v>2.3098290598290596</v>
      </c>
      <c r="C27" s="34">
        <f>'7a'!C27/'5b'!$B27*100</f>
        <v>6.2692307692307683</v>
      </c>
      <c r="D27" s="34">
        <f>'7a'!D27/'5b'!$B27*100</f>
        <v>69.767094017094024</v>
      </c>
      <c r="E27" s="38">
        <f>'7a'!E27/'5b'!$B27*100</f>
        <v>78.34615384615384</v>
      </c>
      <c r="F27" s="37">
        <f>'7a'!F27/'5b'!$B27*100</f>
        <v>0.40811965811965811</v>
      </c>
      <c r="G27" s="34">
        <f>'7a'!G27/'5b'!$B27*100</f>
        <v>0.85256410256410264</v>
      </c>
      <c r="H27" s="34">
        <f>'7a'!H27/'5b'!$B27*100</f>
        <v>2.9594017094017091</v>
      </c>
      <c r="I27" s="38">
        <f>'7a'!I27/'5b'!$B27*100</f>
        <v>4.2200854700854702</v>
      </c>
      <c r="J27" s="147">
        <f>'7a'!J27/'5b'!$D27*100</f>
        <v>1.7396359252042672</v>
      </c>
      <c r="K27" s="100">
        <f>'7a'!K27/'5b'!$D27*100</f>
        <v>3.8775795808080264</v>
      </c>
      <c r="L27" s="100">
        <f>'7a'!L27/'5b'!$D27*100</f>
        <v>5.6010678953204218</v>
      </c>
      <c r="M27" s="101">
        <f>'7a'!M27/'5b'!$D27*100</f>
        <v>11.218283401332716</v>
      </c>
    </row>
    <row r="28" spans="1:13">
      <c r="A28" s="16">
        <v>2003</v>
      </c>
      <c r="B28" s="37">
        <f>'7a'!B28/'5b'!$B28*100</f>
        <v>1.4548872180451127</v>
      </c>
      <c r="C28" s="34">
        <f>'7a'!C28/'5b'!$B28*100</f>
        <v>3.9285714285714284</v>
      </c>
      <c r="D28" s="34">
        <f>'7a'!D28/'5b'!$B28*100</f>
        <v>53.353383458646618</v>
      </c>
      <c r="E28" s="38">
        <f>'7a'!E28/'5b'!$B28*100</f>
        <v>58.73684210526315</v>
      </c>
      <c r="F28" s="37">
        <f>'7a'!F28/'5b'!$B28*100</f>
        <v>0.30075187969924816</v>
      </c>
      <c r="G28" s="34">
        <f>'7a'!G28/'5b'!$B28*100</f>
        <v>0.60338345864661658</v>
      </c>
      <c r="H28" s="34">
        <f>'7a'!H28/'5b'!$B28*100</f>
        <v>2.4135338345864663</v>
      </c>
      <c r="I28" s="38">
        <f>'7a'!I28/'5b'!$B28*100</f>
        <v>3.3176691729323311</v>
      </c>
      <c r="J28" s="147">
        <f>'7a'!J28/'5b'!$D28*100</f>
        <v>1.6678857307688346</v>
      </c>
      <c r="K28" s="100">
        <f>'7a'!K28/'5b'!$D28*100</f>
        <v>3.8405670193367603</v>
      </c>
      <c r="L28" s="100">
        <f>'7a'!L28/'5b'!$D28*100</f>
        <v>5.2478134110787176</v>
      </c>
      <c r="M28" s="101">
        <f>'7a'!M28/'5b'!$D28*100</f>
        <v>10.756266161184312</v>
      </c>
    </row>
    <row r="29" spans="1:13">
      <c r="A29" s="16">
        <v>2004</v>
      </c>
      <c r="B29" s="37">
        <f>'7a'!B29/'5b'!$B29*100</f>
        <v>1.0106951871657754</v>
      </c>
      <c r="C29" s="34">
        <f>'7a'!C29/'5b'!$B29*100</f>
        <v>2.8003565062388591</v>
      </c>
      <c r="D29" s="34">
        <f>'7a'!D29/'5b'!$B29*100</f>
        <v>45.292335115864532</v>
      </c>
      <c r="E29" s="38">
        <f>'7a'!E29/'5b'!$B29*100</f>
        <v>49.103386809269161</v>
      </c>
      <c r="F29" s="37">
        <f>'7a'!F29/'5b'!$B29*100</f>
        <v>0.24777183600713013</v>
      </c>
      <c r="G29" s="34">
        <f>'7a'!G29/'5b'!$B29*100</f>
        <v>0.49197860962566847</v>
      </c>
      <c r="H29" s="34">
        <f>'7a'!H29/'5b'!$B29*100</f>
        <v>2.1836007130124777</v>
      </c>
      <c r="I29" s="38">
        <f>'7a'!I29/'5b'!$B29*100</f>
        <v>2.9233511586452763</v>
      </c>
      <c r="J29" s="147">
        <f>'7a'!J29/'5b'!$D29*100</f>
        <v>1.5687828642128052</v>
      </c>
      <c r="K29" s="100">
        <f>'7a'!K29/'5b'!$D29*100</f>
        <v>3.8306139808227653</v>
      </c>
      <c r="L29" s="100">
        <f>'7a'!L29/'5b'!$D29*100</f>
        <v>4.9847278069904117</v>
      </c>
      <c r="M29" s="101">
        <f>'7a'!M29/'5b'!$D29*100</f>
        <v>10.384124652025982</v>
      </c>
    </row>
    <row r="30" spans="1:13">
      <c r="A30" s="16">
        <v>2005</v>
      </c>
      <c r="B30" s="37">
        <f>'7a'!B30/'5b'!$B30*100</f>
        <v>0.74147217235188512</v>
      </c>
      <c r="C30" s="34">
        <f>'7a'!C30/'5b'!$B30*100</f>
        <v>2.1831238779174149</v>
      </c>
      <c r="D30" s="34">
        <f>'7a'!D30/'5b'!$B30*100</f>
        <v>41.456014362657086</v>
      </c>
      <c r="E30" s="38">
        <f>'7a'!E30/'5b'!$B30*100</f>
        <v>44.380610412926394</v>
      </c>
      <c r="F30" s="37">
        <f>'7a'!F30/'5b'!$B30*100</f>
        <v>0.21903052064631956</v>
      </c>
      <c r="G30" s="34">
        <f>'7a'!G30/'5b'!$B30*100</f>
        <v>0.45421903052064633</v>
      </c>
      <c r="H30" s="34">
        <f>'7a'!H30/'5b'!$B30*100</f>
        <v>2.140035906642729</v>
      </c>
      <c r="I30" s="38">
        <f>'7a'!I30/'5b'!$B30*100</f>
        <v>2.8132854578096946</v>
      </c>
      <c r="J30" s="147">
        <f>'7a'!J30/'5b'!$D30*100</f>
        <v>1.4251932119850323</v>
      </c>
      <c r="K30" s="100">
        <f>'7a'!K30/'5b'!$D30*100</f>
        <v>3.8470250337498078</v>
      </c>
      <c r="L30" s="100">
        <f>'7a'!L30/'5b'!$D30*100</f>
        <v>4.8001739587391601</v>
      </c>
      <c r="M30" s="101">
        <f>'7a'!M30/'5b'!$D30*100</f>
        <v>10.072392204474001</v>
      </c>
    </row>
    <row r="31" spans="1:13">
      <c r="A31" s="16">
        <v>2006</v>
      </c>
      <c r="B31" s="37">
        <f>'7a'!B31/'5b'!$B31*100</f>
        <v>0.54606365159128978</v>
      </c>
      <c r="C31" s="34">
        <f>'7a'!C31/'5b'!$B31*100</f>
        <v>1.6398659966499161</v>
      </c>
      <c r="D31" s="34">
        <f>'7a'!D31/'5b'!$B31*100</f>
        <v>36.882747068676721</v>
      </c>
      <c r="E31" s="38">
        <f>'7a'!E31/'5b'!$B31*100</f>
        <v>39.068676716917921</v>
      </c>
      <c r="F31" s="37">
        <f>'7a'!F31/'5b'!$B31*100</f>
        <v>0.20435510887772193</v>
      </c>
      <c r="G31" s="34">
        <f>'7a'!G31/'5b'!$B31*100</f>
        <v>0.41876046901172526</v>
      </c>
      <c r="H31" s="34">
        <f>'7a'!H31/'5b'!$B31*100</f>
        <v>2.0703517587939699</v>
      </c>
      <c r="I31" s="38">
        <f>'7a'!I31/'5b'!$B31*100</f>
        <v>2.6934673366834172</v>
      </c>
      <c r="J31" s="147">
        <f>'7a'!J31/'5b'!$D31*100</f>
        <v>1.3783797632671186</v>
      </c>
      <c r="K31" s="100">
        <f>'7a'!K31/'5b'!$D31*100</f>
        <v>3.8883290347925601</v>
      </c>
      <c r="L31" s="100">
        <f>'7a'!L31/'5b'!$D31*100</f>
        <v>4.9421832032384243</v>
      </c>
      <c r="M31" s="101">
        <f>'7a'!M31/'5b'!$D31*100</f>
        <v>10.208892001298102</v>
      </c>
    </row>
    <row r="32" spans="1:13">
      <c r="A32" s="16">
        <v>2007</v>
      </c>
      <c r="B32" s="37">
        <f>'7a'!B32/'5b'!$B32*100</f>
        <v>0.54817275747508309</v>
      </c>
      <c r="C32" s="34">
        <f>'7a'!C32/'5b'!$B32*100</f>
        <v>1.5730897009966778</v>
      </c>
      <c r="D32" s="34">
        <f>'7a'!D32/'5b'!$B32*100</f>
        <v>31.327242524916944</v>
      </c>
      <c r="E32" s="38">
        <f>'7a'!E32/'5b'!$B32*100</f>
        <v>33.448504983388702</v>
      </c>
      <c r="F32" s="37">
        <f>'7a'!F32/'5b'!$B32*100</f>
        <v>0.24252491694352157</v>
      </c>
      <c r="G32" s="34">
        <f>'7a'!G32/'5b'!$B32*100</f>
        <v>0.4700996677740864</v>
      </c>
      <c r="H32" s="34">
        <f>'7a'!H32/'5b'!$B32*100</f>
        <v>1.9518272425249168</v>
      </c>
      <c r="I32" s="38">
        <f>'7a'!I32/'5b'!$B32*100</f>
        <v>2.6644518272425248</v>
      </c>
      <c r="J32" s="147">
        <f>'7a'!J32/'5b'!$D32*100</f>
        <v>1.3562858633281167</v>
      </c>
      <c r="K32" s="100">
        <f>'7a'!K32/'5b'!$D32*100</f>
        <v>3.9514866979655712</v>
      </c>
      <c r="L32" s="100">
        <f>'7a'!L32/'5b'!$D32*100</f>
        <v>4.5220396452790821</v>
      </c>
      <c r="M32" s="101">
        <f>'7a'!M32/'5b'!$D32*100</f>
        <v>9.82981220657277</v>
      </c>
    </row>
    <row r="33" spans="1:13">
      <c r="A33" s="16">
        <v>2008</v>
      </c>
      <c r="B33" s="37">
        <f>'7a'!B33/'5b'!$B33*100</f>
        <v>0.57762938230383976</v>
      </c>
      <c r="C33" s="34">
        <f>'7a'!C33/'5b'!$B33*100</f>
        <v>1.5575959933222037</v>
      </c>
      <c r="D33" s="34">
        <f>'7a'!D33/'5b'!$B33*100</f>
        <v>29.171953255425709</v>
      </c>
      <c r="E33" s="38">
        <f>'7a'!E33/'5b'!$B33*100</f>
        <v>31.307178631051752</v>
      </c>
      <c r="F33" s="37">
        <f>'7a'!F33/'5b'!$B33*100</f>
        <v>0.29549248747913193</v>
      </c>
      <c r="G33" s="34">
        <f>'7a'!G33/'5b'!$B33*100</f>
        <v>0.53589315525876458</v>
      </c>
      <c r="H33" s="34">
        <f>'7a'!H33/'5b'!$B33*100</f>
        <v>2.025041736227045</v>
      </c>
      <c r="I33" s="38">
        <f>'7a'!I33/'5b'!$B33*100</f>
        <v>2.8564273789649417</v>
      </c>
      <c r="J33" s="147">
        <f>'7a'!J33/'5b'!$D33*100</f>
        <v>1.3628579009576187</v>
      </c>
      <c r="K33" s="100">
        <f>'7a'!K33/'5b'!$D33*100</f>
        <v>4.1287760008362078</v>
      </c>
      <c r="L33" s="100">
        <f>'7a'!L33/'5b'!$D33*100</f>
        <v>4.5356232562253265</v>
      </c>
      <c r="M33" s="101">
        <f>'7a'!M33/'5b'!$D33*100</f>
        <v>10.027257158019152</v>
      </c>
    </row>
    <row r="34" spans="1:13">
      <c r="A34" s="16">
        <v>2009</v>
      </c>
      <c r="B34" s="37">
        <f>'7a'!B34/'5b'!$B34*100</f>
        <v>0.54470198675496695</v>
      </c>
      <c r="C34" s="34">
        <f>'7a'!C34/'5b'!$B34*100</f>
        <v>1.4056291390728477</v>
      </c>
      <c r="D34" s="34">
        <f>'7a'!D34/'5b'!$B34*100</f>
        <v>25.852649006622521</v>
      </c>
      <c r="E34" s="38">
        <f>'7a'!E34/'5b'!$B34*100</f>
        <v>27.802980132450333</v>
      </c>
      <c r="F34" s="37">
        <f>'7a'!F34/'5b'!$B34*100</f>
        <v>0.29635761589403969</v>
      </c>
      <c r="G34" s="34">
        <f>'7a'!G34/'5b'!$B34*100</f>
        <v>0.5016556291390728</v>
      </c>
      <c r="H34" s="34">
        <f>'7a'!H34/'5b'!$B34*100</f>
        <v>1.933774834437086</v>
      </c>
      <c r="I34" s="38">
        <f>'7a'!I34/'5b'!$B34*100</f>
        <v>2.7317880794701987</v>
      </c>
      <c r="J34" s="147">
        <f>'7a'!J34/'5b'!$D34*100</f>
        <v>1.3779216348674084</v>
      </c>
      <c r="K34" s="100">
        <f>'7a'!K34/'5b'!$D34*100</f>
        <v>4.3567618841580611</v>
      </c>
      <c r="L34" s="100">
        <f>'7a'!L34/'5b'!$D34*100</f>
        <v>4.5731022374584995</v>
      </c>
      <c r="M34" s="101">
        <f>'7a'!M34/'5b'!$D34*100</f>
        <v>10.30778575648397</v>
      </c>
    </row>
    <row r="35" spans="1:13">
      <c r="A35" s="17">
        <v>2010</v>
      </c>
      <c r="B35" s="39">
        <f>'7a'!B35/'5b'!$B35*100</f>
        <v>0.55134281200631907</v>
      </c>
      <c r="C35" s="40">
        <f>'7a'!C35/'5b'!$B35*100</f>
        <v>1.2654028436018956</v>
      </c>
      <c r="D35" s="40">
        <f>'7a'!D35/'5b'!$B35*100</f>
        <v>21.039494470774091</v>
      </c>
      <c r="E35" s="41">
        <f>'7a'!E35/'5b'!$B35*100</f>
        <v>22.856240126382307</v>
      </c>
      <c r="F35" s="39">
        <f>'7a'!F35/'5b'!$B35*100</f>
        <v>0.31753554502369669</v>
      </c>
      <c r="G35" s="40">
        <f>'7a'!G35/'5b'!$B35*100</f>
        <v>0.46919431279620849</v>
      </c>
      <c r="H35" s="40">
        <f>'7a'!H35/'5b'!$B35*100</f>
        <v>1.6998420221169035</v>
      </c>
      <c r="I35" s="41">
        <f>'7a'!I35/'5b'!$B35*100</f>
        <v>2.4865718799368088</v>
      </c>
      <c r="J35" s="148">
        <f>'7a'!J35/'5b'!$D35*100</f>
        <v>1.4389233954451346</v>
      </c>
      <c r="K35" s="102">
        <f>'7a'!K35/'5b'!$D35*100</f>
        <v>4.2451027233635932</v>
      </c>
      <c r="L35" s="102">
        <f>'7a'!L35/'5b'!$D35*100</f>
        <v>4.080267558528428</v>
      </c>
      <c r="M35" s="103">
        <f>'7a'!M35/'5b'!$D35*100</f>
        <v>9.7642936773371556</v>
      </c>
    </row>
    <row r="37" spans="1:13">
      <c r="A37" s="389" t="s">
        <v>77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15" t="s">
        <v>53</v>
      </c>
      <c r="B38" s="82">
        <f>B15-B6</f>
        <v>-0.87013719225709441</v>
      </c>
      <c r="C38" s="83">
        <f t="shared" ref="C38:M38" si="0">C15-C6</f>
        <v>-0.75176188686337153</v>
      </c>
      <c r="D38" s="83">
        <f t="shared" si="0"/>
        <v>6.3878030445405001</v>
      </c>
      <c r="E38" s="84">
        <f t="shared" si="0"/>
        <v>4.7659039654200335</v>
      </c>
      <c r="F38" s="82">
        <f t="shared" si="0"/>
        <v>-0.18173275700056382</v>
      </c>
      <c r="G38" s="83">
        <f t="shared" si="0"/>
        <v>8.1399173087765453E-2</v>
      </c>
      <c r="H38" s="83">
        <f t="shared" si="0"/>
        <v>-1.2300554407066331</v>
      </c>
      <c r="I38" s="84">
        <f t="shared" si="0"/>
        <v>-1.3303890246194321</v>
      </c>
      <c r="J38" s="82">
        <f t="shared" si="0"/>
        <v>0.55762169702599218</v>
      </c>
      <c r="K38" s="83">
        <f t="shared" si="0"/>
        <v>0.85059286212281393</v>
      </c>
      <c r="L38" s="83">
        <f t="shared" si="0"/>
        <v>0.47422554457121002</v>
      </c>
      <c r="M38" s="84">
        <f t="shared" si="0"/>
        <v>1.8824401037200174</v>
      </c>
    </row>
    <row r="39" spans="1:13">
      <c r="A39" s="16" t="s">
        <v>71</v>
      </c>
      <c r="B39" s="85">
        <f>B25-B15</f>
        <v>2.2786893136706317</v>
      </c>
      <c r="C39" s="86">
        <f t="shared" ref="C39:M39" si="1">C25-C15</f>
        <v>6.6408307912612887</v>
      </c>
      <c r="D39" s="86">
        <f t="shared" si="1"/>
        <v>54.763133036106446</v>
      </c>
      <c r="E39" s="87">
        <f t="shared" si="1"/>
        <v>63.682653141038358</v>
      </c>
      <c r="F39" s="85">
        <f t="shared" si="1"/>
        <v>0.47618274038374764</v>
      </c>
      <c r="G39" s="86">
        <f t="shared" si="1"/>
        <v>1.158589195140882</v>
      </c>
      <c r="H39" s="86">
        <f t="shared" si="1"/>
        <v>-3.2859936342905969</v>
      </c>
      <c r="I39" s="87">
        <f t="shared" si="1"/>
        <v>-1.6512216987659674</v>
      </c>
      <c r="J39" s="85">
        <f t="shared" si="1"/>
        <v>0.18594561199912141</v>
      </c>
      <c r="K39" s="86">
        <f t="shared" si="1"/>
        <v>1.9575874950299876</v>
      </c>
      <c r="L39" s="86">
        <f t="shared" si="1"/>
        <v>2.8516156728557895E-2</v>
      </c>
      <c r="M39" s="87">
        <f t="shared" si="1"/>
        <v>2.1720492637576676</v>
      </c>
    </row>
    <row r="40" spans="1:13">
      <c r="A40" s="16" t="s">
        <v>69</v>
      </c>
      <c r="B40" s="85">
        <f>B35-B25</f>
        <v>-2.6219151917601593</v>
      </c>
      <c r="C40" s="86">
        <f t="shared" ref="C40:M40" si="2">C35-C25</f>
        <v>-6.6310190019724917</v>
      </c>
      <c r="D40" s="86">
        <f t="shared" si="2"/>
        <v>-44.199676903990508</v>
      </c>
      <c r="E40" s="87">
        <f t="shared" si="2"/>
        <v>-53.45261109772315</v>
      </c>
      <c r="F40" s="85">
        <f t="shared" si="2"/>
        <v>-0.38867914424184008</v>
      </c>
      <c r="G40" s="86">
        <f t="shared" si="2"/>
        <v>-0.88108817307949783</v>
      </c>
      <c r="H40" s="86">
        <f t="shared" si="2"/>
        <v>-1.3208736087682189</v>
      </c>
      <c r="I40" s="87">
        <f t="shared" si="2"/>
        <v>-2.5906409260895562</v>
      </c>
      <c r="J40" s="85">
        <f t="shared" si="2"/>
        <v>-0.51503775426697951</v>
      </c>
      <c r="K40" s="86">
        <f t="shared" si="2"/>
        <v>0.5855750164921063</v>
      </c>
      <c r="L40" s="86">
        <f t="shared" si="2"/>
        <v>-1.4565280367600879</v>
      </c>
      <c r="M40" s="87">
        <f t="shared" si="2"/>
        <v>-1.385990774534962</v>
      </c>
    </row>
    <row r="41" spans="1:13">
      <c r="A41" s="17" t="s">
        <v>70</v>
      </c>
      <c r="B41" s="88">
        <f>B35-B6</f>
        <v>-1.2133630703466221</v>
      </c>
      <c r="C41" s="89">
        <f t="shared" ref="C41:M41" si="3">C35-C6</f>
        <v>-0.74195009757457497</v>
      </c>
      <c r="D41" s="89">
        <f t="shared" si="3"/>
        <v>16.951259176656443</v>
      </c>
      <c r="E41" s="90">
        <f t="shared" si="3"/>
        <v>14.995946008735249</v>
      </c>
      <c r="F41" s="88">
        <f t="shared" si="3"/>
        <v>-9.4229160858656291E-2</v>
      </c>
      <c r="G41" s="89">
        <f>G35-G6</f>
        <v>0.35890019514914967</v>
      </c>
      <c r="H41" s="89">
        <f t="shared" si="3"/>
        <v>-5.8369226837654491</v>
      </c>
      <c r="I41" s="90">
        <f t="shared" si="3"/>
        <v>-5.5722516494749552</v>
      </c>
      <c r="J41" s="88">
        <f t="shared" si="3"/>
        <v>0.22852955475813408</v>
      </c>
      <c r="K41" s="89">
        <f t="shared" si="3"/>
        <v>3.393755373644908</v>
      </c>
      <c r="L41" s="89">
        <f t="shared" si="3"/>
        <v>-0.95378633546031999</v>
      </c>
      <c r="M41" s="90">
        <f t="shared" si="3"/>
        <v>2.668498592942723</v>
      </c>
    </row>
    <row r="43" spans="1:13">
      <c r="A43" s="1" t="s">
        <v>229</v>
      </c>
    </row>
    <row r="44" spans="1:13">
      <c r="A44" s="211"/>
    </row>
  </sheetData>
  <mergeCells count="4">
    <mergeCell ref="B4:E4"/>
    <mergeCell ref="F4:I4"/>
    <mergeCell ref="J4:M4"/>
    <mergeCell ref="A37:M37"/>
  </mergeCells>
  <pageMargins left="0.7" right="0.7" top="0.75" bottom="0.75" header="0.3" footer="0.3"/>
  <pageSetup scale="65" orientation="landscape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75"/>
  <dimension ref="A1:M45"/>
  <sheetViews>
    <sheetView zoomScaleNormal="100" workbookViewId="0">
      <selection activeCell="B15" sqref="B15"/>
    </sheetView>
  </sheetViews>
  <sheetFormatPr defaultRowHeight="15"/>
  <cols>
    <col min="1" max="1" width="10.140625" style="1" customWidth="1"/>
    <col min="2" max="2" width="10.7109375" style="1" customWidth="1"/>
    <col min="3" max="3" width="9.140625" style="1"/>
    <col min="4" max="4" width="19" style="1" customWidth="1"/>
    <col min="5" max="5" width="13" style="1" customWidth="1"/>
    <col min="6" max="6" width="10.42578125" style="1" customWidth="1"/>
    <col min="7" max="7" width="9.140625" style="1"/>
    <col min="8" max="8" width="18.42578125" style="1" customWidth="1"/>
    <col min="9" max="9" width="13.5703125" style="1" customWidth="1"/>
    <col min="10" max="10" width="11" style="1" customWidth="1"/>
    <col min="11" max="11" width="9.140625" style="1"/>
    <col min="12" max="12" width="17.28515625" style="1" customWidth="1"/>
    <col min="13" max="13" width="11.7109375" style="1" customWidth="1"/>
    <col min="14" max="16384" width="9.140625" style="1"/>
  </cols>
  <sheetData>
    <row r="1" spans="1:13">
      <c r="A1" s="2" t="s">
        <v>151</v>
      </c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45">
      <c r="B5" s="59" t="s">
        <v>0</v>
      </c>
      <c r="C5" s="60" t="s">
        <v>1</v>
      </c>
      <c r="D5" s="60" t="s">
        <v>2</v>
      </c>
      <c r="E5" s="275" t="s">
        <v>75</v>
      </c>
      <c r="F5" s="60" t="s">
        <v>0</v>
      </c>
      <c r="G5" s="60" t="s">
        <v>1</v>
      </c>
      <c r="H5" s="60" t="s">
        <v>2</v>
      </c>
      <c r="I5" s="275" t="s">
        <v>75</v>
      </c>
      <c r="J5" s="59" t="s">
        <v>39</v>
      </c>
      <c r="K5" s="60" t="s">
        <v>41</v>
      </c>
      <c r="L5" s="60" t="s">
        <v>40</v>
      </c>
      <c r="M5" s="275" t="s">
        <v>75</v>
      </c>
    </row>
    <row r="6" spans="1:13">
      <c r="A6" s="15">
        <v>1981</v>
      </c>
      <c r="B6" s="167">
        <f>IFERROR('7a'!B6/'7i'!$B5*100,"na")</f>
        <v>0.43956043956043955</v>
      </c>
      <c r="C6" s="155">
        <f>IFERROR('7a'!C6/'7i'!$B5*100,"na")</f>
        <v>0.5</v>
      </c>
      <c r="D6" s="155">
        <f>IFERROR('7a'!D6/'7i'!$B5*100,"na")</f>
        <v>1.0183150183150182</v>
      </c>
      <c r="E6" s="168">
        <f>IFERROR('7a'!E6/'7i'!$B5*100,"na")</f>
        <v>1.957875457875458</v>
      </c>
      <c r="F6" s="167">
        <f>IFERROR('7a'!F6/'7i'!$C5*100,"na")</f>
        <v>2.7410670582476749E-2</v>
      </c>
      <c r="G6" s="105">
        <f>IFERROR('7a'!G6/'7i'!$C5*100,"na")</f>
        <v>7.3421439060205578E-3</v>
      </c>
      <c r="H6" s="105">
        <f>IFERROR('7a'!H6/'7i'!$C5*100,"na")</f>
        <v>0.50171316691140477</v>
      </c>
      <c r="I6" s="109">
        <f>IFERROR('7a'!I6/'7i'!$C5*100,"na")</f>
        <v>0.53646598139990209</v>
      </c>
      <c r="J6" s="167">
        <f>IFERROR('7a'!J6/'7i'!$D5*100,"na")</f>
        <v>0.41647562280299566</v>
      </c>
      <c r="K6" s="193">
        <f>IFERROR('7a'!K6/'7i'!$D5*100,"na")</f>
        <v>0.29293392429568493</v>
      </c>
      <c r="L6" s="193">
        <f>IFERROR('7a'!L6/'7i'!$D5*100,"na")</f>
        <v>1.7321310306179634</v>
      </c>
      <c r="M6" s="194">
        <f>IFERROR('7a'!M6/'7i'!$D5*100,"na")</f>
        <v>2.4415405777166437</v>
      </c>
    </row>
    <row r="7" spans="1:13">
      <c r="A7" s="16">
        <v>1982</v>
      </c>
      <c r="B7" s="169">
        <f>IFERROR('7a'!B7/'7i'!$B6*100,"na")</f>
        <v>0.29166666666666669</v>
      </c>
      <c r="C7" s="156">
        <f>IFERROR('7a'!C7/'7i'!$B6*100,"na")</f>
        <v>0.34375</v>
      </c>
      <c r="D7" s="156">
        <f>IFERROR('7a'!D7/'7i'!$B6*100,"na")</f>
        <v>0.98784722222222221</v>
      </c>
      <c r="E7" s="170">
        <f>IFERROR('7a'!E7/'7i'!$B6*100,"na")</f>
        <v>1.6232638888888891</v>
      </c>
      <c r="F7" s="106">
        <f>IFERROR('7a'!F7/'7i'!$C6*100,"na")</f>
        <v>2.0756457564575646E-2</v>
      </c>
      <c r="G7" s="104">
        <f>IFERROR('7a'!G7/'7i'!$C6*100,"na")</f>
        <v>5.0738007380073799E-3</v>
      </c>
      <c r="H7" s="104">
        <f>IFERROR('7a'!H7/'7i'!$C6*100,"na")</f>
        <v>0.54059040590405905</v>
      </c>
      <c r="I7" s="110">
        <f>IFERROR('7a'!I7/'7i'!$C6*100,"na")</f>
        <v>0.56642066420664205</v>
      </c>
      <c r="J7" s="195">
        <f>IFERROR('7a'!J7/'7i'!$D6*100,"na")</f>
        <v>0.46367291739618677</v>
      </c>
      <c r="K7" s="171">
        <f>IFERROR('7a'!K7/'7i'!$D6*100,"na")</f>
        <v>0.32360505693275532</v>
      </c>
      <c r="L7" s="171">
        <f>IFERROR('7a'!L7/'7i'!$D6*100,"na")</f>
        <v>1.8546916695847471</v>
      </c>
      <c r="M7" s="196">
        <f>IFERROR('7a'!M7/'7i'!$D6*100,"na")</f>
        <v>2.641969643913689</v>
      </c>
    </row>
    <row r="8" spans="1:13">
      <c r="A8" s="16">
        <v>1983</v>
      </c>
      <c r="B8" s="169">
        <f>IFERROR('7a'!B8/'7i'!$B7*100,"na")</f>
        <v>0.19402985074626866</v>
      </c>
      <c r="C8" s="156">
        <f>IFERROR('7a'!C8/'7i'!$B7*100,"na")</f>
        <v>0.25870646766169153</v>
      </c>
      <c r="D8" s="156">
        <f>IFERROR('7a'!D8/'7i'!$B7*100,"na")</f>
        <v>1.12106135986733</v>
      </c>
      <c r="E8" s="170">
        <f>IFERROR('7a'!E8/'7i'!$B7*100,"na")</f>
        <v>1.57379767827529</v>
      </c>
      <c r="F8" s="106">
        <f>IFERROR('7a'!F8/'7i'!$C7*100,"na")</f>
        <v>1.2466607301869992E-2</v>
      </c>
      <c r="G8" s="104">
        <f>IFERROR('7a'!G8/'7i'!$C7*100,"na")</f>
        <v>4.0071237756010682E-3</v>
      </c>
      <c r="H8" s="104">
        <f>IFERROR('7a'!H8/'7i'!$C7*100,"na")</f>
        <v>0.56099732858414963</v>
      </c>
      <c r="I8" s="110">
        <f>IFERROR('7a'!I8/'7i'!$C7*100,"na")</f>
        <v>0.57747105966162071</v>
      </c>
      <c r="J8" s="195">
        <f>IFERROR('7a'!J8/'7i'!$D7*100,"na")</f>
        <v>0.50155716002006223</v>
      </c>
      <c r="K8" s="171">
        <f>IFERROR('7a'!K8/'7i'!$D7*100,"na")</f>
        <v>0.35808848401432353</v>
      </c>
      <c r="L8" s="171">
        <f>IFERROR('7a'!L8/'7i'!$D7*100,"na")</f>
        <v>1.9630713960785231</v>
      </c>
      <c r="M8" s="196">
        <f>IFERROR('7a'!M8/'7i'!$D7*100,"na")</f>
        <v>2.8227170401129089</v>
      </c>
    </row>
    <row r="9" spans="1:13">
      <c r="A9" s="16">
        <v>1984</v>
      </c>
      <c r="B9" s="169">
        <f>IFERROR('7a'!B9/'7i'!$B8*100,"na")</f>
        <v>0.19426751592356686</v>
      </c>
      <c r="C9" s="156">
        <f>IFERROR('7a'!C9/'7i'!$B8*100,"na")</f>
        <v>0.24522292993630571</v>
      </c>
      <c r="D9" s="320">
        <f>IFERROR('7a'!D9/'7i'!$B8*100,"na")</f>
        <v>1.6656050955414015</v>
      </c>
      <c r="E9" s="170">
        <f>IFERROR('7a'!E9/'7i'!$B8*100,"na")</f>
        <v>2.105095541401274</v>
      </c>
      <c r="F9" s="106">
        <f>IFERROR('7a'!F9/'7i'!$C8*100,"na")</f>
        <v>7.4074074074074077E-3</v>
      </c>
      <c r="G9" s="104">
        <f>IFERROR('7a'!G9/'7i'!$C8*100,"na")</f>
        <v>3.0501089324618739E-3</v>
      </c>
      <c r="H9" s="104">
        <f>IFERROR('7a'!H9/'7i'!$C8*100,"na")</f>
        <v>0.63529411764705879</v>
      </c>
      <c r="I9" s="110">
        <f>IFERROR('7a'!I9/'7i'!$C8*100,"na")</f>
        <v>0.64575163398692814</v>
      </c>
      <c r="J9" s="195">
        <f>IFERROR('7a'!J9/'7i'!$D8*100,"na")</f>
        <v>0.59410305869385505</v>
      </c>
      <c r="K9" s="171">
        <f>IFERROR('7a'!K9/'7i'!$D8*100,"na")</f>
        <v>0.4023146872416643</v>
      </c>
      <c r="L9" s="171">
        <f>IFERROR('7a'!L9/'7i'!$D8*100,"na")</f>
        <v>2.0600716450812895</v>
      </c>
      <c r="M9" s="196">
        <f>IFERROR('7a'!M9/'7i'!$D8*100,"na")</f>
        <v>3.0564893910168092</v>
      </c>
    </row>
    <row r="10" spans="1:13">
      <c r="A10" s="16">
        <v>1985</v>
      </c>
      <c r="B10" s="169">
        <f>IFERROR('7a'!B10/'7i'!$B9*100,"na")</f>
        <v>0.22983257229832574</v>
      </c>
      <c r="C10" s="156">
        <f>IFERROR('7a'!C10/'7i'!$B9*100,"na")</f>
        <v>0.25722983257229831</v>
      </c>
      <c r="D10" s="156">
        <f>IFERROR('7a'!D10/'7i'!$B9*100,"na")</f>
        <v>2.1080669710806696</v>
      </c>
      <c r="E10" s="170">
        <f>IFERROR('7a'!E10/'7i'!$B9*100,"na")</f>
        <v>2.5951293759512941</v>
      </c>
      <c r="F10" s="106">
        <f>IFERROR('7a'!F10/'7i'!$C9*100,"na")</f>
        <v>6.1810154525386305E-3</v>
      </c>
      <c r="G10" s="104">
        <f>IFERROR('7a'!G10/'7i'!$C9*100,"na")</f>
        <v>2.6490066225165563E-3</v>
      </c>
      <c r="H10" s="104">
        <f>IFERROR('7a'!H10/'7i'!$C9*100,"na")</f>
        <v>0.71523178807947019</v>
      </c>
      <c r="I10" s="110">
        <f>IFERROR('7a'!I10/'7i'!$C9*100,"na")</f>
        <v>0.72406181015452542</v>
      </c>
      <c r="J10" s="195">
        <f>IFERROR('7a'!J10/'7i'!$D9*100,"na")</f>
        <v>0.66663880297584222</v>
      </c>
      <c r="K10" s="171">
        <f>IFERROR('7a'!K10/'7i'!$D9*100,"na")</f>
        <v>0.4419877957034189</v>
      </c>
      <c r="L10" s="171">
        <f>IFERROR('7a'!L10/'7i'!$D9*100,"na")</f>
        <v>2.1169439103903702</v>
      </c>
      <c r="M10" s="196">
        <f>IFERROR('7a'!M10/'7i'!$D9*100,"na")</f>
        <v>3.2255705090696316</v>
      </c>
    </row>
    <row r="11" spans="1:13">
      <c r="A11" s="16">
        <v>1986</v>
      </c>
      <c r="B11" s="169">
        <f>IFERROR('7a'!B11/'7i'!$B10*100,"na")</f>
        <v>0.29136163982430452</v>
      </c>
      <c r="C11" s="156">
        <f>IFERROR('7a'!C11/'7i'!$B10*100,"na")</f>
        <v>0.31185944363103957</v>
      </c>
      <c r="D11" s="156">
        <f>IFERROR('7a'!D11/'7i'!$B10*100,"na")</f>
        <v>2.7950219619326502</v>
      </c>
      <c r="E11" s="170">
        <f>IFERROR('7a'!E11/'7i'!$B10*100,"na")</f>
        <v>3.3982430453879942</v>
      </c>
      <c r="F11" s="106">
        <f>IFERROR('7a'!F11/'7i'!$C10*100,"na")</f>
        <v>4.984141368373358E-3</v>
      </c>
      <c r="G11" s="104">
        <f>IFERROR('7a'!G11/'7i'!$C10*100,"na")</f>
        <v>2.7186225645672857E-3</v>
      </c>
      <c r="H11" s="104">
        <f>IFERROR('7a'!H11/'7i'!$C10*100,"na")</f>
        <v>0.75804259175351152</v>
      </c>
      <c r="I11" s="110">
        <f>IFERROR('7a'!I11/'7i'!$C10*100,"na")</f>
        <v>0.76574535568645219</v>
      </c>
      <c r="J11" s="195">
        <f>IFERROR('7a'!J11/'7i'!$D10*100,"na")</f>
        <v>0.67040863470593437</v>
      </c>
      <c r="K11" s="171">
        <f>IFERROR('7a'!K11/'7i'!$D10*100,"na")</f>
        <v>0.46790983888566678</v>
      </c>
      <c r="L11" s="171">
        <f>IFERROR('7a'!L11/'7i'!$D10*100,"na")</f>
        <v>2.1508124526929393</v>
      </c>
      <c r="M11" s="196">
        <f>IFERROR('7a'!M11/'7i'!$D10*100,"na")</f>
        <v>3.2891309262845407</v>
      </c>
    </row>
    <row r="12" spans="1:13">
      <c r="A12" s="16">
        <v>1987</v>
      </c>
      <c r="B12" s="169">
        <f>IFERROR('7a'!B12/'7i'!$B11*100,"na")</f>
        <v>0.28386167146974062</v>
      </c>
      <c r="C12" s="156">
        <f>IFERROR('7a'!C12/'7i'!$B11*100,"na")</f>
        <v>0.29394812680115273</v>
      </c>
      <c r="D12" s="156">
        <f>IFERROR('7a'!D12/'7i'!$B11*100,"na")</f>
        <v>2.8054755043227666</v>
      </c>
      <c r="E12" s="170">
        <f>IFERROR('7a'!E12/'7i'!$B11*100,"na")</f>
        <v>3.3832853025936598</v>
      </c>
      <c r="F12" s="106">
        <f>IFERROR('7a'!F12/'7i'!$C11*100,"na")</f>
        <v>4.4014084507042256E-3</v>
      </c>
      <c r="G12" s="104">
        <f>IFERROR('7a'!G12/'7i'!$C11*100,"na")</f>
        <v>2.6408450704225352E-3</v>
      </c>
      <c r="H12" s="104">
        <f>IFERROR('7a'!H12/'7i'!$C11*100,"na")</f>
        <v>0.74779929577464788</v>
      </c>
      <c r="I12" s="110">
        <f>IFERROR('7a'!I12/'7i'!$C11*100,"na")</f>
        <v>0.75484154929577474</v>
      </c>
      <c r="J12" s="195">
        <f>IFERROR('7a'!J12/'7i'!$D11*100,"na")</f>
        <v>0.70534951924861711</v>
      </c>
      <c r="K12" s="171">
        <f>IFERROR('7a'!K12/'7i'!$D11*100,"na")</f>
        <v>0.50580985261907419</v>
      </c>
      <c r="L12" s="171">
        <f>IFERROR('7a'!L12/'7i'!$D11*100,"na")</f>
        <v>2.1735902290529756</v>
      </c>
      <c r="M12" s="196">
        <f>IFERROR('7a'!M12/'7i'!$D11*100,"na")</f>
        <v>3.3847496009206668</v>
      </c>
    </row>
    <row r="13" spans="1:13">
      <c r="A13" s="16">
        <v>1988</v>
      </c>
      <c r="B13" s="169">
        <f>IFERROR('7a'!B13/'7i'!$B12*100,"na")</f>
        <v>0.30422919508867668</v>
      </c>
      <c r="C13" s="156">
        <f>IFERROR('7a'!C13/'7i'!$B12*100,"na")</f>
        <v>0.32196452933151432</v>
      </c>
      <c r="D13" s="156">
        <f>IFERROR('7a'!D13/'7i'!$B12*100,"na")</f>
        <v>3.0040927694406547</v>
      </c>
      <c r="E13" s="170">
        <f>IFERROR('7a'!E13/'7i'!$B12*100,"na")</f>
        <v>3.6302864938608459</v>
      </c>
      <c r="F13" s="106">
        <f>IFERROR('7a'!F13/'7i'!$C12*100,"na")</f>
        <v>1.0013060513713539E-2</v>
      </c>
      <c r="G13" s="104">
        <f>IFERROR('7a'!G13/'7i'!$C12*100,"na")</f>
        <v>4.7888550282977798E-3</v>
      </c>
      <c r="H13" s="104">
        <f>IFERROR('7a'!H13/'7i'!$C12*100,"na")</f>
        <v>0.79407923378319556</v>
      </c>
      <c r="I13" s="110">
        <f>IFERROR('7a'!I13/'7i'!$C12*100,"na")</f>
        <v>0.80888114932520672</v>
      </c>
      <c r="J13" s="195">
        <f>IFERROR('7a'!J13/'7i'!$D12*100,"na")</f>
        <v>0.72019065410770555</v>
      </c>
      <c r="K13" s="171">
        <f>IFERROR('7a'!K13/'7i'!$D12*100,"na")</f>
        <v>0.54123418854154837</v>
      </c>
      <c r="L13" s="171">
        <f>IFERROR('7a'!L13/'7i'!$D12*100,"na")</f>
        <v>2.1588260455858861</v>
      </c>
      <c r="M13" s="196">
        <f>IFERROR('7a'!M13/'7i'!$D12*100,"na")</f>
        <v>3.4202508882351399</v>
      </c>
    </row>
    <row r="14" spans="1:13">
      <c r="A14" s="16">
        <v>1989</v>
      </c>
      <c r="B14" s="169">
        <f>IFERROR('7a'!B14/'7i'!$B13*100,"na")</f>
        <v>0.33463035019455251</v>
      </c>
      <c r="C14" s="156">
        <f>IFERROR('7a'!C14/'7i'!$B13*100,"na")</f>
        <v>0.383916990920882</v>
      </c>
      <c r="D14" s="156">
        <f>IFERROR('7a'!D14/'7i'!$B13*100,"na")</f>
        <v>3.4902723735408556</v>
      </c>
      <c r="E14" s="170">
        <f>IFERROR('7a'!E14/'7i'!$B13*100,"na")</f>
        <v>4.2088197146562907</v>
      </c>
      <c r="F14" s="106">
        <f>IFERROR('7a'!F14/'7i'!$C13*100,"na")</f>
        <v>1.9991492981709911E-2</v>
      </c>
      <c r="G14" s="104">
        <f>IFERROR('7a'!G14/'7i'!$C13*100,"na")</f>
        <v>1.233517652062952E-2</v>
      </c>
      <c r="H14" s="104">
        <f>IFERROR('7a'!H14/'7i'!$C13*100,"na")</f>
        <v>0.84219481071884306</v>
      </c>
      <c r="I14" s="110">
        <f>IFERROR('7a'!I14/'7i'!$C13*100,"na")</f>
        <v>0.87452148022118237</v>
      </c>
      <c r="J14" s="195">
        <f>IFERROR('7a'!J14/'7i'!$D13*100,"na")</f>
        <v>0.73882069358340419</v>
      </c>
      <c r="K14" s="171">
        <f>IFERROR('7a'!K14/'7i'!$D13*100,"na")</f>
        <v>0.59435854679335309</v>
      </c>
      <c r="L14" s="171">
        <f>IFERROR('7a'!L14/'7i'!$D13*100,"na")</f>
        <v>2.1661067038691084</v>
      </c>
      <c r="M14" s="196">
        <f>IFERROR('7a'!M14/'7i'!$D13*100,"na")</f>
        <v>3.4992859442458659</v>
      </c>
    </row>
    <row r="15" spans="1:13">
      <c r="A15" s="16">
        <v>1990</v>
      </c>
      <c r="B15" s="169">
        <f>IFERROR('7a'!B15/'7i'!$B14*100,"na")</f>
        <v>0.34271725826193389</v>
      </c>
      <c r="C15" s="156">
        <f>IFERROR('7a'!C15/'7i'!$B14*100,"na")</f>
        <v>0.48102815177478581</v>
      </c>
      <c r="D15" s="156">
        <f>IFERROR('7a'!D15/'7i'!$B14*100,"na")</f>
        <v>4.0134638922888621</v>
      </c>
      <c r="E15" s="170">
        <f>IFERROR('7a'!E15/'7i'!$B14*100,"na")</f>
        <v>4.8372093023255811</v>
      </c>
      <c r="F15" s="106">
        <f>IFERROR('7a'!F15/'7i'!$C14*100,"na")</f>
        <v>3.0482641828958511E-2</v>
      </c>
      <c r="G15" s="104">
        <f>IFERROR('7a'!G15/'7i'!$C14*100,"na")</f>
        <v>2.5402201524132091E-2</v>
      </c>
      <c r="H15" s="104">
        <f>IFERROR('7a'!H15/'7i'!$C14*100,"na")</f>
        <v>0.83573243014394583</v>
      </c>
      <c r="I15" s="110">
        <f>IFERROR('7a'!I15/'7i'!$C14*100,"na")</f>
        <v>0.89161727349703646</v>
      </c>
      <c r="J15" s="195">
        <f>IFERROR('7a'!J15/'7i'!$D14*100,"na")</f>
        <v>0.69689436091709089</v>
      </c>
      <c r="K15" s="171">
        <f>IFERROR('7a'!K15/'7i'!$D14*100,"na")</f>
        <v>0.67084961130184284</v>
      </c>
      <c r="L15" s="171">
        <f>IFERROR('7a'!L15/'7i'!$D14*100,"na")</f>
        <v>2.1711850361074938</v>
      </c>
      <c r="M15" s="196">
        <f>IFERROR('7a'!M15/'7i'!$D14*100,"na")</f>
        <v>3.5389290083264275</v>
      </c>
    </row>
    <row r="16" spans="1:13">
      <c r="A16" s="16">
        <v>1991</v>
      </c>
      <c r="B16" s="169">
        <f>IFERROR('7a'!B16/'7i'!$B15*100,"na")</f>
        <v>0.32366589327146172</v>
      </c>
      <c r="C16" s="156">
        <f>IFERROR('7a'!C16/'7i'!$B15*100,"na")</f>
        <v>0.56148491879350348</v>
      </c>
      <c r="D16" s="156">
        <f>IFERROR('7a'!D16/'7i'!$B15*100,"na")</f>
        <v>4.351508120649652</v>
      </c>
      <c r="E16" s="170">
        <f>IFERROR('7a'!E16/'7i'!$B15*100,"na")</f>
        <v>5.2366589327146169</v>
      </c>
      <c r="F16" s="106">
        <f>IFERROR('7a'!F16/'7i'!$C15*100,"na")</f>
        <v>3.7759864234196007E-2</v>
      </c>
      <c r="G16" s="104">
        <f>IFERROR('7a'!G16/'7i'!$C15*100,"na")</f>
        <v>3.9456936784047519E-2</v>
      </c>
      <c r="H16" s="104">
        <f>IFERROR('7a'!H16/'7i'!$C15*100,"na")</f>
        <v>0.81077641069155704</v>
      </c>
      <c r="I16" s="110">
        <f>IFERROR('7a'!I16/'7i'!$C15*100,"na")</f>
        <v>0.88799321170980072</v>
      </c>
      <c r="J16" s="195">
        <f>IFERROR('7a'!J16/'7i'!$D15*100,"na")</f>
        <v>0.65083634789598988</v>
      </c>
      <c r="K16" s="171">
        <f>IFERROR('7a'!K16/'7i'!$D15*100,"na")</f>
        <v>0.72735986148471077</v>
      </c>
      <c r="L16" s="171">
        <f>IFERROR('7a'!L16/'7i'!$D15*100,"na")</f>
        <v>2.2068144575333148</v>
      </c>
      <c r="M16" s="196">
        <f>IFERROR('7a'!M16/'7i'!$D15*100,"na")</f>
        <v>3.5850106669140152</v>
      </c>
    </row>
    <row r="17" spans="1:13">
      <c r="A17" s="16">
        <v>1992</v>
      </c>
      <c r="B17" s="169">
        <f>IFERROR('7a'!B17/'7i'!$B16*100,"na")</f>
        <v>0.31756046267087279</v>
      </c>
      <c r="C17" s="156">
        <f>IFERROR('7a'!C17/'7i'!$B16*100,"na")</f>
        <v>0.61198738170347</v>
      </c>
      <c r="D17" s="156">
        <f>IFERROR('7a'!D17/'7i'!$B16*100,"na")</f>
        <v>5.8496319663512093</v>
      </c>
      <c r="E17" s="170">
        <f>IFERROR('7a'!E17/'7i'!$B16*100,"na")</f>
        <v>6.7791798107255525</v>
      </c>
      <c r="F17" s="106">
        <f>IFERROR('7a'!F17/'7i'!$C16*100,"na")</f>
        <v>5.175292153589315E-2</v>
      </c>
      <c r="G17" s="104">
        <f>IFERROR('7a'!G17/'7i'!$C16*100,"na")</f>
        <v>5.8430717863105171E-2</v>
      </c>
      <c r="H17" s="104">
        <f>IFERROR('7a'!H17/'7i'!$C16*100,"na")</f>
        <v>0.74540901502504175</v>
      </c>
      <c r="I17" s="110">
        <f>IFERROR('7a'!I17/'7i'!$C16*100,"na")</f>
        <v>0.85559265442404009</v>
      </c>
      <c r="J17" s="195">
        <f>IFERROR('7a'!J17/'7i'!$D16*100,"na")</f>
        <v>0.61907339170664077</v>
      </c>
      <c r="K17" s="171">
        <f>IFERROR('7a'!K17/'7i'!$D16*100,"na")</f>
        <v>0.77106146991006752</v>
      </c>
      <c r="L17" s="171">
        <f>IFERROR('7a'!L17/'7i'!$D16*100,"na")</f>
        <v>2.1871455156102879</v>
      </c>
      <c r="M17" s="196">
        <f>IFERROR('7a'!M17/'7i'!$D16*100,"na")</f>
        <v>3.5772803772269963</v>
      </c>
    </row>
    <row r="18" spans="1:13">
      <c r="A18" s="16">
        <v>1993</v>
      </c>
      <c r="B18" s="169">
        <f>IFERROR('7a'!B18/'7i'!$B17*100,"na")</f>
        <v>0.35282457879088208</v>
      </c>
      <c r="C18" s="156">
        <f>IFERROR('7a'!C18/'7i'!$B17*100,"na")</f>
        <v>0.73240832507433096</v>
      </c>
      <c r="D18" s="156">
        <f>IFERROR('7a'!D18/'7i'!$B17*100,"na")</f>
        <v>6.9276511397423191</v>
      </c>
      <c r="E18" s="170">
        <f>IFERROR('7a'!E18/'7i'!$B17*100,"na")</f>
        <v>8.0128840436075315</v>
      </c>
      <c r="F18" s="106">
        <f>IFERROR('7a'!F18/'7i'!$C17*100,"na")</f>
        <v>9.7512830635609948E-2</v>
      </c>
      <c r="G18" s="104">
        <f>IFERROR('7a'!G18/'7i'!$C17*100,"na")</f>
        <v>0.13778128701144887</v>
      </c>
      <c r="H18" s="104">
        <f>IFERROR('7a'!H18/'7i'!$C17*100,"na")</f>
        <v>0.70469798657718119</v>
      </c>
      <c r="I18" s="110">
        <f>IFERROR('7a'!I18/'7i'!$C17*100,"na")</f>
        <v>0.93999210422424007</v>
      </c>
      <c r="J18" s="195">
        <f>IFERROR('7a'!J18/'7i'!$D17*100,"na")</f>
        <v>0.60757105342823547</v>
      </c>
      <c r="K18" s="171">
        <f>IFERROR('7a'!K18/'7i'!$D17*100,"na")</f>
        <v>0.82300180933674083</v>
      </c>
      <c r="L18" s="171">
        <f>IFERROR('7a'!L18/'7i'!$D17*100,"na")</f>
        <v>2.1550115811631851</v>
      </c>
      <c r="M18" s="196">
        <f>IFERROR('7a'!M18/'7i'!$D17*100,"na")</f>
        <v>3.5855844439281617</v>
      </c>
    </row>
    <row r="19" spans="1:13">
      <c r="A19" s="16">
        <v>1994</v>
      </c>
      <c r="B19" s="169">
        <f>IFERROR('7a'!B19/'7i'!$B18*100,"na")</f>
        <v>0.41477272727272724</v>
      </c>
      <c r="C19" s="156">
        <f>IFERROR('7a'!C19/'7i'!$B18*100,"na")</f>
        <v>0.9337121212121211</v>
      </c>
      <c r="D19" s="156">
        <f>IFERROR('7a'!D19/'7i'!$B18*100,"na")</f>
        <v>8.4176136363636367</v>
      </c>
      <c r="E19" s="170">
        <f>IFERROR('7a'!E19/'7i'!$B18*100,"na")</f>
        <v>9.7660984848484844</v>
      </c>
      <c r="F19" s="106">
        <f>IFERROR('7a'!F19/'7i'!$C18*100,"na")</f>
        <v>0.14013234721681592</v>
      </c>
      <c r="G19" s="104">
        <f>IFERROR('7a'!G19/'7i'!$C18*100,"na")</f>
        <v>0.20903075126508372</v>
      </c>
      <c r="H19" s="104">
        <f>IFERROR('7a'!H19/'7i'!$C18*100,"na")</f>
        <v>0.69754768392370581</v>
      </c>
      <c r="I19" s="110">
        <f>IFERROR('7a'!I19/'7i'!$C18*100,"na")</f>
        <v>1.0467107824056054</v>
      </c>
      <c r="J19" s="195">
        <f>IFERROR('7a'!J19/'7i'!$D18*100,"na")</f>
        <v>0.60407535359295539</v>
      </c>
      <c r="K19" s="171">
        <f>IFERROR('7a'!K19/'7i'!$D18*100,"na")</f>
        <v>0.84345098767314941</v>
      </c>
      <c r="L19" s="171">
        <f>IFERROR('7a'!L19/'7i'!$D18*100,"na")</f>
        <v>2.1000072939943903</v>
      </c>
      <c r="M19" s="196">
        <f>IFERROR('7a'!M19/'7i'!$D18*100,"na")</f>
        <v>3.5475336352604949</v>
      </c>
    </row>
    <row r="20" spans="1:13">
      <c r="A20" s="16">
        <v>1995</v>
      </c>
      <c r="B20" s="169">
        <f>IFERROR('7a'!B20/'7i'!$B19*100,"na")</f>
        <v>0.58492201039861358</v>
      </c>
      <c r="C20" s="156">
        <f>IFERROR('7a'!C20/'7i'!$B19*100,"na")</f>
        <v>1.3084922010398614</v>
      </c>
      <c r="D20" s="156">
        <f>IFERROR('7a'!D20/'7i'!$B19*100,"na")</f>
        <v>11.564124783362219</v>
      </c>
      <c r="E20" s="170">
        <f>IFERROR('7a'!E20/'7i'!$B19*100,"na")</f>
        <v>13.457538994800695</v>
      </c>
      <c r="F20" s="106">
        <f>IFERROR('7a'!F20/'7i'!$C19*100,"na")</f>
        <v>0.1610814927646611</v>
      </c>
      <c r="G20" s="104">
        <f>IFERROR('7a'!G20/'7i'!$C19*100,"na")</f>
        <v>0.23495811119573495</v>
      </c>
      <c r="H20" s="104">
        <f>IFERROR('7a'!H20/'7i'!$C19*100,"na")</f>
        <v>0.67936024371667936</v>
      </c>
      <c r="I20" s="110">
        <f>IFERROR('7a'!I20/'7i'!$C19*100,"na")</f>
        <v>1.0753998476770754</v>
      </c>
      <c r="J20" s="195">
        <f>IFERROR('7a'!J20/'7i'!$D19*100,"na")</f>
        <v>0.62552970791747309</v>
      </c>
      <c r="K20" s="171">
        <f>IFERROR('7a'!K20/'7i'!$D19*100,"na")</f>
        <v>0.88611437896095024</v>
      </c>
      <c r="L20" s="171">
        <f>IFERROR('7a'!L20/'7i'!$D19*100,"na")</f>
        <v>2.1055494415139209</v>
      </c>
      <c r="M20" s="196">
        <f>IFERROR('7a'!M20/'7i'!$D19*100,"na")</f>
        <v>3.6171935283923444</v>
      </c>
    </row>
    <row r="21" spans="1:13">
      <c r="A21" s="16">
        <v>1996</v>
      </c>
      <c r="B21" s="169">
        <f>IFERROR('7a'!B21/'7i'!$B20*100,"na")</f>
        <v>0.73153296266878476</v>
      </c>
      <c r="C21" s="156">
        <f>IFERROR('7a'!C21/'7i'!$B20*100,"na")</f>
        <v>1.6632247815726766</v>
      </c>
      <c r="D21" s="156">
        <f>IFERROR('7a'!D21/'7i'!$B20*100,"na")</f>
        <v>15.147736298649722</v>
      </c>
      <c r="E21" s="170">
        <f>IFERROR('7a'!E21/'7i'!$B20*100,"na")</f>
        <v>17.542494042891182</v>
      </c>
      <c r="F21" s="106">
        <f>IFERROR('7a'!F21/'7i'!$C20*100,"na")</f>
        <v>0.15994076268048871</v>
      </c>
      <c r="G21" s="104">
        <f>IFERROR('7a'!G21/'7i'!$C20*100,"na")</f>
        <v>0.23991114402073305</v>
      </c>
      <c r="H21" s="104">
        <f>IFERROR('7a'!H21/'7i'!$C20*100,"na")</f>
        <v>0.67234357645316545</v>
      </c>
      <c r="I21" s="110">
        <f>IFERROR('7a'!I21/'7i'!$C20*100,"na")</f>
        <v>1.0721954831543872</v>
      </c>
      <c r="J21" s="195">
        <f>IFERROR('7a'!J21/'7i'!$D20*100,"na")</f>
        <v>0.64060535702470378</v>
      </c>
      <c r="K21" s="171">
        <f>IFERROR('7a'!K21/'7i'!$D20*100,"na")</f>
        <v>0.92632136133149656</v>
      </c>
      <c r="L21" s="171">
        <f>IFERROR('7a'!L21/'7i'!$D20*100,"na")</f>
        <v>2.1732461548640893</v>
      </c>
      <c r="M21" s="196">
        <f>IFERROR('7a'!M21/'7i'!$D20*100,"na")</f>
        <v>3.7401728732202897</v>
      </c>
    </row>
    <row r="22" spans="1:13">
      <c r="A22" s="16">
        <v>1997</v>
      </c>
      <c r="B22" s="169">
        <f>IFERROR('7a'!B22/'7i'!$B21*100,"na")</f>
        <v>0.97903109182935644</v>
      </c>
      <c r="C22" s="156">
        <f>IFERROR('7a'!C22/'7i'!$B21*100,"na")</f>
        <v>2.2010122921185831</v>
      </c>
      <c r="D22" s="156">
        <f>IFERROR('7a'!D22/'7i'!$B21*100,"na")</f>
        <v>18.638467100506144</v>
      </c>
      <c r="E22" s="170">
        <f>IFERROR('7a'!E22/'7i'!$B21*100,"na")</f>
        <v>21.818510484454084</v>
      </c>
      <c r="F22" s="106">
        <f>IFERROR('7a'!F22/'7i'!$C21*100,"na")</f>
        <v>0.1526491293071508</v>
      </c>
      <c r="G22" s="104">
        <f>IFERROR('7a'!G22/'7i'!$C21*100,"na")</f>
        <v>0.24490552056317155</v>
      </c>
      <c r="H22" s="104">
        <f>IFERROR('7a'!H22/'7i'!$C21*100,"na")</f>
        <v>0.6506113375324194</v>
      </c>
      <c r="I22" s="110">
        <f>IFERROR('7a'!I22/'7i'!$C21*100,"na")</f>
        <v>1.0481659874027418</v>
      </c>
      <c r="J22" s="195">
        <f>IFERROR('7a'!J22/'7i'!$D21*100,"na")</f>
        <v>0.67036813243190863</v>
      </c>
      <c r="K22" s="171">
        <f>IFERROR('7a'!K22/'7i'!$D21*100,"na")</f>
        <v>1.0260736720896562</v>
      </c>
      <c r="L22" s="171">
        <f>IFERROR('7a'!L22/'7i'!$D21*100,"na")</f>
        <v>2.1946575764139866</v>
      </c>
      <c r="M22" s="196">
        <f>IFERROR('7a'!M22/'7i'!$D21*100,"na")</f>
        <v>3.8910993809355512</v>
      </c>
    </row>
    <row r="23" spans="1:13">
      <c r="A23" s="16">
        <v>1998</v>
      </c>
      <c r="B23" s="169">
        <f>IFERROR('7a'!B23/'7i'!$B22*100,"na")</f>
        <v>1.0137165251469629</v>
      </c>
      <c r="C23" s="156">
        <f>IFERROR('7a'!C23/'7i'!$B22*100,"na")</f>
        <v>2.3331156107119533</v>
      </c>
      <c r="D23" s="156">
        <f>IFERROR('7a'!D23/'7i'!$B22*100,"na")</f>
        <v>19.598954931417374</v>
      </c>
      <c r="E23" s="170">
        <f>IFERROR('7a'!E23/'7i'!$B22*100,"na")</f>
        <v>22.945787067276292</v>
      </c>
      <c r="F23" s="106">
        <f>IFERROR('7a'!F23/'7i'!$C22*100,"na")</f>
        <v>0.15644283121597097</v>
      </c>
      <c r="G23" s="104">
        <f>IFERROR('7a'!G23/'7i'!$C22*100,"na")</f>
        <v>0.27078039927404718</v>
      </c>
      <c r="H23" s="104">
        <f>IFERROR('7a'!H23/'7i'!$C22*100,"na")</f>
        <v>0.61851179673321233</v>
      </c>
      <c r="I23" s="110">
        <f>IFERROR('7a'!I23/'7i'!$C22*100,"na")</f>
        <v>1.0457350272232304</v>
      </c>
      <c r="J23" s="195">
        <f>IFERROR('7a'!J23/'7i'!$D22*100,"na")</f>
        <v>0.67676078654642524</v>
      </c>
      <c r="K23" s="171">
        <f>IFERROR('7a'!K23/'7i'!$D22*100,"na")</f>
        <v>1.1456593315107342</v>
      </c>
      <c r="L23" s="171">
        <f>IFERROR('7a'!L23/'7i'!$D22*100,"na")</f>
        <v>2.1597262878596637</v>
      </c>
      <c r="M23" s="196">
        <f>IFERROR('7a'!M23/'7i'!$D22*100,"na")</f>
        <v>3.9821464059168226</v>
      </c>
    </row>
    <row r="24" spans="1:13">
      <c r="A24" s="16">
        <v>1999</v>
      </c>
      <c r="B24" s="169">
        <f>IFERROR('7a'!B24/'7i'!$B23*100,"na")</f>
        <v>0.91913095956547974</v>
      </c>
      <c r="C24" s="156">
        <f>IFERROR('7a'!C24/'7i'!$B23*100,"na")</f>
        <v>2.1683765841882923</v>
      </c>
      <c r="D24" s="156">
        <f>IFERROR('7a'!D24/'7i'!$B23*100,"na")</f>
        <v>18.755582377791189</v>
      </c>
      <c r="E24" s="170">
        <f>IFERROR('7a'!E24/'7i'!$B23*100,"na")</f>
        <v>21.843089921544962</v>
      </c>
      <c r="F24" s="106">
        <f>IFERROR('7a'!F24/'7i'!$C23*100,"na")</f>
        <v>0.1644524236983842</v>
      </c>
      <c r="G24" s="104">
        <f>IFERROR('7a'!G24/'7i'!$C23*100,"na")</f>
        <v>0.30341113105924594</v>
      </c>
      <c r="H24" s="104">
        <f>IFERROR('7a'!H24/'7i'!$C23*100,"na")</f>
        <v>0.60861759425493722</v>
      </c>
      <c r="I24" s="110">
        <f>IFERROR('7a'!I24/'7i'!$C23*100,"na")</f>
        <v>1.0764811490125674</v>
      </c>
      <c r="J24" s="195">
        <f>IFERROR('7a'!J24/'7i'!$D23*100,"na")</f>
        <v>0.7528603658045282</v>
      </c>
      <c r="K24" s="171">
        <f>IFERROR('7a'!K24/'7i'!$D23*100,"na")</f>
        <v>1.3314801385867372</v>
      </c>
      <c r="L24" s="171">
        <f>IFERROR('7a'!L24/'7i'!$D23*100,"na")</f>
        <v>2.1704536298444927</v>
      </c>
      <c r="M24" s="196">
        <f>IFERROR('7a'!M24/'7i'!$D23*100,"na")</f>
        <v>4.2547941342357589</v>
      </c>
    </row>
    <row r="25" spans="1:13">
      <c r="A25" s="16">
        <v>2000</v>
      </c>
      <c r="B25" s="169">
        <f>IFERROR('7a'!B25/'7i'!$B24*100,"na")</f>
        <v>0.91427021161150301</v>
      </c>
      <c r="C25" s="156">
        <f>IFERROR('7a'!C25/'7i'!$B24*100,"na")</f>
        <v>2.275094953879544</v>
      </c>
      <c r="D25" s="156">
        <f>IFERROR('7a'!D25/'7i'!$B24*100,"na")</f>
        <v>18.796527400976668</v>
      </c>
      <c r="E25" s="170">
        <f>IFERROR('7a'!E25/'7i'!$B24*100,"na")</f>
        <v>21.985892566467715</v>
      </c>
      <c r="F25" s="106">
        <f>IFERROR('7a'!F25/'7i'!$C24*100,"na")</f>
        <v>0.13199577613516367</v>
      </c>
      <c r="G25" s="104">
        <f>IFERROR('7a'!G25/'7i'!$C24*100,"na")</f>
        <v>0.2523759239704329</v>
      </c>
      <c r="H25" s="104">
        <f>IFERROR('7a'!H25/'7i'!$C24*100,"na")</f>
        <v>0.56458993312214012</v>
      </c>
      <c r="I25" s="110">
        <f>IFERROR('7a'!I25/'7i'!$C24*100,"na")</f>
        <v>0.94896163322773663</v>
      </c>
      <c r="J25" s="195">
        <f>IFERROR('7a'!J25/'7i'!$D24*100,"na")</f>
        <v>0.80403572236038889</v>
      </c>
      <c r="K25" s="171">
        <f>IFERROR('7a'!K25/'7i'!$D24*100,"na")</f>
        <v>1.505859522194589</v>
      </c>
      <c r="L25" s="171">
        <f>IFERROR('7a'!L25/'7i'!$D24*100,"na")</f>
        <v>2.2783367246966613</v>
      </c>
      <c r="M25" s="196">
        <f>IFERROR('7a'!M25/'7i'!$D24*100,"na")</f>
        <v>4.5882319692516393</v>
      </c>
    </row>
    <row r="26" spans="1:13">
      <c r="A26" s="16">
        <v>2001</v>
      </c>
      <c r="B26" s="169">
        <f>IFERROR('7a'!B26/'7i'!$B25*100,"na")</f>
        <v>0.771815446339017</v>
      </c>
      <c r="C26" s="156">
        <f>IFERROR('7a'!C26/'7i'!$B25*100,"na")</f>
        <v>2.1268806419257773</v>
      </c>
      <c r="D26" s="156">
        <f>IFERROR('7a'!D26/'7i'!$B25*100,"na")</f>
        <v>18.345536609829487</v>
      </c>
      <c r="E26" s="170">
        <f>IFERROR('7a'!E26/'7i'!$B25*100,"na")</f>
        <v>21.244232698094283</v>
      </c>
      <c r="F26" s="106">
        <f>IFERROR('7a'!F26/'7i'!$C25*100,"na")</f>
        <v>8.8797814207650275E-2</v>
      </c>
      <c r="G26" s="104">
        <f>IFERROR('7a'!G26/'7i'!$C25*100,"na")</f>
        <v>0.18442622950819673</v>
      </c>
      <c r="H26" s="104">
        <f>IFERROR('7a'!H26/'7i'!$C25*100,"na")</f>
        <v>0.50785519125683065</v>
      </c>
      <c r="I26" s="110">
        <f>IFERROR('7a'!I26/'7i'!$C25*100,"na")</f>
        <v>0.78107923497267762</v>
      </c>
      <c r="J26" s="195">
        <f>IFERROR('7a'!J26/'7i'!$D25*100,"na")</f>
        <v>0.72558139534883725</v>
      </c>
      <c r="K26" s="171">
        <f>IFERROR('7a'!K26/'7i'!$D25*100,"na")</f>
        <v>1.5362126245847176</v>
      </c>
      <c r="L26" s="171">
        <f>IFERROR('7a'!L26/'7i'!$D25*100,"na")</f>
        <v>2.2808416389811739</v>
      </c>
      <c r="M26" s="196">
        <f>IFERROR('7a'!M26/'7i'!$D25*100,"na")</f>
        <v>4.5426356589147288</v>
      </c>
    </row>
    <row r="27" spans="1:13">
      <c r="A27" s="16">
        <v>2002</v>
      </c>
      <c r="B27" s="169">
        <f>IFERROR('7a'!B27/'7i'!$B26*100,"na")</f>
        <v>0.54212637913741224</v>
      </c>
      <c r="C27" s="156">
        <f>IFERROR('7a'!C27/'7i'!$B26*100,"na")</f>
        <v>1.4714142427281844</v>
      </c>
      <c r="D27" s="156">
        <f>IFERROR('7a'!D27/'7i'!$B26*100,"na")</f>
        <v>16.374623871614844</v>
      </c>
      <c r="E27" s="170">
        <f>IFERROR('7a'!E27/'7i'!$B26*100,"na")</f>
        <v>18.388164493480442</v>
      </c>
      <c r="F27" s="106">
        <f>IFERROR('7a'!F27/'7i'!$C26*100,"na")</f>
        <v>6.4570655848546321E-2</v>
      </c>
      <c r="G27" s="104">
        <f>IFERROR('7a'!G27/'7i'!$C26*100,"na")</f>
        <v>0.13488843813387424</v>
      </c>
      <c r="H27" s="104">
        <f>IFERROR('7a'!H27/'7i'!$C26*100,"na")</f>
        <v>0.46822177146720756</v>
      </c>
      <c r="I27" s="110">
        <f>IFERROR('7a'!I27/'7i'!$C26*100,"na")</f>
        <v>0.66768086544962812</v>
      </c>
      <c r="J27" s="195">
        <f>IFERROR('7a'!J27/'7i'!$D26*100,"na")</f>
        <v>0.68072487088974443</v>
      </c>
      <c r="K27" s="171">
        <f>IFERROR('7a'!K27/'7i'!$D26*100,"na")</f>
        <v>1.517308777812413</v>
      </c>
      <c r="L27" s="171">
        <f>IFERROR('7a'!L27/'7i'!$D26*100,"na")</f>
        <v>2.1917150391332552</v>
      </c>
      <c r="M27" s="196">
        <f>IFERROR('7a'!M27/'7i'!$D26*100,"na")</f>
        <v>4.3897486878354135</v>
      </c>
    </row>
    <row r="28" spans="1:13">
      <c r="A28" s="16">
        <v>2003</v>
      </c>
      <c r="B28" s="169">
        <f>IFERROR('7a'!B28/'7i'!$B27*100,"na")</f>
        <v>0.3881644934804413</v>
      </c>
      <c r="C28" s="156">
        <f>IFERROR('7a'!C28/'7i'!$B27*100,"na")</f>
        <v>1.0481444332998997</v>
      </c>
      <c r="D28" s="156">
        <f>IFERROR('7a'!D28/'7i'!$B27*100,"na")</f>
        <v>14.23470411233701</v>
      </c>
      <c r="E28" s="170">
        <f>IFERROR('7a'!E28/'7i'!$B27*100,"na")</f>
        <v>15.671013039117351</v>
      </c>
      <c r="F28" s="106">
        <f>IFERROR('7a'!F28/'7i'!$C27*100,"na")</f>
        <v>5.2892561983471073E-2</v>
      </c>
      <c r="G28" s="104">
        <f>IFERROR('7a'!G28/'7i'!$C27*100,"na")</f>
        <v>0.10611570247933884</v>
      </c>
      <c r="H28" s="104">
        <f>IFERROR('7a'!H28/'7i'!$C27*100,"na")</f>
        <v>0.42446280991735535</v>
      </c>
      <c r="I28" s="110">
        <f>IFERROR('7a'!I28/'7i'!$C27*100,"na")</f>
        <v>0.58347107438016532</v>
      </c>
      <c r="J28" s="195">
        <f>IFERROR('7a'!J28/'7i'!$D27*100,"na")</f>
        <v>0.64321072997862583</v>
      </c>
      <c r="K28" s="171">
        <f>IFERROR('7a'!K28/'7i'!$D27*100,"na")</f>
        <v>1.481093021223173</v>
      </c>
      <c r="L28" s="171">
        <f>IFERROR('7a'!L28/'7i'!$D27*100,"na")</f>
        <v>2.0237896593644966</v>
      </c>
      <c r="M28" s="196">
        <f>IFERROR('7a'!M28/'7i'!$D27*100,"na")</f>
        <v>4.1480934105662959</v>
      </c>
    </row>
    <row r="29" spans="1:13">
      <c r="A29" s="16">
        <v>2004</v>
      </c>
      <c r="B29" s="169">
        <f>IFERROR('7a'!B29/'7i'!$B28*100,"na")</f>
        <v>0.27577821011673154</v>
      </c>
      <c r="C29" s="156">
        <f>IFERROR('7a'!C29/'7i'!$B28*100,"na")</f>
        <v>0.7641050583657587</v>
      </c>
      <c r="D29" s="156">
        <f>IFERROR('7a'!D29/'7i'!$B28*100,"na")</f>
        <v>12.358463035019456</v>
      </c>
      <c r="E29" s="170">
        <f>IFERROR('7a'!E29/'7i'!$B28*100,"na")</f>
        <v>13.398346303501945</v>
      </c>
      <c r="F29" s="106">
        <f>IFERROR('7a'!F29/'7i'!$C28*100,"na")</f>
        <v>4.5203252032520326E-2</v>
      </c>
      <c r="G29" s="104">
        <f>IFERROR('7a'!G29/'7i'!$C28*100,"na")</f>
        <v>8.9756097560975606E-2</v>
      </c>
      <c r="H29" s="104">
        <f>IFERROR('7a'!H29/'7i'!$C28*100,"na")</f>
        <v>0.3983739837398374</v>
      </c>
      <c r="I29" s="110">
        <f>IFERROR('7a'!I29/'7i'!$C28*100,"na")</f>
        <v>0.53333333333333333</v>
      </c>
      <c r="J29" s="195">
        <f>IFERROR('7a'!J29/'7i'!$D28*100,"na")</f>
        <v>0.58517062969840095</v>
      </c>
      <c r="K29" s="171">
        <f>IFERROR('7a'!K29/'7i'!$D28*100,"na")</f>
        <v>1.4288547168790899</v>
      </c>
      <c r="L29" s="171">
        <f>IFERROR('7a'!L29/'7i'!$D28*100,"na")</f>
        <v>1.8593499305943648</v>
      </c>
      <c r="M29" s="196">
        <f>IFERROR('7a'!M29/'7i'!$D28*100,"na")</f>
        <v>3.8733752771718555</v>
      </c>
    </row>
    <row r="30" spans="1:13">
      <c r="A30" s="16">
        <v>2005</v>
      </c>
      <c r="B30" s="169">
        <f>IFERROR('7a'!B30/'7i'!$B29*100,"na")</f>
        <v>0.19798657718120807</v>
      </c>
      <c r="C30" s="156">
        <f>IFERROR('7a'!C30/'7i'!$B29*100,"na")</f>
        <v>0.58293384467881115</v>
      </c>
      <c r="D30" s="156">
        <f>IFERROR('7a'!D30/'7i'!$B29*100,"na")</f>
        <v>11.069511025886865</v>
      </c>
      <c r="E30" s="170">
        <f>IFERROR('7a'!E30/'7i'!$B29*100,"na")</f>
        <v>11.850431447746884</v>
      </c>
      <c r="F30" s="106">
        <f>IFERROR('7a'!F30/'7i'!$C29*100,"na")</f>
        <v>3.8668779714738505E-2</v>
      </c>
      <c r="G30" s="104">
        <f>IFERROR('7a'!G30/'7i'!$C29*100,"na")</f>
        <v>8.0190174326465927E-2</v>
      </c>
      <c r="H30" s="104">
        <f>IFERROR('7a'!H30/'7i'!$C29*100,"na")</f>
        <v>0.37781299524564183</v>
      </c>
      <c r="I30" s="110">
        <f>IFERROR('7a'!I30/'7i'!$C29*100,"na")</f>
        <v>0.49667194928684627</v>
      </c>
      <c r="J30" s="195">
        <f>IFERROR('7a'!J30/'7i'!$D29*100,"na")</f>
        <v>0.51416654681432472</v>
      </c>
      <c r="K30" s="171">
        <f>IFERROR('7a'!K30/'7i'!$D29*100,"na")</f>
        <v>1.3878901193729325</v>
      </c>
      <c r="L30" s="171">
        <f>IFERROR('7a'!L30/'7i'!$D29*100,"na")</f>
        <v>1.7317573839938281</v>
      </c>
      <c r="M30" s="196">
        <f>IFERROR('7a'!M30/'7i'!$D29*100,"na")</f>
        <v>3.6338140501810861</v>
      </c>
    </row>
    <row r="31" spans="1:13">
      <c r="A31" s="16">
        <v>2006</v>
      </c>
      <c r="B31" s="169">
        <f>IFERROR('7a'!B31/'7i'!$B30*100,"na")</f>
        <v>0.15406427221172023</v>
      </c>
      <c r="C31" s="156">
        <f>IFERROR('7a'!C31/'7i'!$B30*100,"na")</f>
        <v>0.46266540642722115</v>
      </c>
      <c r="D31" s="156">
        <f>IFERROR('7a'!D31/'7i'!$B30*100,"na")</f>
        <v>10.405954631379963</v>
      </c>
      <c r="E31" s="170">
        <f>IFERROR('7a'!E31/'7i'!$B30*100,"na")</f>
        <v>11.022684310018905</v>
      </c>
      <c r="F31" s="106">
        <f>IFERROR('7a'!F31/'7i'!$C30*100,"na")</f>
        <v>3.7492317148125384E-2</v>
      </c>
      <c r="G31" s="104">
        <f>IFERROR('7a'!G31/'7i'!$C30*100,"na")</f>
        <v>7.6828518746158564E-2</v>
      </c>
      <c r="H31" s="104">
        <f>IFERROR('7a'!H31/'7i'!$C30*100,"na")</f>
        <v>0.37984019668100799</v>
      </c>
      <c r="I31" s="110">
        <f>IFERROR('7a'!I31/'7i'!$C30*100,"na")</f>
        <v>0.49416103257529193</v>
      </c>
      <c r="J31" s="195">
        <f>IFERROR('7a'!J31/'7i'!$D30*100,"na")</f>
        <v>0.48973498479818911</v>
      </c>
      <c r="K31" s="171">
        <f>IFERROR('7a'!K31/'7i'!$D30*100,"na")</f>
        <v>1.3815138697559821</v>
      </c>
      <c r="L31" s="171">
        <f>IFERROR('7a'!L31/'7i'!$D30*100,"na")</f>
        <v>1.755945698281983</v>
      </c>
      <c r="M31" s="196">
        <f>IFERROR('7a'!M31/'7i'!$D30*100,"na")</f>
        <v>3.627194552836154</v>
      </c>
    </row>
    <row r="32" spans="1:13">
      <c r="A32" s="16">
        <v>2007</v>
      </c>
      <c r="B32" s="169">
        <f>IFERROR('7a'!B32/'7i'!$B31*100,"na")</f>
        <v>0.15341701534170152</v>
      </c>
      <c r="C32" s="156">
        <f>IFERROR('7a'!C32/'7i'!$B31*100,"na")</f>
        <v>0.44026034402603442</v>
      </c>
      <c r="D32" s="156">
        <f>IFERROR('7a'!D32/'7i'!$B31*100,"na")</f>
        <v>8.7675499767549976</v>
      </c>
      <c r="E32" s="170">
        <f>IFERROR('7a'!E32/'7i'!$B31*100,"na")</f>
        <v>9.3612273361227327</v>
      </c>
      <c r="F32" s="106">
        <f>IFERROR('7a'!F32/'7i'!$C31*100,"na")</f>
        <v>4.3362043362043363E-2</v>
      </c>
      <c r="G32" s="104">
        <f>IFERROR('7a'!G32/'7i'!$C31*100,"na")</f>
        <v>8.4051084051084052E-2</v>
      </c>
      <c r="H32" s="104">
        <f>IFERROR('7a'!H32/'7i'!$C31*100,"na")</f>
        <v>0.34897534897534899</v>
      </c>
      <c r="I32" s="110">
        <f>IFERROR('7a'!I32/'7i'!$C31*100,"na")</f>
        <v>0.47638847638847637</v>
      </c>
      <c r="J32" s="195">
        <f>IFERROR('7a'!J32/'7i'!$D31*100,"na")</f>
        <v>0.48825144949649069</v>
      </c>
      <c r="K32" s="171">
        <f>IFERROR('7a'!K32/'7i'!$D31*100,"na")</f>
        <v>1.4225018192061218</v>
      </c>
      <c r="L32" s="171">
        <f>IFERROR('7a'!L32/'7i'!$D31*100,"na")</f>
        <v>1.627896058777963</v>
      </c>
      <c r="M32" s="196">
        <f>IFERROR('7a'!M32/'7i'!$D31*100,"na")</f>
        <v>3.5386493274805755</v>
      </c>
    </row>
    <row r="33" spans="1:13">
      <c r="A33" s="16">
        <v>2008</v>
      </c>
      <c r="B33" s="169">
        <f>IFERROR('7a'!B33/'7i'!$B32*100,"na")</f>
        <v>0.15336879432624112</v>
      </c>
      <c r="C33" s="156">
        <f>IFERROR('7a'!C33/'7i'!$B32*100,"na")</f>
        <v>0.41356382978723399</v>
      </c>
      <c r="D33" s="156">
        <f>IFERROR('7a'!D33/'7i'!$B32*100,"na")</f>
        <v>7.7455673758865249</v>
      </c>
      <c r="E33" s="170">
        <f>IFERROR('7a'!E33/'7i'!$B32*100,"na")</f>
        <v>8.3125</v>
      </c>
      <c r="F33" s="106">
        <f>IFERROR('7a'!F33/'7i'!$C32*100,"na")</f>
        <v>5.0456100342075254E-2</v>
      </c>
      <c r="G33" s="104">
        <f>IFERROR('7a'!G33/'7i'!$C32*100,"na")</f>
        <v>9.1505131128848338E-2</v>
      </c>
      <c r="H33" s="104">
        <f>IFERROR('7a'!H33/'7i'!$C32*100,"na")</f>
        <v>0.34578107183580387</v>
      </c>
      <c r="I33" s="110">
        <f>IFERROR('7a'!I33/'7i'!$C32*100,"na")</f>
        <v>0.48774230330672752</v>
      </c>
      <c r="J33" s="195">
        <f>IFERROR('7a'!J33/'7i'!$D32*100,"na")</f>
        <v>0.48610095413443916</v>
      </c>
      <c r="K33" s="171">
        <f>IFERROR('7a'!K33/'7i'!$D32*100,"na")</f>
        <v>1.4726421235872245</v>
      </c>
      <c r="L33" s="171">
        <f>IFERROR('7a'!L33/'7i'!$D32*100,"na")</f>
        <v>1.6177554467683608</v>
      </c>
      <c r="M33" s="196">
        <f>IFERROR('7a'!M33/'7i'!$D32*100,"na")</f>
        <v>3.5764985244900247</v>
      </c>
    </row>
    <row r="34" spans="1:13">
      <c r="A34" s="16">
        <v>2009</v>
      </c>
      <c r="B34" s="169">
        <f>IFERROR('7a'!B34/'7i'!$B33*100,"na")</f>
        <v>0.15245597775718256</v>
      </c>
      <c r="C34" s="156">
        <f>IFERROR('7a'!C34/'7i'!$B33*100,"na")</f>
        <v>0.39341983317886936</v>
      </c>
      <c r="D34" s="156">
        <f>IFERROR('7a'!D34/'7i'!$B33*100,"na")</f>
        <v>7.2358665430954598</v>
      </c>
      <c r="E34" s="170">
        <f>IFERROR('7a'!E34/'7i'!$B33*100,"na")</f>
        <v>7.7817423540315112</v>
      </c>
      <c r="F34" s="106">
        <f>IFERROR('7a'!F34/'7i'!$C33*100,"na")</f>
        <v>5.045095828635851E-2</v>
      </c>
      <c r="G34" s="104">
        <f>IFERROR('7a'!G34/'7i'!$C33*100,"na")</f>
        <v>8.540022547914318E-2</v>
      </c>
      <c r="H34" s="104">
        <f>IFERROR('7a'!H34/'7i'!$C33*100,"na")</f>
        <v>0.32919954904171367</v>
      </c>
      <c r="I34" s="110">
        <f>IFERROR('7a'!I34/'7i'!$C33*100,"na")</f>
        <v>0.46505073280721537</v>
      </c>
      <c r="J34" s="195">
        <f>IFERROR('7a'!J34/'7i'!$D33*100,"na")</f>
        <v>0.4886844178723932</v>
      </c>
      <c r="K34" s="171">
        <f>IFERROR('7a'!K34/'7i'!$D33*100,"na")</f>
        <v>1.545139862306673</v>
      </c>
      <c r="L34" s="171">
        <f>IFERROR('7a'!L34/'7i'!$D33*100,"na")</f>
        <v>1.6218656767069282</v>
      </c>
      <c r="M34" s="196">
        <f>IFERROR('7a'!M34/'7i'!$D33*100,"na")</f>
        <v>3.6556899568859942</v>
      </c>
    </row>
    <row r="35" spans="1:13">
      <c r="A35" s="17">
        <v>2010</v>
      </c>
      <c r="B35" s="192">
        <f>IFERROR('7a'!B35/'7i'!$B34*100,"na")</f>
        <v>0.16308411214953272</v>
      </c>
      <c r="C35" s="157">
        <f>IFERROR('7a'!C35/'7i'!$B34*100,"na")</f>
        <v>0.37429906542056074</v>
      </c>
      <c r="D35" s="157">
        <f>IFERROR('7a'!D35/'7i'!$B34*100,"na")</f>
        <v>6.2233644859813086</v>
      </c>
      <c r="E35" s="207">
        <f>IFERROR('7a'!E35/'7i'!$B34*100,"na")</f>
        <v>6.7607476635514017</v>
      </c>
      <c r="F35" s="107">
        <f>IFERROR('7a'!F35/'7i'!$C34*100,"na")</f>
        <v>5.5417700578990904E-2</v>
      </c>
      <c r="G35" s="108">
        <f>IFERROR('7a'!G35/'7i'!$C34*100,"na")</f>
        <v>8.1885856079404462E-2</v>
      </c>
      <c r="H35" s="108">
        <f>IFERROR('7a'!H35/'7i'!$C34*100,"na")</f>
        <v>0.2966639095671354</v>
      </c>
      <c r="I35" s="111">
        <f>IFERROR('7a'!I35/'7i'!$C34*100,"na")</f>
        <v>0.43396746622553078</v>
      </c>
      <c r="J35" s="197">
        <f>IFERROR('7a'!J35/'7i'!$D34*100,"na")</f>
        <v>0.5283502140300812</v>
      </c>
      <c r="K35" s="198">
        <f>IFERROR('7a'!K35/'7i'!$D34*100,"na")</f>
        <v>1.5587354681761831</v>
      </c>
      <c r="L35" s="198">
        <f>IFERROR('7a'!L35/'7i'!$D34*100,"na")</f>
        <v>1.4982105681738438</v>
      </c>
      <c r="M35" s="199">
        <f>IFERROR('7a'!M35/'7i'!$D34*100,"na")</f>
        <v>3.5852962503801078</v>
      </c>
    </row>
    <row r="38" spans="1:13">
      <c r="A38" s="389" t="s">
        <v>77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0"/>
    </row>
    <row r="39" spans="1:13">
      <c r="A39" s="15" t="s">
        <v>53</v>
      </c>
      <c r="B39" s="82">
        <f>B15-B6</f>
        <v>-9.6843181298505665E-2</v>
      </c>
      <c r="C39" s="83">
        <f t="shared" ref="C39:M39" si="0">C15-C6</f>
        <v>-1.8971848225214194E-2</v>
      </c>
      <c r="D39" s="83">
        <f t="shared" si="0"/>
        <v>2.9951488739738439</v>
      </c>
      <c r="E39" s="84">
        <f t="shared" si="0"/>
        <v>2.8793338444501231</v>
      </c>
      <c r="F39" s="82">
        <f t="shared" si="0"/>
        <v>3.0719712464817618E-3</v>
      </c>
      <c r="G39" s="83">
        <f t="shared" si="0"/>
        <v>1.8060057618111532E-2</v>
      </c>
      <c r="H39" s="83">
        <f t="shared" si="0"/>
        <v>0.33401926323254105</v>
      </c>
      <c r="I39" s="84">
        <f t="shared" si="0"/>
        <v>0.35515129209713436</v>
      </c>
      <c r="J39" s="82">
        <f t="shared" si="0"/>
        <v>0.28041873811409523</v>
      </c>
      <c r="K39" s="83">
        <f t="shared" si="0"/>
        <v>0.37791568700615791</v>
      </c>
      <c r="L39" s="83">
        <f t="shared" si="0"/>
        <v>0.43905400548953044</v>
      </c>
      <c r="M39" s="84">
        <f t="shared" si="0"/>
        <v>1.0973884306097839</v>
      </c>
    </row>
    <row r="40" spans="1:13">
      <c r="A40" s="16" t="s">
        <v>71</v>
      </c>
      <c r="B40" s="85">
        <f>B25-B15</f>
        <v>0.57155295334956913</v>
      </c>
      <c r="C40" s="86">
        <f t="shared" ref="C40:M40" si="1">C25-C15</f>
        <v>1.7940668021047581</v>
      </c>
      <c r="D40" s="86">
        <f t="shared" si="1"/>
        <v>14.783063508687807</v>
      </c>
      <c r="E40" s="87">
        <f t="shared" si="1"/>
        <v>17.148683264142136</v>
      </c>
      <c r="F40" s="85">
        <f t="shared" si="1"/>
        <v>0.10151313430620515</v>
      </c>
      <c r="G40" s="86">
        <f t="shared" si="1"/>
        <v>0.22697372244630082</v>
      </c>
      <c r="H40" s="86">
        <f t="shared" si="1"/>
        <v>-0.27114249702180571</v>
      </c>
      <c r="I40" s="87">
        <f t="shared" si="1"/>
        <v>5.7344359730700178E-2</v>
      </c>
      <c r="J40" s="85">
        <f t="shared" si="1"/>
        <v>0.107141361443298</v>
      </c>
      <c r="K40" s="86">
        <f t="shared" si="1"/>
        <v>0.83500991089274612</v>
      </c>
      <c r="L40" s="86">
        <f t="shared" si="1"/>
        <v>0.10715168858916746</v>
      </c>
      <c r="M40" s="87">
        <f t="shared" si="1"/>
        <v>1.0493029609252118</v>
      </c>
    </row>
    <row r="41" spans="1:13">
      <c r="A41" s="16" t="s">
        <v>69</v>
      </c>
      <c r="B41" s="85">
        <f>B35-B25</f>
        <v>-0.75118609946197035</v>
      </c>
      <c r="C41" s="86">
        <f t="shared" ref="C41:M41" si="2">C35-C25</f>
        <v>-1.9007958884589833</v>
      </c>
      <c r="D41" s="86">
        <f t="shared" si="2"/>
        <v>-12.573162914995359</v>
      </c>
      <c r="E41" s="87">
        <f t="shared" si="2"/>
        <v>-15.225144902916313</v>
      </c>
      <c r="F41" s="85">
        <f t="shared" si="2"/>
        <v>-7.657807555617277E-2</v>
      </c>
      <c r="G41" s="86">
        <f t="shared" si="2"/>
        <v>-0.17049006789102844</v>
      </c>
      <c r="H41" s="86">
        <f t="shared" si="2"/>
        <v>-0.26792602355500472</v>
      </c>
      <c r="I41" s="87">
        <f t="shared" si="2"/>
        <v>-0.51499416700220579</v>
      </c>
      <c r="J41" s="85">
        <f t="shared" si="2"/>
        <v>-0.27568550833030769</v>
      </c>
      <c r="K41" s="86">
        <f t="shared" si="2"/>
        <v>5.2875945981594175E-2</v>
      </c>
      <c r="L41" s="86">
        <f t="shared" si="2"/>
        <v>-0.78012615652281747</v>
      </c>
      <c r="M41" s="87">
        <f t="shared" si="2"/>
        <v>-1.0029357188715315</v>
      </c>
    </row>
    <row r="42" spans="1:13">
      <c r="A42" s="17" t="s">
        <v>70</v>
      </c>
      <c r="B42" s="88">
        <f>B35-B6</f>
        <v>-0.27647632741090683</v>
      </c>
      <c r="C42" s="89">
        <f t="shared" ref="C42:M42" si="3">C35-C6</f>
        <v>-0.12570093457943926</v>
      </c>
      <c r="D42" s="89">
        <f t="shared" si="3"/>
        <v>5.2050494676662904</v>
      </c>
      <c r="E42" s="90">
        <f t="shared" si="3"/>
        <v>4.8028722056759436</v>
      </c>
      <c r="F42" s="88">
        <f t="shared" si="3"/>
        <v>2.8007029996514155E-2</v>
      </c>
      <c r="G42" s="89">
        <f>G35-G6</f>
        <v>7.4543712173383903E-2</v>
      </c>
      <c r="H42" s="89">
        <f t="shared" si="3"/>
        <v>-0.20504925734426938</v>
      </c>
      <c r="I42" s="90">
        <f t="shared" si="3"/>
        <v>-0.10249851517437131</v>
      </c>
      <c r="J42" s="88">
        <f t="shared" si="3"/>
        <v>0.11187459122708554</v>
      </c>
      <c r="K42" s="89">
        <f t="shared" si="3"/>
        <v>1.2658015438804981</v>
      </c>
      <c r="L42" s="89">
        <f t="shared" si="3"/>
        <v>-0.23392046244411957</v>
      </c>
      <c r="M42" s="90">
        <f t="shared" si="3"/>
        <v>1.1437556726634641</v>
      </c>
    </row>
    <row r="44" spans="1:13">
      <c r="A44" s="1" t="s">
        <v>229</v>
      </c>
    </row>
    <row r="45" spans="1:13">
      <c r="A45" s="211"/>
    </row>
  </sheetData>
  <mergeCells count="4">
    <mergeCell ref="B4:E4"/>
    <mergeCell ref="F4:I4"/>
    <mergeCell ref="J4:M4"/>
    <mergeCell ref="A38:M38"/>
  </mergeCells>
  <pageMargins left="0.7" right="0.7" top="0.75" bottom="0.75" header="0.3" footer="0.3"/>
  <pageSetup scale="61" orientation="landscape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76"/>
  <dimension ref="A1:M44"/>
  <sheetViews>
    <sheetView zoomScaleNormal="100" workbookViewId="0">
      <selection activeCell="B15" sqref="B15"/>
    </sheetView>
  </sheetViews>
  <sheetFormatPr defaultRowHeight="15"/>
  <cols>
    <col min="1" max="1" width="11.7109375" style="1" customWidth="1"/>
    <col min="2" max="2" width="10.42578125" style="1" customWidth="1"/>
    <col min="3" max="3" width="9.140625" style="1"/>
    <col min="4" max="4" width="18.140625" style="1" customWidth="1"/>
    <col min="5" max="5" width="13.42578125" style="1" customWidth="1"/>
    <col min="6" max="6" width="10.7109375" style="1" customWidth="1"/>
    <col min="7" max="7" width="9.140625" style="1"/>
    <col min="8" max="8" width="17.7109375" style="1" customWidth="1"/>
    <col min="9" max="9" width="12.5703125" style="1" customWidth="1"/>
    <col min="10" max="10" width="11.5703125" style="1" customWidth="1"/>
    <col min="11" max="11" width="9.140625" style="1"/>
    <col min="12" max="12" width="19" style="1" customWidth="1"/>
    <col min="13" max="13" width="13.5703125" style="1" customWidth="1"/>
    <col min="14" max="16384" width="9.140625" style="1"/>
  </cols>
  <sheetData>
    <row r="1" spans="1:13">
      <c r="A1" s="398" t="s">
        <v>195</v>
      </c>
      <c r="B1" s="398"/>
      <c r="C1" s="398"/>
      <c r="D1" s="398"/>
      <c r="E1" s="398"/>
      <c r="F1" s="398"/>
      <c r="G1" s="398"/>
      <c r="H1" s="398"/>
    </row>
    <row r="2" spans="1:13">
      <c r="A2" s="398"/>
      <c r="B2" s="398"/>
      <c r="C2" s="398"/>
      <c r="D2" s="398"/>
      <c r="E2" s="398"/>
      <c r="F2" s="398"/>
      <c r="G2" s="398"/>
      <c r="H2" s="398"/>
    </row>
    <row r="4" spans="1:13"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30">
      <c r="B5" s="59" t="s">
        <v>0</v>
      </c>
      <c r="C5" s="60" t="s">
        <v>1</v>
      </c>
      <c r="D5" s="60" t="s">
        <v>2</v>
      </c>
      <c r="E5" s="5" t="s">
        <v>72</v>
      </c>
      <c r="F5" s="60" t="s">
        <v>0</v>
      </c>
      <c r="G5" s="60" t="s">
        <v>1</v>
      </c>
      <c r="H5" s="60" t="s">
        <v>2</v>
      </c>
      <c r="I5" s="5" t="s">
        <v>72</v>
      </c>
      <c r="J5" s="59" t="s">
        <v>39</v>
      </c>
      <c r="K5" s="60" t="s">
        <v>41</v>
      </c>
      <c r="L5" s="60" t="s">
        <v>40</v>
      </c>
      <c r="M5" s="51" t="s">
        <v>72</v>
      </c>
    </row>
    <row r="6" spans="1:13">
      <c r="A6" s="15">
        <v>1981</v>
      </c>
      <c r="B6" s="67">
        <f>'7a'!B6/'7a'!J6*100</f>
        <v>0.7339449541284403</v>
      </c>
      <c r="C6" s="105">
        <f>'7a'!C6/'7a'!K6*100</f>
        <v>1.1869565217391305</v>
      </c>
      <c r="D6" s="105">
        <f>'7a'!D6/'7a'!L6*100</f>
        <v>0.4088235294117647</v>
      </c>
      <c r="E6" s="109">
        <f>'7a'!E6/'7a'!M6*100</f>
        <v>0.55764214919144495</v>
      </c>
      <c r="F6" s="67">
        <f>'7a'!F6/'7a'!J6*100</f>
        <v>0.17125382262996941</v>
      </c>
      <c r="G6" s="105">
        <f>'7a'!G6/'7a'!K6*100</f>
        <v>6.5217391304347838E-2</v>
      </c>
      <c r="H6" s="105">
        <f>'7a'!H6/'7a'!L6*100</f>
        <v>0.75367647058823528</v>
      </c>
      <c r="I6" s="109">
        <f>'7a'!I6/'7a'!M6*100</f>
        <v>0.57172665623369845</v>
      </c>
      <c r="J6" s="82">
        <f>IFERROR('7c'!J6/'7c'!J6*100, "na")</f>
        <v>100</v>
      </c>
      <c r="K6" s="83">
        <f>IFERROR('7c'!K6/'7c'!K6*100, "na")</f>
        <v>100</v>
      </c>
      <c r="L6" s="83">
        <f>IFERROR('7c'!L6/'7c'!L6*100, "na")</f>
        <v>100</v>
      </c>
      <c r="M6" s="84">
        <f>IFERROR('7c'!M6/'7c'!M6*100, "na")</f>
        <v>100</v>
      </c>
    </row>
    <row r="7" spans="1:13">
      <c r="A7" s="16">
        <v>1982</v>
      </c>
      <c r="B7" s="106">
        <f>'7a'!B7/'7a'!J7*100</f>
        <v>0.43750000000000006</v>
      </c>
      <c r="C7" s="104">
        <f>'7a'!C7/'7a'!K7*100</f>
        <v>0.73880597014925375</v>
      </c>
      <c r="D7" s="104">
        <f>'7a'!D7/'7a'!L7*100</f>
        <v>0.37044270833333337</v>
      </c>
      <c r="E7" s="110">
        <f>'7a'!E7/'7a'!M7*100</f>
        <v>0.4273308957952468</v>
      </c>
      <c r="F7" s="106">
        <f>'7a'!F7/'7a'!J7*100</f>
        <v>0.1171875</v>
      </c>
      <c r="G7" s="104">
        <f>'7a'!G7/'7a'!K7*100</f>
        <v>4.1044776119402986E-2</v>
      </c>
      <c r="H7" s="104">
        <f>'7a'!H7/'7a'!L7*100</f>
        <v>0.76302083333333337</v>
      </c>
      <c r="I7" s="110">
        <f>'7a'!I7/'7a'!M7*100</f>
        <v>0.5612431444241317</v>
      </c>
      <c r="J7" s="85">
        <f>IFERROR('7c'!J7/'7c'!J7*100, "na")</f>
        <v>100</v>
      </c>
      <c r="K7" s="86">
        <f>IFERROR('7c'!K7/'7c'!K7*100, "na")</f>
        <v>100</v>
      </c>
      <c r="L7" s="86">
        <f>IFERROR('7c'!L7/'7c'!L7*100, "na")</f>
        <v>100</v>
      </c>
      <c r="M7" s="87">
        <f>IFERROR('7c'!M7/'7c'!M7*100, "na")</f>
        <v>100</v>
      </c>
    </row>
    <row r="8" spans="1:13">
      <c r="A8" s="16">
        <v>1983</v>
      </c>
      <c r="B8" s="106">
        <f>'7a'!B8/'7a'!J8*100</f>
        <v>0.27209302325581397</v>
      </c>
      <c r="C8" s="104">
        <f>'7a'!C8/'7a'!K8*100</f>
        <v>0.50814332247557004</v>
      </c>
      <c r="D8" s="104">
        <f>'7a'!D8/'7a'!L8*100</f>
        <v>0.40166369578134281</v>
      </c>
      <c r="E8" s="110">
        <f>'7a'!E8/'7a'!M8*100</f>
        <v>0.39214876033057849</v>
      </c>
      <c r="F8" s="106">
        <f>'7a'!F8/'7a'!J8*100</f>
        <v>6.5116279069767441E-2</v>
      </c>
      <c r="G8" s="104">
        <f>'7a'!G8/'7a'!K8*100</f>
        <v>2.931596091205212E-2</v>
      </c>
      <c r="H8" s="104">
        <f>'7a'!H8/'7a'!L8*100</f>
        <v>0.74866310160427807</v>
      </c>
      <c r="I8" s="110">
        <f>'7a'!I8/'7a'!M8*100</f>
        <v>0.53595041322314052</v>
      </c>
      <c r="J8" s="85">
        <f>IFERROR('7c'!J8/'7c'!J8*100, "na")</f>
        <v>100</v>
      </c>
      <c r="K8" s="86">
        <f>IFERROR('7c'!K8/'7c'!K8*100, "na")</f>
        <v>100</v>
      </c>
      <c r="L8" s="86">
        <f>IFERROR('7c'!L8/'7c'!L8*100, "na")</f>
        <v>100</v>
      </c>
      <c r="M8" s="87">
        <f>IFERROR('7c'!M8/'7c'!M8*100, "na")</f>
        <v>100</v>
      </c>
    </row>
    <row r="9" spans="1:13">
      <c r="A9" s="16">
        <v>1984</v>
      </c>
      <c r="B9" s="106">
        <f>'7a'!B9/'7a'!J9*100</f>
        <v>0.22634508348794063</v>
      </c>
      <c r="C9" s="104">
        <f>'7a'!C9/'7a'!K9*100</f>
        <v>0.42191780821917807</v>
      </c>
      <c r="D9" s="104">
        <f>'7a'!D9/'7a'!L9*100</f>
        <v>0.55965757089352597</v>
      </c>
      <c r="E9" s="110">
        <f>'7a'!E9/'7a'!M9*100</f>
        <v>0.47673999278759466</v>
      </c>
      <c r="F9" s="106">
        <f>'7a'!F9/'7a'!J9*100</f>
        <v>3.1539888682745827E-2</v>
      </c>
      <c r="G9" s="104">
        <f>'7a'!G9/'7a'!K9*100</f>
        <v>1.9178082191780819E-2</v>
      </c>
      <c r="H9" s="104">
        <f>'7a'!H9/'7a'!L9*100</f>
        <v>0.7800963081861958</v>
      </c>
      <c r="I9" s="110">
        <f>'7a'!I9/'7a'!M9*100</f>
        <v>0.53443923548503425</v>
      </c>
      <c r="J9" s="85">
        <f>IFERROR('7c'!J9/'7c'!J9*100, "na")</f>
        <v>100</v>
      </c>
      <c r="K9" s="86">
        <f>IFERROR('7c'!K9/'7c'!K9*100, "na")</f>
        <v>100</v>
      </c>
      <c r="L9" s="86">
        <f>IFERROR('7c'!L9/'7c'!L9*100, "na")</f>
        <v>100</v>
      </c>
      <c r="M9" s="87">
        <f>IFERROR('7c'!M9/'7c'!M9*100, "na")</f>
        <v>100</v>
      </c>
    </row>
    <row r="10" spans="1:13">
      <c r="A10" s="16">
        <v>1985</v>
      </c>
      <c r="B10" s="106">
        <f>'7a'!B10/'7a'!J10*100</f>
        <v>0.2366771159874608</v>
      </c>
      <c r="C10" s="104">
        <f>'7a'!C10/'7a'!K10*100</f>
        <v>0.39952718676122934</v>
      </c>
      <c r="D10" s="104">
        <f>'7a'!D10/'7a'!L10*100</f>
        <v>0.68361303060217171</v>
      </c>
      <c r="E10" s="110">
        <f>'7a'!E10/'7a'!M10*100</f>
        <v>0.55231616456106247</v>
      </c>
      <c r="F10" s="106">
        <f>'7a'!F10/'7a'!J10*100</f>
        <v>2.1943573667711599E-2</v>
      </c>
      <c r="G10" s="104">
        <f>'7a'!G10/'7a'!K10*100</f>
        <v>1.4184397163120567E-2</v>
      </c>
      <c r="H10" s="104">
        <f>'7a'!H10/'7a'!L10*100</f>
        <v>0.79960513326752214</v>
      </c>
      <c r="I10" s="110">
        <f>'7a'!I10/'7a'!M10*100</f>
        <v>0.53126012309685777</v>
      </c>
      <c r="J10" s="85">
        <f>IFERROR('7c'!J10/'7c'!J10*100, "na")</f>
        <v>100</v>
      </c>
      <c r="K10" s="86">
        <f>IFERROR('7c'!K10/'7c'!K10*100, "na")</f>
        <v>100</v>
      </c>
      <c r="L10" s="86">
        <f>IFERROR('7c'!L10/'7c'!L10*100, "na")</f>
        <v>100</v>
      </c>
      <c r="M10" s="87">
        <f>IFERROR('7c'!M10/'7c'!M10*100, "na")</f>
        <v>100</v>
      </c>
    </row>
    <row r="11" spans="1:13">
      <c r="A11" s="16">
        <v>1986</v>
      </c>
      <c r="B11" s="106">
        <f>'7a'!B11/'7a'!J11*100</f>
        <v>0.2917888563049853</v>
      </c>
      <c r="C11" s="104">
        <f>'7a'!C11/'7a'!K11*100</f>
        <v>0.44747899159663868</v>
      </c>
      <c r="D11" s="104">
        <f>'7a'!D11/'7a'!L11*100</f>
        <v>0.87248628884826329</v>
      </c>
      <c r="E11" s="110">
        <f>'7a'!E11/'7a'!M11*100</f>
        <v>0.69366407650926476</v>
      </c>
      <c r="F11" s="106">
        <f>'7a'!F11/'7a'!J11*100</f>
        <v>1.6129032258064516E-2</v>
      </c>
      <c r="G11" s="104">
        <f>'7a'!G11/'7a'!K11*100</f>
        <v>1.2605042016806723E-2</v>
      </c>
      <c r="H11" s="104">
        <f>'7a'!H11/'7a'!L11*100</f>
        <v>0.76462522851919557</v>
      </c>
      <c r="I11" s="110">
        <f>'7a'!I11/'7a'!M11*100</f>
        <v>0.50508069336521222</v>
      </c>
      <c r="J11" s="85">
        <f>IFERROR('7c'!J11/'7c'!J11*100, "na")</f>
        <v>100</v>
      </c>
      <c r="K11" s="86">
        <f>IFERROR('7c'!K11/'7c'!K11*100, "na")</f>
        <v>100</v>
      </c>
      <c r="L11" s="86">
        <f>IFERROR('7c'!L11/'7c'!L11*100, "na")</f>
        <v>100</v>
      </c>
      <c r="M11" s="87">
        <f>IFERROR('7c'!M11/'7c'!M11*100, "na")</f>
        <v>100</v>
      </c>
    </row>
    <row r="12" spans="1:13">
      <c r="A12" s="16">
        <v>1987</v>
      </c>
      <c r="B12" s="106">
        <f>'7a'!B12/'7a'!J12*100</f>
        <v>0.25921052631578945</v>
      </c>
      <c r="C12" s="104">
        <f>'7a'!C12/'7a'!K12*100</f>
        <v>0.37431192660550455</v>
      </c>
      <c r="D12" s="104">
        <f>'7a'!D12/'7a'!L12*100</f>
        <v>0.83134073441502987</v>
      </c>
      <c r="E12" s="110">
        <f>'7a'!E12/'7a'!M12*100</f>
        <v>0.64381683575541537</v>
      </c>
      <c r="F12" s="106">
        <f>'7a'!F12/'7a'!J12*100</f>
        <v>1.3157894736842105E-2</v>
      </c>
      <c r="G12" s="104">
        <f>'7a'!G12/'7a'!K12*100</f>
        <v>1.1009174311926606E-2</v>
      </c>
      <c r="H12" s="104">
        <f>'7a'!H12/'7a'!L12*100</f>
        <v>0.72544833475661819</v>
      </c>
      <c r="I12" s="110">
        <f>'7a'!I12/'7a'!M12*100</f>
        <v>0.47024952015355087</v>
      </c>
      <c r="J12" s="85">
        <f>IFERROR('7c'!J12/'7c'!J12*100, "na")</f>
        <v>100</v>
      </c>
      <c r="K12" s="86">
        <f>IFERROR('7c'!K12/'7c'!K12*100, "na")</f>
        <v>100</v>
      </c>
      <c r="L12" s="86">
        <f>IFERROR('7c'!L12/'7c'!L12*100, "na")</f>
        <v>100</v>
      </c>
      <c r="M12" s="87">
        <f>IFERROR('7c'!M12/'7c'!M12*100, "na")</f>
        <v>100</v>
      </c>
    </row>
    <row r="13" spans="1:13">
      <c r="A13" s="16">
        <v>1988</v>
      </c>
      <c r="B13" s="106">
        <f>'7a'!B13/'7a'!J13*100</f>
        <v>0.27030303030303032</v>
      </c>
      <c r="C13" s="104">
        <f>'7a'!C13/'7a'!K13*100</f>
        <v>0.38064516129032255</v>
      </c>
      <c r="D13" s="104">
        <f>'7a'!D13/'7a'!L13*100</f>
        <v>0.89041649818034774</v>
      </c>
      <c r="E13" s="110">
        <f>'7a'!E13/'7a'!M13*100</f>
        <v>0.67917304747320062</v>
      </c>
      <c r="F13" s="106">
        <f>'7a'!F13/'7a'!J13*100</f>
        <v>2.7878787878787878E-2</v>
      </c>
      <c r="G13" s="104">
        <f>'7a'!G13/'7a'!K13*100</f>
        <v>1.7741935483870968E-2</v>
      </c>
      <c r="H13" s="104">
        <f>'7a'!H13/'7a'!L13*100</f>
        <v>0.73756570966437529</v>
      </c>
      <c r="I13" s="110">
        <f>'7a'!I13/'7a'!M13*100</f>
        <v>0.47422154160285857</v>
      </c>
      <c r="J13" s="85">
        <f>IFERROR('7c'!J13/'7c'!J13*100, "na")</f>
        <v>100</v>
      </c>
      <c r="K13" s="86">
        <f>IFERROR('7c'!K13/'7c'!K13*100, "na")</f>
        <v>100</v>
      </c>
      <c r="L13" s="86">
        <f>IFERROR('7c'!L13/'7c'!L13*100, "na")</f>
        <v>100</v>
      </c>
      <c r="M13" s="87">
        <f>IFERROR('7c'!M13/'7c'!M13*100, "na")</f>
        <v>100</v>
      </c>
    </row>
    <row r="14" spans="1:13">
      <c r="A14" s="16">
        <v>1989</v>
      </c>
      <c r="B14" s="106">
        <f>'7a'!B14/'7a'!J14*100</f>
        <v>0.28826815642458098</v>
      </c>
      <c r="C14" s="104">
        <f>'7a'!C14/'7a'!K14*100</f>
        <v>0.41111111111111115</v>
      </c>
      <c r="D14" s="104">
        <f>'7a'!D14/'7a'!L14*100</f>
        <v>1.0255335365853662</v>
      </c>
      <c r="E14" s="110">
        <f>'7a'!E14/'7a'!M14*100</f>
        <v>0.76551073366360001</v>
      </c>
      <c r="F14" s="106">
        <f>'7a'!F14/'7a'!J14*100</f>
        <v>5.2513966480446927E-2</v>
      </c>
      <c r="G14" s="104">
        <f>'7a'!G14/'7a'!K14*100</f>
        <v>4.027777777777778E-2</v>
      </c>
      <c r="H14" s="104">
        <f>'7a'!H14/'7a'!L14*100</f>
        <v>0.75457317073170749</v>
      </c>
      <c r="I14" s="110">
        <f>'7a'!I14/'7a'!M14*100</f>
        <v>0.48502005189903286</v>
      </c>
      <c r="J14" s="85">
        <f>IFERROR('7c'!J14/'7c'!J14*100, "na")</f>
        <v>100</v>
      </c>
      <c r="K14" s="86">
        <f>IFERROR('7c'!K14/'7c'!K14*100, "na")</f>
        <v>100</v>
      </c>
      <c r="L14" s="86">
        <f>IFERROR('7c'!L14/'7c'!L14*100, "na")</f>
        <v>100</v>
      </c>
      <c r="M14" s="87">
        <f>IFERROR('7c'!M14/'7c'!M14*100, "na")</f>
        <v>100</v>
      </c>
    </row>
    <row r="15" spans="1:13">
      <c r="A15" s="16">
        <v>1990</v>
      </c>
      <c r="B15" s="106">
        <f>'7a'!B15/'7a'!J15*100</f>
        <v>0.31710079275198189</v>
      </c>
      <c r="C15" s="104">
        <f>'7a'!C15/'7a'!K15*100</f>
        <v>0.46235294117647058</v>
      </c>
      <c r="D15" s="104">
        <f>'7a'!D15/'7a'!L15*100</f>
        <v>1.1919302071973827</v>
      </c>
      <c r="E15" s="110">
        <f>'7a'!E15/'7a'!M15*100</f>
        <v>0.88135593220338981</v>
      </c>
      <c r="F15" s="106">
        <f>'7a'!F15/'7a'!J15*100</f>
        <v>8.1540203850509627E-2</v>
      </c>
      <c r="G15" s="104">
        <f>'7a'!G15/'7a'!K15*100</f>
        <v>7.0588235294117646E-2</v>
      </c>
      <c r="H15" s="104">
        <f>'7a'!H15/'7a'!L15*100</f>
        <v>0.71755725190839692</v>
      </c>
      <c r="I15" s="110">
        <f>'7a'!I15/'7a'!M15*100</f>
        <v>0.46966993755575376</v>
      </c>
      <c r="J15" s="85">
        <f>IFERROR('7c'!J15/'7c'!J15*100, "na")</f>
        <v>100</v>
      </c>
      <c r="K15" s="86">
        <f>IFERROR('7c'!K15/'7c'!K15*100, "na")</f>
        <v>100</v>
      </c>
      <c r="L15" s="86">
        <f>IFERROR('7c'!L15/'7c'!L15*100, "na")</f>
        <v>100</v>
      </c>
      <c r="M15" s="87">
        <f>IFERROR('7c'!M15/'7c'!M15*100, "na")</f>
        <v>100</v>
      </c>
    </row>
    <row r="16" spans="1:13">
      <c r="A16" s="16">
        <v>1991</v>
      </c>
      <c r="B16" s="106">
        <f>'7a'!B16/'7a'!J16*100</f>
        <v>0.33135391923990498</v>
      </c>
      <c r="C16" s="104">
        <f>'7a'!C16/'7a'!K16*100</f>
        <v>0.51434643995749207</v>
      </c>
      <c r="D16" s="104">
        <f>'7a'!D16/'7a'!L16*100</f>
        <v>1.3138353765323993</v>
      </c>
      <c r="E16" s="110">
        <f>'7a'!E16/'7a'!M16*100</f>
        <v>0.97326433807675727</v>
      </c>
      <c r="F16" s="106">
        <f>'7a'!F16/'7a'!J16*100</f>
        <v>0.10570071258907364</v>
      </c>
      <c r="G16" s="104">
        <f>'7a'!G16/'7a'!K16*100</f>
        <v>9.8831030818278431E-2</v>
      </c>
      <c r="H16" s="104">
        <f>'7a'!H16/'7a'!L16*100</f>
        <v>0.66935201401050792</v>
      </c>
      <c r="I16" s="110">
        <f>'7a'!I16/'7a'!M16*100</f>
        <v>0.45127210004312202</v>
      </c>
      <c r="J16" s="85">
        <f>IFERROR('7c'!J16/'7c'!J16*100, "na")</f>
        <v>100</v>
      </c>
      <c r="K16" s="86">
        <f>IFERROR('7c'!K16/'7c'!K16*100, "na")</f>
        <v>100</v>
      </c>
      <c r="L16" s="86">
        <f>IFERROR('7c'!L16/'7c'!L16*100, "na")</f>
        <v>100</v>
      </c>
      <c r="M16" s="87">
        <f>IFERROR('7c'!M16/'7c'!M16*100, "na")</f>
        <v>100</v>
      </c>
    </row>
    <row r="17" spans="1:13">
      <c r="A17" s="16">
        <v>1992</v>
      </c>
      <c r="B17" s="106">
        <f>'7a'!B17/'7a'!J17*100</f>
        <v>0.36167664670658684</v>
      </c>
      <c r="C17" s="104">
        <f>'7a'!C17/'7a'!K17*100</f>
        <v>0.55961538461538463</v>
      </c>
      <c r="D17" s="104">
        <f>'7a'!D17/'7a'!L17*100</f>
        <v>1.8857627118644069</v>
      </c>
      <c r="E17" s="110">
        <f>'7a'!E17/'7a'!M17*100</f>
        <v>1.3361658031088084</v>
      </c>
      <c r="F17" s="106">
        <f>'7a'!F17/'7a'!J17*100</f>
        <v>0.14850299401197603</v>
      </c>
      <c r="G17" s="104">
        <f>'7a'!G17/'7a'!K17*100</f>
        <v>0.13461538461538461</v>
      </c>
      <c r="H17" s="104">
        <f>'7a'!H17/'7a'!L17*100</f>
        <v>0.60542372881355933</v>
      </c>
      <c r="I17" s="110">
        <f>'7a'!I17/'7a'!M17*100</f>
        <v>0.42487046632124353</v>
      </c>
      <c r="J17" s="85">
        <f>IFERROR('7c'!J17/'7c'!J17*100, "na")</f>
        <v>100</v>
      </c>
      <c r="K17" s="86">
        <f>IFERROR('7c'!K17/'7c'!K17*100, "na")</f>
        <v>100</v>
      </c>
      <c r="L17" s="86">
        <f>IFERROR('7c'!L17/'7c'!L17*100, "na")</f>
        <v>100</v>
      </c>
      <c r="M17" s="87">
        <f>IFERROR('7c'!M17/'7c'!M17*100, "na")</f>
        <v>100</v>
      </c>
    </row>
    <row r="18" spans="1:13">
      <c r="A18" s="16">
        <v>1993</v>
      </c>
      <c r="B18" s="106">
        <f>'7a'!B18/'7a'!J18*100</f>
        <v>0.41251448435689453</v>
      </c>
      <c r="C18" s="104">
        <f>'7a'!C18/'7a'!K18*100</f>
        <v>0.63216424294268614</v>
      </c>
      <c r="D18" s="104">
        <f>'7a'!D18/'7a'!L18*100</f>
        <v>2.2835674616138517</v>
      </c>
      <c r="E18" s="110">
        <f>'7a'!E18/'7a'!M18*100</f>
        <v>1.5874730021598271</v>
      </c>
      <c r="F18" s="106">
        <f>'7a'!F18/'7a'!J18*100</f>
        <v>0.28621089223638474</v>
      </c>
      <c r="G18" s="104">
        <f>'7a'!G18/'7a'!K18*100</f>
        <v>0.29854576561163387</v>
      </c>
      <c r="H18" s="104">
        <f>'7a'!H18/'7a'!L18*100</f>
        <v>0.58314276380267882</v>
      </c>
      <c r="I18" s="110">
        <f>'7a'!I18/'7a'!M18*100</f>
        <v>0.46750441782839197</v>
      </c>
      <c r="J18" s="85">
        <f>IFERROR('7c'!J18/'7c'!J18*100, "na")</f>
        <v>100</v>
      </c>
      <c r="K18" s="86">
        <f>IFERROR('7c'!K18/'7c'!K18*100, "na")</f>
        <v>100</v>
      </c>
      <c r="L18" s="86">
        <f>IFERROR('7c'!L18/'7c'!L18*100, "na")</f>
        <v>100</v>
      </c>
      <c r="M18" s="87">
        <f>IFERROR('7c'!M18/'7c'!M18*100, "na")</f>
        <v>100</v>
      </c>
    </row>
    <row r="19" spans="1:13">
      <c r="A19" s="16">
        <v>1994</v>
      </c>
      <c r="B19" s="106">
        <f>'7a'!B19/'7a'!J19*100</f>
        <v>0.48079034028540069</v>
      </c>
      <c r="C19" s="104">
        <f>'7a'!C19/'7a'!K19*100</f>
        <v>0.77515723270440251</v>
      </c>
      <c r="D19" s="104">
        <f>'7a'!D19/'7a'!L19*100</f>
        <v>2.8067571834543732</v>
      </c>
      <c r="E19" s="110">
        <f>'7a'!E19/'7a'!M19*100</f>
        <v>1.9276635514018692</v>
      </c>
      <c r="F19" s="106">
        <f>'7a'!F19/'7a'!J19*100</f>
        <v>0.3951701427003293</v>
      </c>
      <c r="G19" s="104">
        <f>'7a'!G19/'7a'!K19*100</f>
        <v>0.42216981132075471</v>
      </c>
      <c r="H19" s="104">
        <f>'7a'!H19/'7a'!L19*100</f>
        <v>0.56583517524471105</v>
      </c>
      <c r="I19" s="110">
        <f>'7a'!I19/'7a'!M19*100</f>
        <v>0.50261682242990657</v>
      </c>
      <c r="J19" s="85">
        <f>IFERROR('7c'!J19/'7c'!J19*100, "na")</f>
        <v>100</v>
      </c>
      <c r="K19" s="86">
        <f>IFERROR('7c'!K19/'7c'!K19*100, "na")</f>
        <v>100</v>
      </c>
      <c r="L19" s="86">
        <f>IFERROR('7c'!L19/'7c'!L19*100, "na")</f>
        <v>100</v>
      </c>
      <c r="M19" s="87">
        <f>IFERROR('7c'!M19/'7c'!M19*100, "na")</f>
        <v>100</v>
      </c>
    </row>
    <row r="20" spans="1:13">
      <c r="A20" s="16">
        <v>1995</v>
      </c>
      <c r="B20" s="106">
        <f>'7a'!B20/'7a'!J20*100</f>
        <v>0.68250758341759354</v>
      </c>
      <c r="C20" s="104">
        <f>'7a'!C20/'7a'!K20*100</f>
        <v>1.0778015703069237</v>
      </c>
      <c r="D20" s="104">
        <f>'7a'!D20/'7a'!L20*100</f>
        <v>4.0087113247221389</v>
      </c>
      <c r="E20" s="110">
        <f>'7a'!E20/'7a'!M20*100</f>
        <v>2.7155097044937926</v>
      </c>
      <c r="F20" s="106">
        <f>'7a'!F20/'7a'!J20*100</f>
        <v>0.4277047522750253</v>
      </c>
      <c r="G20" s="104">
        <f>'7a'!G20/'7a'!K20*100</f>
        <v>0.44039971448965026</v>
      </c>
      <c r="H20" s="104">
        <f>'7a'!H20/'7a'!L20*100</f>
        <v>0.53589666566536498</v>
      </c>
      <c r="I20" s="110">
        <f>'7a'!I20/'7a'!M20*100</f>
        <v>0.49379262108760269</v>
      </c>
      <c r="J20" s="85">
        <f>IFERROR('7c'!J20/'7c'!J20*100, "na")</f>
        <v>100</v>
      </c>
      <c r="K20" s="86">
        <f>IFERROR('7c'!K20/'7c'!K20*100, "na")</f>
        <v>100</v>
      </c>
      <c r="L20" s="86">
        <f>IFERROR('7c'!L20/'7c'!L20*100, "na")</f>
        <v>100</v>
      </c>
      <c r="M20" s="87">
        <f>IFERROR('7c'!M20/'7c'!M20*100, "na")</f>
        <v>100</v>
      </c>
    </row>
    <row r="21" spans="1:13">
      <c r="A21" s="16">
        <v>1996</v>
      </c>
      <c r="B21" s="106">
        <f>'7a'!B21/'7a'!J21*100</f>
        <v>0.86478873239436616</v>
      </c>
      <c r="C21" s="104">
        <f>'7a'!C21/'7a'!K21*100</f>
        <v>1.3597402597402597</v>
      </c>
      <c r="D21" s="104">
        <f>'7a'!D21/'7a'!L21*100</f>
        <v>5.2784389703847214</v>
      </c>
      <c r="E21" s="110">
        <f>'7a'!E21/'7a'!M21*100</f>
        <v>3.5519459633322614</v>
      </c>
      <c r="F21" s="106">
        <f>'7a'!F21/'7a'!J21*100</f>
        <v>0.40563380281690142</v>
      </c>
      <c r="G21" s="104">
        <f>'7a'!G21/'7a'!K21*100</f>
        <v>0.42077922077922081</v>
      </c>
      <c r="H21" s="104">
        <f>'7a'!H21/'7a'!L21*100</f>
        <v>0.50262939385552174</v>
      </c>
      <c r="I21" s="110">
        <f>'7a'!I21/'7a'!M21*100</f>
        <v>0.46574461241556769</v>
      </c>
      <c r="J21" s="85">
        <f>IFERROR('7c'!J21/'7c'!J21*100, "na")</f>
        <v>100</v>
      </c>
      <c r="K21" s="86">
        <f>IFERROR('7c'!K21/'7c'!K21*100, "na")</f>
        <v>100</v>
      </c>
      <c r="L21" s="86">
        <f>IFERROR('7c'!L21/'7c'!L21*100, "na")</f>
        <v>100</v>
      </c>
      <c r="M21" s="87">
        <f>IFERROR('7c'!M21/'7c'!M21*100, "na")</f>
        <v>100</v>
      </c>
    </row>
    <row r="22" spans="1:13">
      <c r="A22" s="16">
        <v>1997</v>
      </c>
      <c r="B22" s="106">
        <f>'7a'!B22/'7a'!J22*100</f>
        <v>1.1513605442176871</v>
      </c>
      <c r="C22" s="104">
        <f>'7a'!C22/'7a'!K22*100</f>
        <v>1.691111111111111</v>
      </c>
      <c r="D22" s="104">
        <f>'7a'!D22/'7a'!L22*100</f>
        <v>6.6953246753246747</v>
      </c>
      <c r="E22" s="110">
        <f>'7a'!E22/'7a'!M22*100</f>
        <v>4.4205977146205688</v>
      </c>
      <c r="F22" s="106">
        <f>'7a'!F22/'7a'!J22*100</f>
        <v>0.35034013605442177</v>
      </c>
      <c r="G22" s="104">
        <f>'7a'!G22/'7a'!K22*100</f>
        <v>0.36722222222222223</v>
      </c>
      <c r="H22" s="104">
        <f>'7a'!H22/'7a'!L22*100</f>
        <v>0.45610389610389612</v>
      </c>
      <c r="I22" s="110">
        <f>'7a'!I22/'7a'!M22*100</f>
        <v>0.41444476999707003</v>
      </c>
      <c r="J22" s="85">
        <f>IFERROR('7c'!J22/'7c'!J22*100, "na")</f>
        <v>100</v>
      </c>
      <c r="K22" s="86">
        <f>IFERROR('7c'!K22/'7c'!K22*100, "na")</f>
        <v>100</v>
      </c>
      <c r="L22" s="86">
        <f>IFERROR('7c'!L22/'7c'!L22*100, "na")</f>
        <v>100</v>
      </c>
      <c r="M22" s="87">
        <f>IFERROR('7c'!M22/'7c'!M22*100, "na")</f>
        <v>100</v>
      </c>
    </row>
    <row r="23" spans="1:13">
      <c r="A23" s="16">
        <v>1998</v>
      </c>
      <c r="B23" s="106">
        <f>'7a'!B23/'7a'!J23*100</f>
        <v>1.2317460317460318</v>
      </c>
      <c r="C23" s="104">
        <f>'7a'!C23/'7a'!K23*100</f>
        <v>1.6746366619784341</v>
      </c>
      <c r="D23" s="104">
        <f>'7a'!D23/'7a'!L23*100</f>
        <v>7.4623228052723203</v>
      </c>
      <c r="E23" s="110">
        <f>'7a'!E23/'7a'!M23*100</f>
        <v>4.7383328837334773</v>
      </c>
      <c r="F23" s="106">
        <f>'7a'!F23/'7a'!J23*100</f>
        <v>0.34206349206349207</v>
      </c>
      <c r="G23" s="104">
        <f>'7a'!G23/'7a'!K23*100</f>
        <v>0.34974214721050162</v>
      </c>
      <c r="H23" s="104">
        <f>'7a'!H23/'7a'!L23*100</f>
        <v>0.42377518030340711</v>
      </c>
      <c r="I23" s="110">
        <f>'7a'!I23/'7a'!M23*100</f>
        <v>0.38858915565147018</v>
      </c>
      <c r="J23" s="85">
        <f>IFERROR('7c'!J23/'7c'!J23*100, "na")</f>
        <v>100</v>
      </c>
      <c r="K23" s="86">
        <f>IFERROR('7c'!K23/'7c'!K23*100, "na")</f>
        <v>100</v>
      </c>
      <c r="L23" s="86">
        <f>IFERROR('7c'!L23/'7c'!L23*100, "na")</f>
        <v>100</v>
      </c>
      <c r="M23" s="87">
        <f>IFERROR('7c'!M23/'7c'!M23*100, "na")</f>
        <v>100</v>
      </c>
    </row>
    <row r="24" spans="1:13">
      <c r="A24" s="16">
        <v>1999</v>
      </c>
      <c r="B24" s="106">
        <f>'7a'!B24/'7a'!J24*100</f>
        <v>1.0187290969899665</v>
      </c>
      <c r="C24" s="104">
        <f>'7a'!C24/'7a'!K24*100</f>
        <v>1.3589258698941002</v>
      </c>
      <c r="D24" s="104">
        <f>'7a'!D24/'7a'!L24*100</f>
        <v>7.2106728538283065</v>
      </c>
      <c r="E24" s="110">
        <f>'7a'!E24/'7a'!M24*100</f>
        <v>4.2838205704817138</v>
      </c>
      <c r="F24" s="106">
        <f>'7a'!F24/'7a'!J24*100</f>
        <v>0.30635451505016725</v>
      </c>
      <c r="G24" s="104">
        <f>'7a'!G24/'7a'!K24*100</f>
        <v>0.31959152798789719</v>
      </c>
      <c r="H24" s="104">
        <f>'7a'!H24/'7a'!L24*100</f>
        <v>0.39327146171693733</v>
      </c>
      <c r="I24" s="110">
        <f>'7a'!I24/'7a'!M24*100</f>
        <v>0.35483489170316013</v>
      </c>
      <c r="J24" s="85">
        <f>IFERROR('7c'!J24/'7c'!J24*100, "na")</f>
        <v>100</v>
      </c>
      <c r="K24" s="86">
        <f>IFERROR('7c'!K24/'7c'!K24*100, "na")</f>
        <v>100</v>
      </c>
      <c r="L24" s="86">
        <f>IFERROR('7c'!L24/'7c'!L24*100, "na")</f>
        <v>100</v>
      </c>
      <c r="M24" s="87">
        <f>IFERROR('7c'!M24/'7c'!M24*100, "na")</f>
        <v>100</v>
      </c>
    </row>
    <row r="25" spans="1:13">
      <c r="A25" s="16">
        <v>2000</v>
      </c>
      <c r="B25" s="106">
        <f>'7a'!B25/'7a'!J25*100</f>
        <v>0.98711189220855289</v>
      </c>
      <c r="C25" s="104">
        <f>'7a'!C25/'7a'!K25*100</f>
        <v>1.311542070691273</v>
      </c>
      <c r="D25" s="104">
        <f>'7a'!D25/'7a'!L25*100</f>
        <v>7.1618771966094688</v>
      </c>
      <c r="E25" s="110">
        <f>'7a'!E25/'7a'!M25*100</f>
        <v>4.1597371933066416</v>
      </c>
      <c r="F25" s="106">
        <f>'7a'!F25/'7a'!J25*100</f>
        <v>0.21968365553602814</v>
      </c>
      <c r="G25" s="104">
        <f>'7a'!G25/'7a'!K25*100</f>
        <v>0.22427275570847671</v>
      </c>
      <c r="H25" s="104">
        <f>'7a'!H25/'7a'!L25*100</f>
        <v>0.33161050237750672</v>
      </c>
      <c r="I25" s="110">
        <f>'7a'!I25/'7a'!M25*100</f>
        <v>0.27676829894261368</v>
      </c>
      <c r="J25" s="85">
        <f>IFERROR('7c'!J25/'7c'!J25*100, "na")</f>
        <v>100</v>
      </c>
      <c r="K25" s="86">
        <f>IFERROR('7c'!K25/'7c'!K25*100, "na")</f>
        <v>100</v>
      </c>
      <c r="L25" s="86">
        <f>IFERROR('7c'!L25/'7c'!L25*100, "na")</f>
        <v>100</v>
      </c>
      <c r="M25" s="87">
        <f>IFERROR('7c'!M25/'7c'!M25*100, "na")</f>
        <v>100</v>
      </c>
    </row>
    <row r="26" spans="1:13">
      <c r="A26" s="16">
        <v>2001</v>
      </c>
      <c r="B26" s="106">
        <f>'7a'!B26/'7a'!J26*100</f>
        <v>0.93956043956043944</v>
      </c>
      <c r="C26" s="104">
        <f>'7a'!C26/'7a'!K26*100</f>
        <v>1.2228950403690888</v>
      </c>
      <c r="D26" s="104">
        <f>'7a'!D26/'7a'!L26*100</f>
        <v>7.1044863080209755</v>
      </c>
      <c r="E26" s="110">
        <f>'7a'!E26/'7a'!M26*100</f>
        <v>4.130765480253535</v>
      </c>
      <c r="F26" s="106">
        <f>'7a'!F26/'7a'!J26*100</f>
        <v>0.15873015873015872</v>
      </c>
      <c r="G26" s="104">
        <f>'7a'!G26/'7a'!K26*100</f>
        <v>0.15570934256055363</v>
      </c>
      <c r="H26" s="104">
        <f>'7a'!H26/'7a'!L26*100</f>
        <v>0.28879394057098468</v>
      </c>
      <c r="I26" s="110">
        <f>'7a'!I26/'7a'!M26*100</f>
        <v>0.22301316431009266</v>
      </c>
      <c r="J26" s="85">
        <f>IFERROR('7c'!J26/'7c'!J26*100, "na")</f>
        <v>100</v>
      </c>
      <c r="K26" s="86">
        <f>IFERROR('7c'!K26/'7c'!K26*100, "na")</f>
        <v>100</v>
      </c>
      <c r="L26" s="86">
        <f>IFERROR('7c'!L26/'7c'!L26*100, "na")</f>
        <v>100</v>
      </c>
      <c r="M26" s="87">
        <f>IFERROR('7c'!M26/'7c'!M26*100, "na")</f>
        <v>100</v>
      </c>
    </row>
    <row r="27" spans="1:13">
      <c r="A27" s="16">
        <v>2002</v>
      </c>
      <c r="B27" s="106">
        <f>'7a'!B27/'7a'!J27*100</f>
        <v>0.66893564356435642</v>
      </c>
      <c r="C27" s="104">
        <f>'7a'!C27/'7a'!K27*100</f>
        <v>0.81454747362576341</v>
      </c>
      <c r="D27" s="104">
        <f>'7a'!D27/'7a'!L27*100</f>
        <v>6.2754180280607352</v>
      </c>
      <c r="E27" s="110">
        <f>'7a'!E27/'7a'!M27*100</f>
        <v>3.5184723155167448</v>
      </c>
      <c r="F27" s="106">
        <f>'7a'!F27/'7a'!J27*100</f>
        <v>0.11819306930693069</v>
      </c>
      <c r="G27" s="104">
        <f>'7a'!G27/'7a'!K27*100</f>
        <v>0.11077179344808438</v>
      </c>
      <c r="H27" s="104">
        <f>'7a'!H27/'7a'!L27*100</f>
        <v>0.26619258120315203</v>
      </c>
      <c r="I27" s="110">
        <f>'7a'!I27/'7a'!M27*100</f>
        <v>0.18952115919777371</v>
      </c>
      <c r="J27" s="85">
        <f>IFERROR('7c'!J27/'7c'!J27*100, "na")</f>
        <v>100</v>
      </c>
      <c r="K27" s="86">
        <f>IFERROR('7c'!K27/'7c'!K27*100, "na")</f>
        <v>100</v>
      </c>
      <c r="L27" s="86">
        <f>IFERROR('7c'!L27/'7c'!L27*100, "na")</f>
        <v>100</v>
      </c>
      <c r="M27" s="87">
        <f>IFERROR('7c'!M27/'7c'!M27*100, "na")</f>
        <v>100</v>
      </c>
    </row>
    <row r="28" spans="1:13">
      <c r="A28" s="16">
        <v>2003</v>
      </c>
      <c r="B28" s="106">
        <f>'7a'!B28/'7a'!J28*100</f>
        <v>0.47807288449660285</v>
      </c>
      <c r="C28" s="104">
        <f>'7a'!C28/'7a'!K28*100</f>
        <v>0.56062231759656656</v>
      </c>
      <c r="D28" s="104">
        <f>'7a'!D28/'7a'!L28*100</f>
        <v>5.5720455437769925</v>
      </c>
      <c r="E28" s="110">
        <f>'7a'!E28/'7a'!M28*100</f>
        <v>2.9928167800019154</v>
      </c>
      <c r="F28" s="106">
        <f>'7a'!F28/'7a'!J28*100</f>
        <v>9.8826436071649162E-2</v>
      </c>
      <c r="G28" s="104">
        <f>'7a'!G28/'7a'!K28*100</f>
        <v>8.610515021459228E-2</v>
      </c>
      <c r="H28" s="104">
        <f>'7a'!H28/'7a'!L28*100</f>
        <v>0.25206124852767964</v>
      </c>
      <c r="I28" s="110">
        <f>'7a'!I28/'7a'!M28*100</f>
        <v>0.16904511062158797</v>
      </c>
      <c r="J28" s="85">
        <f>IFERROR('7c'!J28/'7c'!J28*100, "na")</f>
        <v>100</v>
      </c>
      <c r="K28" s="86">
        <f>IFERROR('7c'!K28/'7c'!K28*100, "na")</f>
        <v>100</v>
      </c>
      <c r="L28" s="86">
        <f>IFERROR('7c'!L28/'7c'!L28*100, "na")</f>
        <v>100</v>
      </c>
      <c r="M28" s="87">
        <f>IFERROR('7c'!M28/'7c'!M28*100, "na")</f>
        <v>100</v>
      </c>
    </row>
    <row r="29" spans="1:13">
      <c r="A29" s="16">
        <v>2004</v>
      </c>
      <c r="B29" s="106">
        <f>'7a'!B29/'7a'!J29*100</f>
        <v>0.34935304990757854</v>
      </c>
      <c r="C29" s="104">
        <f>'7a'!C29/'7a'!K29*100</f>
        <v>0.39641685591723441</v>
      </c>
      <c r="D29" s="104">
        <f>'7a'!D29/'7a'!L29*100</f>
        <v>4.9270893930579787</v>
      </c>
      <c r="E29" s="110">
        <f>'7a'!E29/'7a'!M29*100</f>
        <v>2.5641813273759655</v>
      </c>
      <c r="F29" s="106">
        <f>'7a'!F29/'7a'!J29*100</f>
        <v>8.5643869377695636E-2</v>
      </c>
      <c r="G29" s="104">
        <f>'7a'!G29/'7a'!K29*100</f>
        <v>6.9644208932626794E-2</v>
      </c>
      <c r="H29" s="104">
        <f>'7a'!H29/'7a'!L29*100</f>
        <v>0.23754120612759352</v>
      </c>
      <c r="I29" s="110">
        <f>'7a'!I29/'7a'!M29*100</f>
        <v>0.15265754444754723</v>
      </c>
      <c r="J29" s="85">
        <f>IFERROR('7c'!J29/'7c'!J29*100, "na")</f>
        <v>100</v>
      </c>
      <c r="K29" s="86">
        <f>IFERROR('7c'!K29/'7c'!K29*100, "na")</f>
        <v>100</v>
      </c>
      <c r="L29" s="86">
        <f>IFERROR('7c'!L29/'7c'!L29*100, "na")</f>
        <v>100</v>
      </c>
      <c r="M29" s="87">
        <f>IFERROR('7c'!M29/'7c'!M29*100, "na")</f>
        <v>100</v>
      </c>
    </row>
    <row r="30" spans="1:13">
      <c r="A30" s="16">
        <v>2005</v>
      </c>
      <c r="B30" s="106">
        <f>'7a'!B30/'7a'!J30*100</f>
        <v>0.26255562619198985</v>
      </c>
      <c r="C30" s="104">
        <f>'7a'!C30/'7a'!K30*100</f>
        <v>0.28638718794159207</v>
      </c>
      <c r="D30" s="104">
        <f>'7a'!D30/'7a'!L30*100</f>
        <v>4.3584371460928661</v>
      </c>
      <c r="E30" s="110">
        <f>'7a'!E30/'7a'!M30*100</f>
        <v>2.2236214806152739</v>
      </c>
      <c r="F30" s="106">
        <f>'7a'!F30/'7a'!J30*100</f>
        <v>7.7558804831532102E-2</v>
      </c>
      <c r="G30" s="104">
        <f>'7a'!G30/'7a'!K30*100</f>
        <v>5.9585492227979271E-2</v>
      </c>
      <c r="H30" s="104">
        <f>'7a'!H30/'7a'!L30*100</f>
        <v>0.22499056247640625</v>
      </c>
      <c r="I30" s="110">
        <f>'7a'!I30/'7a'!M30*100</f>
        <v>0.14095529369434198</v>
      </c>
      <c r="J30" s="85">
        <f>IFERROR('7c'!J30/'7c'!J30*100, "na")</f>
        <v>100</v>
      </c>
      <c r="K30" s="86">
        <f>IFERROR('7c'!K30/'7c'!K30*100, "na")</f>
        <v>100</v>
      </c>
      <c r="L30" s="86">
        <f>IFERROR('7c'!L30/'7c'!L30*100, "na")</f>
        <v>100</v>
      </c>
      <c r="M30" s="87">
        <f>IFERROR('7c'!M30/'7c'!M30*100, "na")</f>
        <v>100</v>
      </c>
    </row>
    <row r="31" spans="1:13">
      <c r="A31" s="16">
        <v>2006</v>
      </c>
      <c r="B31" s="106">
        <f>'7a'!B31/'7a'!J31*100</f>
        <v>0.20198265179677821</v>
      </c>
      <c r="C31" s="104">
        <f>'7a'!C31/'7a'!K31*100</f>
        <v>0.21502306171754887</v>
      </c>
      <c r="D31" s="104">
        <f>'7a'!D31/'7a'!L31*100</f>
        <v>3.8049075514083293</v>
      </c>
      <c r="E31" s="110">
        <f>'7a'!E31/'7a'!M31*100</f>
        <v>1.9511460598962689</v>
      </c>
      <c r="F31" s="106">
        <f>'7a'!F31/'7a'!J31*100</f>
        <v>7.5588599752168528E-2</v>
      </c>
      <c r="G31" s="104">
        <f>'7a'!G31/'7a'!K31*100</f>
        <v>5.490885130683066E-2</v>
      </c>
      <c r="H31" s="104">
        <f>'7a'!H31/'7a'!L31*100</f>
        <v>0.21358216692586832</v>
      </c>
      <c r="I31" s="110">
        <f>'7a'!I31/'7a'!M31*100</f>
        <v>0.13451564329931404</v>
      </c>
      <c r="J31" s="85">
        <f>IFERROR('7c'!J31/'7c'!J31*100, "na")</f>
        <v>100</v>
      </c>
      <c r="K31" s="86">
        <f>IFERROR('7c'!K31/'7c'!K31*100, "na")</f>
        <v>100</v>
      </c>
      <c r="L31" s="86">
        <f>IFERROR('7c'!L31/'7c'!L31*100, "na")</f>
        <v>100</v>
      </c>
      <c r="M31" s="87">
        <f>IFERROR('7c'!M31/'7c'!M31*100, "na")</f>
        <v>100</v>
      </c>
    </row>
    <row r="32" spans="1:13">
      <c r="A32" s="16">
        <v>2007</v>
      </c>
      <c r="B32" s="106">
        <f>'7a'!B32/'7a'!J32*100</f>
        <v>0.19831730769230768</v>
      </c>
      <c r="C32" s="104">
        <f>'7a'!C32/'7a'!K32*100</f>
        <v>0.19533828382838284</v>
      </c>
      <c r="D32" s="104">
        <f>'7a'!D32/'7a'!L32*100</f>
        <v>3.3992429704397984</v>
      </c>
      <c r="E32" s="110">
        <f>'7a'!E32/'7a'!M32*100</f>
        <v>1.6696517412935323</v>
      </c>
      <c r="F32" s="106">
        <f>'7a'!F32/'7a'!J32*100</f>
        <v>8.7740384615384609E-2</v>
      </c>
      <c r="G32" s="104">
        <f>'7a'!G32/'7a'!K32*100</f>
        <v>5.8374587458745873E-2</v>
      </c>
      <c r="H32" s="104">
        <f>'7a'!H32/'7a'!L32*100</f>
        <v>0.21178803172314348</v>
      </c>
      <c r="I32" s="110">
        <f>'7a'!I32/'7a'!M32*100</f>
        <v>0.13300165837479269</v>
      </c>
      <c r="J32" s="85">
        <f>IFERROR('7c'!J32/'7c'!J32*100, "na")</f>
        <v>100</v>
      </c>
      <c r="K32" s="86">
        <f>IFERROR('7c'!K32/'7c'!K32*100, "na")</f>
        <v>100</v>
      </c>
      <c r="L32" s="86">
        <f>IFERROR('7c'!L32/'7c'!L32*100, "na")</f>
        <v>100</v>
      </c>
      <c r="M32" s="87">
        <f>IFERROR('7c'!M32/'7c'!M32*100, "na")</f>
        <v>100</v>
      </c>
    </row>
    <row r="33" spans="1:13">
      <c r="A33" s="16">
        <v>2008</v>
      </c>
      <c r="B33" s="106">
        <f>'7a'!B33/'7a'!J33*100</f>
        <v>0.20412979351032448</v>
      </c>
      <c r="C33" s="104">
        <f>'7a'!C33/'7a'!K33*100</f>
        <v>0.18169425511197662</v>
      </c>
      <c r="D33" s="104">
        <f>'7a'!D33/'7a'!L33*100</f>
        <v>3.0976777167168943</v>
      </c>
      <c r="E33" s="110">
        <f>'7a'!E33/'7a'!M33*100</f>
        <v>1.5037286504690883</v>
      </c>
      <c r="F33" s="106">
        <f>'7a'!F33/'7a'!J33*100</f>
        <v>0.10442477876106195</v>
      </c>
      <c r="G33" s="104">
        <f>'7a'!G33/'7a'!K33*100</f>
        <v>6.2512171372930872E-2</v>
      </c>
      <c r="H33" s="104">
        <f>'7a'!H33/'7a'!L33*100</f>
        <v>0.21503279560361638</v>
      </c>
      <c r="I33" s="110">
        <f>'7a'!I33/'7a'!M33*100</f>
        <v>0.13719830005613023</v>
      </c>
      <c r="J33" s="85">
        <f>IFERROR('7c'!J33/'7c'!J33*100, "na")</f>
        <v>100</v>
      </c>
      <c r="K33" s="86">
        <f>IFERROR('7c'!K33/'7c'!K33*100, "na")</f>
        <v>100</v>
      </c>
      <c r="L33" s="86">
        <f>IFERROR('7c'!L33/'7c'!L33*100, "na")</f>
        <v>100</v>
      </c>
      <c r="M33" s="87">
        <f>IFERROR('7c'!M33/'7c'!M33*100, "na")</f>
        <v>100</v>
      </c>
    </row>
    <row r="34" spans="1:13">
      <c r="A34" s="16">
        <v>2009</v>
      </c>
      <c r="B34" s="106">
        <f>'7a'!B34/'7a'!J34*100</f>
        <v>0.19867149758454106</v>
      </c>
      <c r="C34" s="104">
        <f>'7a'!C34/'7a'!K34*100</f>
        <v>0.16214667685255921</v>
      </c>
      <c r="D34" s="104">
        <f>'7a'!D34/'7a'!L34*100</f>
        <v>2.8411572052401746</v>
      </c>
      <c r="E34" s="110">
        <f>'7a'!E34/'7a'!M34*100</f>
        <v>1.3555860510171134</v>
      </c>
      <c r="F34" s="106">
        <f>'7a'!F34/'7a'!J34*100</f>
        <v>0.10809178743961352</v>
      </c>
      <c r="G34" s="104">
        <f>'7a'!G34/'7a'!K34*100</f>
        <v>5.7868601986249046E-2</v>
      </c>
      <c r="H34" s="104">
        <f>'7a'!H34/'7a'!L34*100</f>
        <v>0.21251819505094613</v>
      </c>
      <c r="I34" s="110">
        <f>'7a'!I34/'7a'!M34*100</f>
        <v>0.13319341298030352</v>
      </c>
      <c r="J34" s="85">
        <f>IFERROR('7c'!J34/'7c'!J34*100, "na")</f>
        <v>100</v>
      </c>
      <c r="K34" s="86">
        <f>IFERROR('7c'!K34/'7c'!K34*100, "na")</f>
        <v>100</v>
      </c>
      <c r="L34" s="86">
        <f>IFERROR('7c'!L34/'7c'!L34*100, "na")</f>
        <v>100</v>
      </c>
      <c r="M34" s="87">
        <f>IFERROR('7c'!M34/'7c'!M34*100, "na")</f>
        <v>100</v>
      </c>
    </row>
    <row r="35" spans="1:13">
      <c r="A35" s="17">
        <v>2010</v>
      </c>
      <c r="B35" s="107">
        <f>'7a'!B35/'7a'!J35*100</f>
        <v>0.19313779745434423</v>
      </c>
      <c r="C35" s="108">
        <f>'7a'!C35/'7a'!K35*100</f>
        <v>0.15025323579065841</v>
      </c>
      <c r="D35" s="108">
        <f>'7a'!D35/'7a'!L35*100</f>
        <v>2.5991412958626072</v>
      </c>
      <c r="E35" s="111">
        <f>'7a'!E35/'7a'!M35*100</f>
        <v>1.179905398793019</v>
      </c>
      <c r="F35" s="107">
        <f>'7a'!F35/'7a'!J35*100</f>
        <v>0.11123408965135584</v>
      </c>
      <c r="G35" s="108">
        <f>'7a'!G35/'7a'!K35*100</f>
        <v>5.5711873944850873E-2</v>
      </c>
      <c r="H35" s="108">
        <f>'7a'!H35/'7a'!L35*100</f>
        <v>0.20999219359875099</v>
      </c>
      <c r="I35" s="111">
        <f>'7a'!I35/'7a'!M35*100</f>
        <v>0.12836405154134725</v>
      </c>
      <c r="J35" s="88">
        <f>IFERROR('7c'!J35/'7c'!J35*100, "na")</f>
        <v>100</v>
      </c>
      <c r="K35" s="89">
        <f>IFERROR('7c'!K35/'7c'!K35*100, "na")</f>
        <v>100</v>
      </c>
      <c r="L35" s="89">
        <f>IFERROR('7c'!L35/'7c'!L35*100, "na")</f>
        <v>100</v>
      </c>
      <c r="M35" s="90">
        <f>IFERROR('7c'!M35/'7c'!M35*100, "na")</f>
        <v>100</v>
      </c>
    </row>
    <row r="37" spans="1:13">
      <c r="A37" s="389" t="s">
        <v>77</v>
      </c>
      <c r="B37" s="391"/>
      <c r="C37" s="391"/>
      <c r="D37" s="391"/>
      <c r="E37" s="391"/>
      <c r="F37" s="391"/>
      <c r="G37" s="391"/>
      <c r="H37" s="391"/>
      <c r="I37" s="390"/>
      <c r="J37" s="145"/>
      <c r="K37" s="145"/>
      <c r="L37" s="145"/>
      <c r="M37" s="145"/>
    </row>
    <row r="38" spans="1:13">
      <c r="A38" s="15" t="s">
        <v>53</v>
      </c>
      <c r="B38" s="82">
        <f>B15-B6</f>
        <v>-0.41684416137645841</v>
      </c>
      <c r="C38" s="83">
        <f t="shared" ref="C38:I38" si="0">C15-C6</f>
        <v>-0.72460358056265983</v>
      </c>
      <c r="D38" s="83">
        <f t="shared" si="0"/>
        <v>0.78310667778561804</v>
      </c>
      <c r="E38" s="84">
        <f t="shared" si="0"/>
        <v>0.32371378301194487</v>
      </c>
      <c r="F38" s="82">
        <f t="shared" si="0"/>
        <v>-8.9713618779459783E-2</v>
      </c>
      <c r="G38" s="83">
        <f t="shared" si="0"/>
        <v>5.3708439897698079E-3</v>
      </c>
      <c r="H38" s="83">
        <f t="shared" si="0"/>
        <v>-3.6119218679838361E-2</v>
      </c>
      <c r="I38" s="84">
        <f t="shared" si="0"/>
        <v>-0.10205671867794469</v>
      </c>
      <c r="J38" s="86"/>
      <c r="K38" s="86"/>
      <c r="L38" s="86"/>
      <c r="M38" s="86"/>
    </row>
    <row r="39" spans="1:13">
      <c r="A39" s="16" t="s">
        <v>71</v>
      </c>
      <c r="B39" s="85">
        <f>B25-B15</f>
        <v>0.670011099456571</v>
      </c>
      <c r="C39" s="86">
        <f t="shared" ref="C39:I39" si="1">C25-C15</f>
        <v>0.84918912951480241</v>
      </c>
      <c r="D39" s="86">
        <f t="shared" si="1"/>
        <v>5.9699469894120858</v>
      </c>
      <c r="E39" s="87">
        <f t="shared" si="1"/>
        <v>3.2783812611032519</v>
      </c>
      <c r="F39" s="85">
        <f t="shared" si="1"/>
        <v>0.1381434516855185</v>
      </c>
      <c r="G39" s="86">
        <f t="shared" si="1"/>
        <v>0.15368452041435907</v>
      </c>
      <c r="H39" s="86">
        <f t="shared" si="1"/>
        <v>-0.3859467495308902</v>
      </c>
      <c r="I39" s="87">
        <f t="shared" si="1"/>
        <v>-0.19290163861314008</v>
      </c>
      <c r="J39" s="86"/>
      <c r="K39" s="86"/>
      <c r="L39" s="86"/>
      <c r="M39" s="86"/>
    </row>
    <row r="40" spans="1:13">
      <c r="A40" s="16" t="s">
        <v>69</v>
      </c>
      <c r="B40" s="85">
        <f>B35-B25</f>
        <v>-0.79397409475420866</v>
      </c>
      <c r="C40" s="86">
        <f>C35-C25</f>
        <v>-1.1612888349006147</v>
      </c>
      <c r="D40" s="86">
        <f t="shared" ref="D40:I40" si="2">D35-D25</f>
        <v>-4.562735900746862</v>
      </c>
      <c r="E40" s="87">
        <f t="shared" si="2"/>
        <v>-2.9798317945136228</v>
      </c>
      <c r="F40" s="85">
        <f t="shared" si="2"/>
        <v>-0.10844956588467231</v>
      </c>
      <c r="G40" s="86">
        <f t="shared" si="2"/>
        <v>-0.16856088176362582</v>
      </c>
      <c r="H40" s="86">
        <f t="shared" si="2"/>
        <v>-0.12161830877875573</v>
      </c>
      <c r="I40" s="87">
        <f t="shared" si="2"/>
        <v>-0.14840424740126643</v>
      </c>
      <c r="J40" s="86"/>
      <c r="K40" s="86"/>
      <c r="L40" s="86"/>
      <c r="M40" s="86"/>
    </row>
    <row r="41" spans="1:13">
      <c r="A41" s="17" t="s">
        <v>70</v>
      </c>
      <c r="B41" s="88">
        <f>B35-B6</f>
        <v>-0.54080715667409607</v>
      </c>
      <c r="C41" s="89">
        <f t="shared" ref="C41:I41" si="3">C35-C6</f>
        <v>-1.0367032859484722</v>
      </c>
      <c r="D41" s="89">
        <f t="shared" si="3"/>
        <v>2.1903177664508426</v>
      </c>
      <c r="E41" s="90">
        <f t="shared" si="3"/>
        <v>0.62226324960157409</v>
      </c>
      <c r="F41" s="88">
        <f t="shared" si="3"/>
        <v>-6.0019732978613571E-2</v>
      </c>
      <c r="G41" s="89">
        <f>G35-G6</f>
        <v>-9.505517359496965E-3</v>
      </c>
      <c r="H41" s="89">
        <f t="shared" si="3"/>
        <v>-0.54368427698948429</v>
      </c>
      <c r="I41" s="90">
        <f t="shared" si="3"/>
        <v>-0.44336260469235123</v>
      </c>
      <c r="J41" s="86"/>
      <c r="K41" s="86"/>
      <c r="L41" s="86"/>
      <c r="M41" s="86"/>
    </row>
    <row r="42" spans="1:13">
      <c r="J42" s="18"/>
      <c r="K42" s="18"/>
      <c r="L42" s="18"/>
      <c r="M42" s="18"/>
    </row>
    <row r="43" spans="1:13">
      <c r="A43" s="1" t="s">
        <v>86</v>
      </c>
    </row>
    <row r="44" spans="1:13">
      <c r="A44" s="211"/>
    </row>
  </sheetData>
  <mergeCells count="5">
    <mergeCell ref="J4:M4"/>
    <mergeCell ref="B4:E4"/>
    <mergeCell ref="F4:I4"/>
    <mergeCell ref="A37:I37"/>
    <mergeCell ref="A1:H2"/>
  </mergeCells>
  <pageMargins left="0.7" right="0.7" top="0.75" bottom="0.75" header="0.3" footer="0.3"/>
  <pageSetup scale="70" orientation="landscape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77"/>
  <dimension ref="A1:M49"/>
  <sheetViews>
    <sheetView zoomScaleNormal="100" workbookViewId="0">
      <selection activeCell="B15" sqref="B15"/>
    </sheetView>
  </sheetViews>
  <sheetFormatPr defaultRowHeight="15"/>
  <cols>
    <col min="1" max="1" width="10.85546875" style="1" customWidth="1"/>
    <col min="2" max="2" width="10.42578125" style="1" customWidth="1"/>
    <col min="3" max="3" width="9.140625" style="1"/>
    <col min="4" max="5" width="18.42578125" style="1" customWidth="1"/>
    <col min="6" max="6" width="11.140625" style="1" customWidth="1"/>
    <col min="7" max="7" width="9.140625" style="1"/>
    <col min="8" max="9" width="19.7109375" style="1" customWidth="1"/>
    <col min="10" max="10" width="10.42578125" style="1" customWidth="1"/>
    <col min="11" max="11" width="9.140625" style="1"/>
    <col min="12" max="12" width="17.85546875" style="1" customWidth="1"/>
    <col min="13" max="13" width="13.140625" style="1" customWidth="1"/>
    <col min="14" max="16384" width="9.140625" style="1"/>
  </cols>
  <sheetData>
    <row r="1" spans="1:13">
      <c r="A1" s="2" t="s">
        <v>196</v>
      </c>
    </row>
    <row r="4" spans="1:13"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8" t="s">
        <v>66</v>
      </c>
      <c r="K4" s="379"/>
      <c r="L4" s="379"/>
      <c r="M4" s="380"/>
    </row>
    <row r="5" spans="1:13" ht="30"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59" t="s">
        <v>0</v>
      </c>
      <c r="K5" s="60" t="s">
        <v>1</v>
      </c>
      <c r="L5" s="60" t="s">
        <v>2</v>
      </c>
      <c r="M5" s="51" t="s">
        <v>72</v>
      </c>
    </row>
    <row r="6" spans="1:13">
      <c r="A6" s="15">
        <v>1981</v>
      </c>
      <c r="B6" s="37">
        <f>'7a'!B6/'7a'!$E6*100</f>
        <v>22.450888681010291</v>
      </c>
      <c r="C6" s="34">
        <f>'7a'!C6/'7a'!$E6*100</f>
        <v>25.537885874649202</v>
      </c>
      <c r="D6" s="34">
        <f>'7a'!D6/'7a'!$E6*100</f>
        <v>52.011225444340504</v>
      </c>
      <c r="E6" s="38">
        <f>SUM(B6:D6)</f>
        <v>100</v>
      </c>
      <c r="F6" s="37">
        <f>'7a'!F6/'7a'!$I6*100</f>
        <v>5.1094890510948909</v>
      </c>
      <c r="G6" s="34">
        <f>'7a'!G6/'7a'!$I6*100</f>
        <v>1.3686131386861315</v>
      </c>
      <c r="H6" s="34">
        <f>'7a'!H6/'7a'!$I6*100</f>
        <v>93.521897810218974</v>
      </c>
      <c r="I6" s="38">
        <f>SUM(F6:H6)</f>
        <v>100</v>
      </c>
      <c r="J6" s="82">
        <f>'7a'!J6/'7a'!$M6*100</f>
        <v>17.057902973395933</v>
      </c>
      <c r="K6" s="83">
        <f>'7a'!K6/'7a'!$M6*100</f>
        <v>11.997913406364111</v>
      </c>
      <c r="L6" s="83">
        <f>'7a'!L6/'7a'!$M6*100</f>
        <v>70.944183620239954</v>
      </c>
      <c r="M6" s="36">
        <f>SUM(J6:L6)</f>
        <v>100</v>
      </c>
    </row>
    <row r="7" spans="1:13">
      <c r="A7" s="16">
        <v>1982</v>
      </c>
      <c r="B7" s="37">
        <f>'7a'!B7/'7a'!$E7*100</f>
        <v>17.967914438502675</v>
      </c>
      <c r="C7" s="34">
        <f>'7a'!C7/'7a'!$E7*100</f>
        <v>21.176470588235293</v>
      </c>
      <c r="D7" s="34">
        <f>'7a'!D7/'7a'!$E7*100</f>
        <v>60.855614973262028</v>
      </c>
      <c r="E7" s="38">
        <f t="shared" ref="E7:E35" si="0">SUM(B7:D7)</f>
        <v>100</v>
      </c>
      <c r="F7" s="37">
        <f>'7a'!F7/'7a'!$I7*100</f>
        <v>3.664495114006515</v>
      </c>
      <c r="G7" s="34">
        <f>'7a'!G7/'7a'!$I7*100</f>
        <v>0.89576547231270365</v>
      </c>
      <c r="H7" s="34">
        <f>'7a'!H7/'7a'!$I7*100</f>
        <v>95.439739413680783</v>
      </c>
      <c r="I7" s="38">
        <f t="shared" ref="I7:I35" si="1">SUM(F7:H7)</f>
        <v>100</v>
      </c>
      <c r="J7" s="85">
        <f>'7a'!J7/'7a'!$M7*100</f>
        <v>17.550274223034734</v>
      </c>
      <c r="K7" s="86">
        <f>'7a'!K7/'7a'!$M7*100</f>
        <v>12.248628884826324</v>
      </c>
      <c r="L7" s="86">
        <f>'7a'!L7/'7a'!$M7*100</f>
        <v>70.201096892138935</v>
      </c>
      <c r="M7" s="38">
        <f t="shared" ref="M7:M35" si="2">SUM(J7:L7)</f>
        <v>100</v>
      </c>
    </row>
    <row r="8" spans="1:13">
      <c r="A8" s="16">
        <v>1983</v>
      </c>
      <c r="B8" s="37">
        <f>'7a'!B8/'7a'!$E8*100</f>
        <v>12.328767123287671</v>
      </c>
      <c r="C8" s="34">
        <f>'7a'!C8/'7a'!$E8*100</f>
        <v>16.43835616438356</v>
      </c>
      <c r="D8" s="34">
        <f>'7a'!D8/'7a'!$E8*100</f>
        <v>71.232876712328761</v>
      </c>
      <c r="E8" s="38">
        <f t="shared" si="0"/>
        <v>100</v>
      </c>
      <c r="F8" s="37">
        <f>'7a'!F8/'7a'!$I8*100</f>
        <v>2.1588280647648417</v>
      </c>
      <c r="G8" s="34">
        <f>'7a'!G8/'7a'!$I8*100</f>
        <v>0.69390902081727057</v>
      </c>
      <c r="H8" s="34">
        <f>'7a'!H8/'7a'!$I8*100</f>
        <v>97.147262914417894</v>
      </c>
      <c r="I8" s="38">
        <f t="shared" si="1"/>
        <v>100</v>
      </c>
      <c r="J8" s="85">
        <f>'7a'!J8/'7a'!$M8*100</f>
        <v>17.768595041322314</v>
      </c>
      <c r="K8" s="86">
        <f>'7a'!K8/'7a'!$M8*100</f>
        <v>12.685950413223141</v>
      </c>
      <c r="L8" s="86">
        <f>'7a'!L8/'7a'!$M8*100</f>
        <v>69.545454545454547</v>
      </c>
      <c r="M8" s="38">
        <f t="shared" si="2"/>
        <v>100</v>
      </c>
    </row>
    <row r="9" spans="1:13">
      <c r="A9" s="16">
        <v>1984</v>
      </c>
      <c r="B9" s="37">
        <f>'7a'!B9/'7a'!$E9*100</f>
        <v>9.2284417549167923</v>
      </c>
      <c r="C9" s="34">
        <f>'7a'!C9/'7a'!$E9*100</f>
        <v>11.649016641452345</v>
      </c>
      <c r="D9" s="34">
        <f>'7a'!D9/'7a'!$E9*100</f>
        <v>79.122541603630864</v>
      </c>
      <c r="E9" s="38">
        <f t="shared" si="0"/>
        <v>100</v>
      </c>
      <c r="F9" s="37">
        <f>'7a'!F9/'7a'!$I9*100</f>
        <v>1.1470985155195683</v>
      </c>
      <c r="G9" s="34">
        <f>'7a'!G9/'7a'!$I9*100</f>
        <v>0.47233468286099867</v>
      </c>
      <c r="H9" s="34">
        <f>'7a'!H9/'7a'!$I9*100</f>
        <v>98.380566801619423</v>
      </c>
      <c r="I9" s="38">
        <f t="shared" si="1"/>
        <v>99.999999999999986</v>
      </c>
      <c r="J9" s="85">
        <f>'7a'!J9/'7a'!$M9*100</f>
        <v>19.437432383699964</v>
      </c>
      <c r="K9" s="86">
        <f>'7a'!K9/'7a'!$M9*100</f>
        <v>13.162639740353407</v>
      </c>
      <c r="L9" s="86">
        <f>'7a'!L9/'7a'!$M9*100</f>
        <v>67.399927875946631</v>
      </c>
      <c r="M9" s="38">
        <f t="shared" si="2"/>
        <v>100</v>
      </c>
    </row>
    <row r="10" spans="1:13">
      <c r="A10" s="16">
        <v>1985</v>
      </c>
      <c r="B10" s="37">
        <f>'7a'!B10/'7a'!$E10*100</f>
        <v>8.8563049853372426</v>
      </c>
      <c r="C10" s="34">
        <f>'7a'!C10/'7a'!$E10*100</f>
        <v>9.9120234604105573</v>
      </c>
      <c r="D10" s="34">
        <f>'7a'!D10/'7a'!$E10*100</f>
        <v>81.231671554252188</v>
      </c>
      <c r="E10" s="38">
        <f t="shared" si="0"/>
        <v>99.999999999999986</v>
      </c>
      <c r="F10" s="37">
        <f>'7a'!F10/'7a'!$I10*100</f>
        <v>0.85365853658536595</v>
      </c>
      <c r="G10" s="34">
        <f>'7a'!G10/'7a'!$I10*100</f>
        <v>0.36585365853658541</v>
      </c>
      <c r="H10" s="34">
        <f>'7a'!H10/'7a'!$I10*100</f>
        <v>98.780487804878049</v>
      </c>
      <c r="I10" s="38">
        <f t="shared" si="1"/>
        <v>100</v>
      </c>
      <c r="J10" s="85">
        <f>'7a'!J10/'7a'!$M10*100</f>
        <v>20.667314544865565</v>
      </c>
      <c r="K10" s="86">
        <f>'7a'!K10/'7a'!$M10*100</f>
        <v>13.702623906705538</v>
      </c>
      <c r="L10" s="86">
        <f>'7a'!L10/'7a'!$M10*100</f>
        <v>65.630061548428898</v>
      </c>
      <c r="M10" s="38">
        <f t="shared" si="2"/>
        <v>100</v>
      </c>
    </row>
    <row r="11" spans="1:13">
      <c r="A11" s="16">
        <v>1986</v>
      </c>
      <c r="B11" s="37">
        <f>'7a'!B11/'7a'!$E11*100</f>
        <v>8.5738905644118919</v>
      </c>
      <c r="C11" s="34">
        <f>'7a'!C11/'7a'!$E11*100</f>
        <v>9.1770788453252905</v>
      </c>
      <c r="D11" s="34">
        <f>'7a'!D11/'7a'!$E11*100</f>
        <v>82.249030590262819</v>
      </c>
      <c r="E11" s="38">
        <f t="shared" si="0"/>
        <v>100</v>
      </c>
      <c r="F11" s="37">
        <f>'7a'!F11/'7a'!$I11*100</f>
        <v>0.65088757396449703</v>
      </c>
      <c r="G11" s="34">
        <f>'7a'!G11/'7a'!$I11*100</f>
        <v>0.35502958579881655</v>
      </c>
      <c r="H11" s="34">
        <f>'7a'!H11/'7a'!$I11*100</f>
        <v>98.994082840236686</v>
      </c>
      <c r="I11" s="38">
        <f t="shared" si="1"/>
        <v>100</v>
      </c>
      <c r="J11" s="85">
        <f>'7a'!J11/'7a'!$M11*100</f>
        <v>20.382546323968917</v>
      </c>
      <c r="K11" s="86">
        <f>'7a'!K11/'7a'!$M11*100</f>
        <v>14.225941422594143</v>
      </c>
      <c r="L11" s="86">
        <f>'7a'!L11/'7a'!$M11*100</f>
        <v>65.391512253436929</v>
      </c>
      <c r="M11" s="38">
        <f t="shared" si="2"/>
        <v>99.999999999999986</v>
      </c>
    </row>
    <row r="12" spans="1:13">
      <c r="A12" s="16">
        <v>1987</v>
      </c>
      <c r="B12" s="37">
        <f>'7a'!B12/'7a'!$E12*100</f>
        <v>8.3901192504258937</v>
      </c>
      <c r="C12" s="34">
        <f>'7a'!C12/'7a'!$E12*100</f>
        <v>8.68824531516184</v>
      </c>
      <c r="D12" s="34">
        <f>'7a'!D12/'7a'!$E12*100</f>
        <v>82.921635434412266</v>
      </c>
      <c r="E12" s="38">
        <f t="shared" si="0"/>
        <v>100</v>
      </c>
      <c r="F12" s="37">
        <f>'7a'!F12/'7a'!$I12*100</f>
        <v>0.58309037900874638</v>
      </c>
      <c r="G12" s="34">
        <f>'7a'!G12/'7a'!$I12*100</f>
        <v>0.3498542274052478</v>
      </c>
      <c r="H12" s="34">
        <f>'7a'!H12/'7a'!$I12*100</f>
        <v>99.067055393586003</v>
      </c>
      <c r="I12" s="38">
        <f t="shared" si="1"/>
        <v>100</v>
      </c>
      <c r="J12" s="85">
        <f>'7a'!J12/'7a'!$M12*100</f>
        <v>20.839045791061146</v>
      </c>
      <c r="K12" s="86">
        <f>'7a'!K12/'7a'!$M12*100</f>
        <v>14.943789415958323</v>
      </c>
      <c r="L12" s="86">
        <f>'7a'!L12/'7a'!$M12*100</f>
        <v>64.217164792980526</v>
      </c>
      <c r="M12" s="38">
        <f t="shared" si="2"/>
        <v>100</v>
      </c>
    </row>
    <row r="13" spans="1:13">
      <c r="A13" s="16">
        <v>1988</v>
      </c>
      <c r="B13" s="37">
        <f>'7a'!B13/'7a'!$E13*100</f>
        <v>8.380308154829013</v>
      </c>
      <c r="C13" s="34">
        <f>'7a'!C13/'7a'!$E13*100</f>
        <v>8.8688462983840655</v>
      </c>
      <c r="D13" s="34">
        <f>'7a'!D13/'7a'!$E13*100</f>
        <v>82.75084554678692</v>
      </c>
      <c r="E13" s="38">
        <f t="shared" si="0"/>
        <v>100</v>
      </c>
      <c r="F13" s="37">
        <f>'7a'!F13/'7a'!$I13*100</f>
        <v>1.2378902045209903</v>
      </c>
      <c r="G13" s="34">
        <f>'7a'!G13/'7a'!$I13*100</f>
        <v>0.59203444564047358</v>
      </c>
      <c r="H13" s="34">
        <f>'7a'!H13/'7a'!$I13*100</f>
        <v>98.170075349838541</v>
      </c>
      <c r="I13" s="38">
        <f t="shared" si="1"/>
        <v>100</v>
      </c>
      <c r="J13" s="85">
        <f>'7a'!J13/'7a'!$M13*100</f>
        <v>21.056661562021439</v>
      </c>
      <c r="K13" s="86">
        <f>'7a'!K13/'7a'!$M13*100</f>
        <v>15.82440020418581</v>
      </c>
      <c r="L13" s="86">
        <f>'7a'!L13/'7a'!$M13*100</f>
        <v>63.118938233792754</v>
      </c>
      <c r="M13" s="38">
        <f t="shared" si="2"/>
        <v>100</v>
      </c>
    </row>
    <row r="14" spans="1:13">
      <c r="A14" s="16">
        <v>1989</v>
      </c>
      <c r="B14" s="37">
        <f>'7a'!B14/'7a'!$E14*100</f>
        <v>7.9506933744221877</v>
      </c>
      <c r="C14" s="34">
        <f>'7a'!C14/'7a'!$E14*100</f>
        <v>9.1217257318952232</v>
      </c>
      <c r="D14" s="34">
        <f>'7a'!D14/'7a'!$E14*100</f>
        <v>82.927580893682588</v>
      </c>
      <c r="E14" s="38">
        <f t="shared" si="0"/>
        <v>100</v>
      </c>
      <c r="F14" s="37">
        <f>'7a'!F14/'7a'!$I14*100</f>
        <v>2.2859922178988326</v>
      </c>
      <c r="G14" s="34">
        <f>'7a'!G14/'7a'!$I14*100</f>
        <v>1.4105058365758756</v>
      </c>
      <c r="H14" s="34">
        <f>'7a'!H14/'7a'!$I14*100</f>
        <v>96.303501945525298</v>
      </c>
      <c r="I14" s="38">
        <f t="shared" si="1"/>
        <v>100</v>
      </c>
      <c r="J14" s="85">
        <f>'7a'!J14/'7a'!$M14*100</f>
        <v>21.113470158056149</v>
      </c>
      <c r="K14" s="86">
        <f>'7a'!K14/'7a'!$M14*100</f>
        <v>16.985138004246288</v>
      </c>
      <c r="L14" s="86">
        <f>'7a'!L14/'7a'!$M14*100</f>
        <v>61.90139183769756</v>
      </c>
      <c r="M14" s="38">
        <f t="shared" si="2"/>
        <v>100</v>
      </c>
    </row>
    <row r="15" spans="1:13">
      <c r="A15" s="16">
        <v>1990</v>
      </c>
      <c r="B15" s="37">
        <f>'7a'!B15/'7a'!$E15*100</f>
        <v>7.0850202429149798</v>
      </c>
      <c r="C15" s="34">
        <f>'7a'!C15/'7a'!$E15*100</f>
        <v>9.9443319838056681</v>
      </c>
      <c r="D15" s="34">
        <f>'7a'!D15/'7a'!$E15*100</f>
        <v>82.970647773279353</v>
      </c>
      <c r="E15" s="38">
        <f t="shared" si="0"/>
        <v>100</v>
      </c>
      <c r="F15" s="37">
        <f>'7a'!F15/'7a'!$I15*100</f>
        <v>3.4188034188034191</v>
      </c>
      <c r="G15" s="34">
        <f>'7a'!G15/'7a'!$I15*100</f>
        <v>2.8490028490028489</v>
      </c>
      <c r="H15" s="34">
        <f>'7a'!H15/'7a'!$I15*100</f>
        <v>93.732193732193736</v>
      </c>
      <c r="I15" s="38">
        <f t="shared" si="1"/>
        <v>100</v>
      </c>
      <c r="J15" s="85">
        <f>'7a'!J15/'7a'!$M15*100</f>
        <v>19.692239072256914</v>
      </c>
      <c r="K15" s="86">
        <f>'7a'!K15/'7a'!$M15*100</f>
        <v>18.956289027653881</v>
      </c>
      <c r="L15" s="86">
        <f>'7a'!L15/'7a'!$M15*100</f>
        <v>61.351471900089209</v>
      </c>
      <c r="M15" s="38">
        <f t="shared" si="2"/>
        <v>100</v>
      </c>
    </row>
    <row r="16" spans="1:13">
      <c r="A16" s="16">
        <v>1991</v>
      </c>
      <c r="B16" s="37">
        <f>'7a'!B16/'7a'!$E16*100</f>
        <v>6.1807709348692956</v>
      </c>
      <c r="C16" s="34">
        <f>'7a'!C16/'7a'!$E16*100</f>
        <v>10.72219760744351</v>
      </c>
      <c r="D16" s="34">
        <f>'7a'!D16/'7a'!$E16*100</f>
        <v>83.097031457687194</v>
      </c>
      <c r="E16" s="38">
        <f t="shared" si="0"/>
        <v>100</v>
      </c>
      <c r="F16" s="37">
        <f>'7a'!F16/'7a'!$I16*100</f>
        <v>4.2522694696607743</v>
      </c>
      <c r="G16" s="34">
        <f>'7a'!G16/'7a'!$I16*100</f>
        <v>4.4433827042522696</v>
      </c>
      <c r="H16" s="34">
        <f>'7a'!H16/'7a'!$I16*100</f>
        <v>91.304347826086953</v>
      </c>
      <c r="I16" s="38">
        <f t="shared" si="1"/>
        <v>100</v>
      </c>
      <c r="J16" s="85">
        <f>'7a'!J16/'7a'!$M16*100</f>
        <v>18.154376886589045</v>
      </c>
      <c r="K16" s="86">
        <f>'7a'!K16/'7a'!$M16*100</f>
        <v>20.288917636912462</v>
      </c>
      <c r="L16" s="86">
        <f>'7a'!L16/'7a'!$M16*100</f>
        <v>61.556705476498486</v>
      </c>
      <c r="M16" s="38">
        <f t="shared" si="2"/>
        <v>100</v>
      </c>
    </row>
    <row r="17" spans="1:13">
      <c r="A17" s="16">
        <v>1992</v>
      </c>
      <c r="B17" s="37">
        <f>'7a'!B17/'7a'!$E17*100</f>
        <v>4.6843493097564766</v>
      </c>
      <c r="C17" s="34">
        <f>'7a'!C17/'7a'!$E17*100</f>
        <v>9.0274546300604932</v>
      </c>
      <c r="D17" s="34">
        <f>'7a'!D17/'7a'!$E17*100</f>
        <v>86.288196060183026</v>
      </c>
      <c r="E17" s="38">
        <f t="shared" si="0"/>
        <v>100</v>
      </c>
      <c r="F17" s="37">
        <f>'7a'!F17/'7a'!$I17*100</f>
        <v>6.0487804878048781</v>
      </c>
      <c r="G17" s="34">
        <f>'7a'!G17/'7a'!$I17*100</f>
        <v>6.8292682926829276</v>
      </c>
      <c r="H17" s="34">
        <f>'7a'!H17/'7a'!$I17*100</f>
        <v>87.121951219512198</v>
      </c>
      <c r="I17" s="38">
        <f t="shared" si="1"/>
        <v>100</v>
      </c>
      <c r="J17" s="85">
        <f>'7a'!J17/'7a'!$M17*100</f>
        <v>17.305699481865286</v>
      </c>
      <c r="K17" s="86">
        <f>'7a'!K17/'7a'!$M17*100</f>
        <v>21.554404145077722</v>
      </c>
      <c r="L17" s="86">
        <f>'7a'!L17/'7a'!$M17*100</f>
        <v>61.139896373056992</v>
      </c>
      <c r="M17" s="38">
        <f t="shared" si="2"/>
        <v>100</v>
      </c>
    </row>
    <row r="18" spans="1:13">
      <c r="A18" s="16">
        <v>1993</v>
      </c>
      <c r="B18" s="37">
        <f>'7a'!B18/'7a'!$E18*100</f>
        <v>4.4032158317872607</v>
      </c>
      <c r="C18" s="34">
        <f>'7a'!C18/'7a'!$E18*100</f>
        <v>9.1403834260977117</v>
      </c>
      <c r="D18" s="34">
        <f>'7a'!D18/'7a'!$E18*100</f>
        <v>86.456400742115022</v>
      </c>
      <c r="E18" s="38">
        <f t="shared" si="0"/>
        <v>100</v>
      </c>
      <c r="F18" s="37">
        <f>'7a'!F18/'7a'!$I18*100</f>
        <v>10.373792524149517</v>
      </c>
      <c r="G18" s="34">
        <f>'7a'!G18/'7a'!$I18*100</f>
        <v>14.657706845863084</v>
      </c>
      <c r="H18" s="34">
        <f>'7a'!H18/'7a'!$I18*100</f>
        <v>74.968500629987403</v>
      </c>
      <c r="I18" s="38">
        <f t="shared" si="1"/>
        <v>100</v>
      </c>
      <c r="J18" s="85">
        <f>'7a'!J18/'7a'!$M18*100</f>
        <v>16.944826232083251</v>
      </c>
      <c r="K18" s="86">
        <f>'7a'!K18/'7a'!$M18*100</f>
        <v>22.953072845081486</v>
      </c>
      <c r="L18" s="86">
        <f>'7a'!L18/'7a'!$M18*100</f>
        <v>60.10210092283527</v>
      </c>
      <c r="M18" s="38">
        <f t="shared" si="2"/>
        <v>100</v>
      </c>
    </row>
    <row r="19" spans="1:13">
      <c r="A19" s="16">
        <v>1994</v>
      </c>
      <c r="B19" s="37">
        <f>'7a'!B19/'7a'!$E19*100</f>
        <v>4.2470668088819936</v>
      </c>
      <c r="C19" s="34">
        <f>'7a'!C19/'7a'!$E19*100</f>
        <v>9.5607485697663144</v>
      </c>
      <c r="D19" s="34">
        <f>'7a'!D19/'7a'!$E19*100</f>
        <v>86.1921846213517</v>
      </c>
      <c r="E19" s="38">
        <f t="shared" si="0"/>
        <v>100</v>
      </c>
      <c r="F19" s="37">
        <f>'7a'!F19/'7a'!$I19*100</f>
        <v>13.387876534027521</v>
      </c>
      <c r="G19" s="34">
        <f>'7a'!G19/'7a'!$I19*100</f>
        <v>19.970249163257716</v>
      </c>
      <c r="H19" s="34">
        <f>'7a'!H19/'7a'!$I19*100</f>
        <v>66.641874302714768</v>
      </c>
      <c r="I19" s="38">
        <f t="shared" si="1"/>
        <v>100</v>
      </c>
      <c r="J19" s="85">
        <f>'7a'!J19/'7a'!$M19*100</f>
        <v>17.028037383177569</v>
      </c>
      <c r="K19" s="86">
        <f>'7a'!K19/'7a'!$M19*100</f>
        <v>23.77570093457944</v>
      </c>
      <c r="L19" s="86">
        <f>'7a'!L19/'7a'!$M19*100</f>
        <v>59.196261682242991</v>
      </c>
      <c r="M19" s="38">
        <f t="shared" si="2"/>
        <v>100</v>
      </c>
    </row>
    <row r="20" spans="1:13">
      <c r="A20" s="16">
        <v>1995</v>
      </c>
      <c r="B20" s="37">
        <f>'7a'!B20/'7a'!$E20*100</f>
        <v>4.346426271732132</v>
      </c>
      <c r="C20" s="34">
        <f>'7a'!C20/'7a'!$E20*100</f>
        <v>9.7231165486155824</v>
      </c>
      <c r="D20" s="34">
        <f>'7a'!D20/'7a'!$E20*100</f>
        <v>85.930457179652279</v>
      </c>
      <c r="E20" s="38">
        <f t="shared" si="0"/>
        <v>100</v>
      </c>
      <c r="F20" s="37">
        <f>'7a'!F20/'7a'!$I20*100</f>
        <v>14.978753541076486</v>
      </c>
      <c r="G20" s="34">
        <f>'7a'!G20/'7a'!$I20*100</f>
        <v>21.848441926345611</v>
      </c>
      <c r="H20" s="34">
        <f>'7a'!H20/'7a'!$I20*100</f>
        <v>63.172804532577906</v>
      </c>
      <c r="I20" s="38">
        <f t="shared" si="1"/>
        <v>100</v>
      </c>
      <c r="J20" s="85">
        <f>'7a'!J20/'7a'!$M20*100</f>
        <v>17.293233082706767</v>
      </c>
      <c r="K20" s="86">
        <f>'7a'!K20/'7a'!$M20*100</f>
        <v>24.497289735967826</v>
      </c>
      <c r="L20" s="86">
        <f>'7a'!L20/'7a'!$M20*100</f>
        <v>58.209477181325411</v>
      </c>
      <c r="M20" s="38">
        <f t="shared" si="2"/>
        <v>100</v>
      </c>
    </row>
    <row r="21" spans="1:13">
      <c r="A21" s="16">
        <v>1996</v>
      </c>
      <c r="B21" s="37">
        <f>'7a'!B21/'7a'!$E21*100</f>
        <v>4.1700624830209181</v>
      </c>
      <c r="C21" s="34">
        <f>'7a'!C21/'7a'!$E21*100</f>
        <v>9.4811192610703614</v>
      </c>
      <c r="D21" s="34">
        <f>'7a'!D21/'7a'!$E21*100</f>
        <v>86.348818255908725</v>
      </c>
      <c r="E21" s="38">
        <f t="shared" si="0"/>
        <v>100</v>
      </c>
      <c r="F21" s="37">
        <f>'7a'!F21/'7a'!$I21*100</f>
        <v>14.917127071823206</v>
      </c>
      <c r="G21" s="34">
        <f>'7a'!G21/'7a'!$I21*100</f>
        <v>22.375690607734807</v>
      </c>
      <c r="H21" s="34">
        <f>'7a'!H21/'7a'!$I21*100</f>
        <v>62.707182320441987</v>
      </c>
      <c r="I21" s="38">
        <f t="shared" si="1"/>
        <v>100</v>
      </c>
      <c r="J21" s="85">
        <f>'7a'!J21/'7a'!$M21*100</f>
        <v>17.127693792216149</v>
      </c>
      <c r="K21" s="86">
        <f>'7a'!K21/'7a'!$M21*100</f>
        <v>24.766806046960436</v>
      </c>
      <c r="L21" s="86">
        <f>'7a'!L21/'7a'!$M21*100</f>
        <v>58.105500160823418</v>
      </c>
      <c r="M21" s="38">
        <f t="shared" si="2"/>
        <v>100</v>
      </c>
    </row>
    <row r="22" spans="1:13">
      <c r="A22" s="16">
        <v>1997</v>
      </c>
      <c r="B22" s="37">
        <f>'7a'!B22/'7a'!$E22*100</f>
        <v>4.4871582435791213</v>
      </c>
      <c r="C22" s="34">
        <f>'7a'!C22/'7a'!$E22*100</f>
        <v>10.087821043910521</v>
      </c>
      <c r="D22" s="34">
        <f>'7a'!D22/'7a'!$E22*100</f>
        <v>85.42502071251036</v>
      </c>
      <c r="E22" s="38">
        <f t="shared" si="0"/>
        <v>100</v>
      </c>
      <c r="F22" s="37">
        <f>'7a'!F22/'7a'!$I22*100</f>
        <v>14.56344998232591</v>
      </c>
      <c r="G22" s="34">
        <f>'7a'!G22/'7a'!$I22*100</f>
        <v>23.36514669494521</v>
      </c>
      <c r="H22" s="34">
        <f>'7a'!H22/'7a'!$I22*100</f>
        <v>62.071403322728877</v>
      </c>
      <c r="I22" s="38">
        <f t="shared" si="1"/>
        <v>100</v>
      </c>
      <c r="J22" s="85">
        <f>'7a'!J22/'7a'!$M22*100</f>
        <v>17.228244945795488</v>
      </c>
      <c r="K22" s="86">
        <f>'7a'!K22/'7a'!$M22*100</f>
        <v>26.369762672135948</v>
      </c>
      <c r="L22" s="86">
        <f>'7a'!L22/'7a'!$M22*100</f>
        <v>56.401992382068563</v>
      </c>
      <c r="M22" s="38">
        <f t="shared" si="2"/>
        <v>100</v>
      </c>
    </row>
    <row r="23" spans="1:13">
      <c r="A23" s="16">
        <v>1998</v>
      </c>
      <c r="B23" s="37">
        <f>'7a'!B23/'7a'!$E23*100</f>
        <v>4.4178764588670649</v>
      </c>
      <c r="C23" s="34">
        <f>'7a'!C23/'7a'!$E23*100</f>
        <v>10.167947623114147</v>
      </c>
      <c r="D23" s="34">
        <f>'7a'!D23/'7a'!$E23*100</f>
        <v>85.414175918018785</v>
      </c>
      <c r="E23" s="38">
        <f t="shared" si="0"/>
        <v>100</v>
      </c>
      <c r="F23" s="37">
        <f>'7a'!F23/'7a'!$I23*100</f>
        <v>14.960083304408192</v>
      </c>
      <c r="G23" s="34">
        <f>'7a'!G23/'7a'!$I23*100</f>
        <v>25.893786879555709</v>
      </c>
      <c r="H23" s="34">
        <f>'7a'!H23/'7a'!$I23*100</f>
        <v>59.146129816036094</v>
      </c>
      <c r="I23" s="38">
        <f t="shared" si="1"/>
        <v>100</v>
      </c>
      <c r="J23" s="85">
        <f>'7a'!J23/'7a'!$M23*100</f>
        <v>16.994874561640142</v>
      </c>
      <c r="K23" s="86">
        <f>'7a'!K23/'7a'!$M23*100</f>
        <v>28.769894793633664</v>
      </c>
      <c r="L23" s="86">
        <f>'7a'!L23/'7a'!$M23*100</f>
        <v>54.235230644726194</v>
      </c>
      <c r="M23" s="38">
        <f t="shared" si="2"/>
        <v>100</v>
      </c>
    </row>
    <row r="24" spans="1:13">
      <c r="A24" s="16">
        <v>1999</v>
      </c>
      <c r="B24" s="37">
        <f>'7a'!B24/'7a'!$E24*100</f>
        <v>4.2078797590760901</v>
      </c>
      <c r="C24" s="34">
        <f>'7a'!C24/'7a'!$E24*100</f>
        <v>9.9270597336575115</v>
      </c>
      <c r="D24" s="34">
        <f>'7a'!D24/'7a'!$E24*100</f>
        <v>85.865060507266406</v>
      </c>
      <c r="E24" s="38">
        <f t="shared" si="0"/>
        <v>100</v>
      </c>
      <c r="F24" s="37">
        <f>'7a'!F24/'7a'!$I24*100</f>
        <v>15.276851234156105</v>
      </c>
      <c r="G24" s="34">
        <f>'7a'!G24/'7a'!$I24*100</f>
        <v>28.18545697131421</v>
      </c>
      <c r="H24" s="34">
        <f>'7a'!H24/'7a'!$I24*100</f>
        <v>56.537691794529685</v>
      </c>
      <c r="I24" s="38">
        <f t="shared" si="1"/>
        <v>100</v>
      </c>
      <c r="J24" s="85">
        <f>'7a'!J24/'7a'!$M24*100</f>
        <v>17.694401704343711</v>
      </c>
      <c r="K24" s="86">
        <f>'7a'!K24/'7a'!$M24*100</f>
        <v>31.29364421825067</v>
      </c>
      <c r="L24" s="86">
        <f>'7a'!L24/'7a'!$M24*100</f>
        <v>51.011954077405605</v>
      </c>
      <c r="M24" s="38">
        <f t="shared" si="2"/>
        <v>99.999999999999986</v>
      </c>
    </row>
    <row r="25" spans="1:13">
      <c r="A25" s="16">
        <v>2000</v>
      </c>
      <c r="B25" s="37">
        <f>'7a'!B25/'7a'!$E25*100</f>
        <v>4.1584402764067132</v>
      </c>
      <c r="C25" s="34">
        <f>'7a'!C25/'7a'!$E25*100</f>
        <v>10.347976307996051</v>
      </c>
      <c r="D25" s="34">
        <f>'7a'!D25/'7a'!$E25*100</f>
        <v>85.493583415597243</v>
      </c>
      <c r="E25" s="38">
        <f t="shared" si="0"/>
        <v>100</v>
      </c>
      <c r="F25" s="37">
        <f>'7a'!F25/'7a'!$I25*100</f>
        <v>13.909495548961424</v>
      </c>
      <c r="G25" s="34">
        <f>'7a'!G25/'7a'!$I25*100</f>
        <v>26.594955489614243</v>
      </c>
      <c r="H25" s="34">
        <f>'7a'!H25/'7a'!$I25*100</f>
        <v>59.495548961424326</v>
      </c>
      <c r="I25" s="38">
        <f t="shared" si="1"/>
        <v>100</v>
      </c>
      <c r="J25" s="85">
        <f>'7a'!J25/'7a'!$M25*100</f>
        <v>17.523868186017864</v>
      </c>
      <c r="K25" s="86">
        <f>'7a'!K25/'7a'!$M25*100</f>
        <v>32.820039010368546</v>
      </c>
      <c r="L25" s="86">
        <f>'7a'!L25/'7a'!$M25*100</f>
        <v>49.656092803613596</v>
      </c>
      <c r="M25" s="38">
        <f t="shared" si="2"/>
        <v>100</v>
      </c>
    </row>
    <row r="26" spans="1:13">
      <c r="A26" s="16">
        <v>2001</v>
      </c>
      <c r="B26" s="37">
        <f>'7a'!B26/'7a'!$E26*100</f>
        <v>3.6330587096621896</v>
      </c>
      <c r="C26" s="34">
        <f>'7a'!C26/'7a'!$E26*100</f>
        <v>10.011567243455065</v>
      </c>
      <c r="D26" s="34">
        <f>'7a'!D26/'7a'!$E26*100</f>
        <v>86.355374046882744</v>
      </c>
      <c r="E26" s="38">
        <f t="shared" si="0"/>
        <v>100</v>
      </c>
      <c r="F26" s="37">
        <f>'7a'!F26/'7a'!$I26*100</f>
        <v>11.368605159597726</v>
      </c>
      <c r="G26" s="34">
        <f>'7a'!G26/'7a'!$I26*100</f>
        <v>23.611718408395276</v>
      </c>
      <c r="H26" s="34">
        <f>'7a'!H26/'7a'!$I26*100</f>
        <v>65.019676432007003</v>
      </c>
      <c r="I26" s="38">
        <f t="shared" si="1"/>
        <v>100</v>
      </c>
      <c r="J26" s="85">
        <f>'7a'!J26/'7a'!$M26*100</f>
        <v>15.97269624573379</v>
      </c>
      <c r="K26" s="86">
        <f>'7a'!K26/'7a'!$M26*100</f>
        <v>33.817649926864945</v>
      </c>
      <c r="L26" s="86">
        <f>'7a'!L26/'7a'!$M26*100</f>
        <v>50.209653827401269</v>
      </c>
      <c r="M26" s="38">
        <f t="shared" si="2"/>
        <v>100</v>
      </c>
    </row>
    <row r="27" spans="1:13">
      <c r="A27" s="16">
        <v>2002</v>
      </c>
      <c r="B27" s="37">
        <f>'7a'!B27/'7a'!$E27*100</f>
        <v>2.9482354224622269</v>
      </c>
      <c r="C27" s="34">
        <f>'7a'!C27/'7a'!$E27*100</f>
        <v>8.0019636720667648</v>
      </c>
      <c r="D27" s="34">
        <f>'7a'!D27/'7a'!$E27*100</f>
        <v>89.049800905471017</v>
      </c>
      <c r="E27" s="38">
        <f t="shared" si="0"/>
        <v>100.00000000000001</v>
      </c>
      <c r="F27" s="37">
        <f>'7a'!F27/'7a'!$I27*100</f>
        <v>9.6708860759493671</v>
      </c>
      <c r="G27" s="34">
        <f>'7a'!G27/'7a'!$I27*100</f>
        <v>20.202531645569621</v>
      </c>
      <c r="H27" s="34">
        <f>'7a'!H27/'7a'!$I27*100</f>
        <v>70.12658227848101</v>
      </c>
      <c r="I27" s="38">
        <f t="shared" si="1"/>
        <v>100</v>
      </c>
      <c r="J27" s="85">
        <f>'7a'!J27/'7a'!$M27*100</f>
        <v>15.507149026005182</v>
      </c>
      <c r="K27" s="86">
        <f>'7a'!K27/'7a'!$M27*100</f>
        <v>34.564821034449665</v>
      </c>
      <c r="L27" s="86">
        <f>'7a'!L27/'7a'!$M27*100</f>
        <v>49.928029939545141</v>
      </c>
      <c r="M27" s="38">
        <f t="shared" si="2"/>
        <v>99.999999999999986</v>
      </c>
    </row>
    <row r="28" spans="1:13">
      <c r="A28" s="16">
        <v>2003</v>
      </c>
      <c r="B28" s="37">
        <f>'7a'!B28/'7a'!$E28*100</f>
        <v>2.4769585253456223</v>
      </c>
      <c r="C28" s="34">
        <f>'7a'!C28/'7a'!$E28*100</f>
        <v>6.6884280593958012</v>
      </c>
      <c r="D28" s="34">
        <f>'7a'!D28/'7a'!$E28*100</f>
        <v>90.834613415258588</v>
      </c>
      <c r="E28" s="38">
        <f t="shared" si="0"/>
        <v>100.00000000000001</v>
      </c>
      <c r="F28" s="37">
        <f>'7a'!F28/'7a'!$I28*100</f>
        <v>9.0651558073654392</v>
      </c>
      <c r="G28" s="34">
        <f>'7a'!G28/'7a'!$I28*100</f>
        <v>18.186968838526912</v>
      </c>
      <c r="H28" s="34">
        <f>'7a'!H28/'7a'!$I28*100</f>
        <v>72.747875354107649</v>
      </c>
      <c r="I28" s="38">
        <f t="shared" si="1"/>
        <v>100</v>
      </c>
      <c r="J28" s="85">
        <f>'7a'!J28/'7a'!$M28*100</f>
        <v>15.506177569198353</v>
      </c>
      <c r="K28" s="86">
        <f>'7a'!K28/'7a'!$M28*100</f>
        <v>35.705392203811897</v>
      </c>
      <c r="L28" s="86">
        <f>'7a'!L28/'7a'!$M28*100</f>
        <v>48.788430226989753</v>
      </c>
      <c r="M28" s="38">
        <f t="shared" si="2"/>
        <v>100</v>
      </c>
    </row>
    <row r="29" spans="1:13">
      <c r="A29" s="16">
        <v>2004</v>
      </c>
      <c r="B29" s="37">
        <f>'7a'!B29/'7a'!$E29*100</f>
        <v>2.0583003593857772</v>
      </c>
      <c r="C29" s="34">
        <f>'7a'!C29/'7a'!$E29*100</f>
        <v>5.7029803608378407</v>
      </c>
      <c r="D29" s="34">
        <f>'7a'!D29/'7a'!$E29*100</f>
        <v>92.238719279776376</v>
      </c>
      <c r="E29" s="38">
        <f t="shared" si="0"/>
        <v>100</v>
      </c>
      <c r="F29" s="37">
        <f>'7a'!F29/'7a'!$I29*100</f>
        <v>8.4756097560975618</v>
      </c>
      <c r="G29" s="34">
        <f>'7a'!G29/'7a'!$I29*100</f>
        <v>16.829268292682929</v>
      </c>
      <c r="H29" s="34">
        <f>'7a'!H29/'7a'!$I29*100</f>
        <v>74.695121951219505</v>
      </c>
      <c r="I29" s="38">
        <f t="shared" si="1"/>
        <v>100</v>
      </c>
      <c r="J29" s="85">
        <f>'7a'!J29/'7a'!$M29*100</f>
        <v>15.107511868193241</v>
      </c>
      <c r="K29" s="86">
        <f>'7a'!K29/'7a'!$M29*100</f>
        <v>36.889137112538393</v>
      </c>
      <c r="L29" s="86">
        <f>'7a'!L29/'7a'!$M29*100</f>
        <v>48.003351019268365</v>
      </c>
      <c r="M29" s="38">
        <f t="shared" si="2"/>
        <v>100</v>
      </c>
    </row>
    <row r="30" spans="1:13">
      <c r="A30" s="16">
        <v>2005</v>
      </c>
      <c r="B30" s="37">
        <f>'7a'!B30/'7a'!$E30*100</f>
        <v>1.6707119741100322</v>
      </c>
      <c r="C30" s="34">
        <f>'7a'!C30/'7a'!$E30*100</f>
        <v>4.9190938511326863</v>
      </c>
      <c r="D30" s="34">
        <f>'7a'!D30/'7a'!$E30*100</f>
        <v>93.410194174757279</v>
      </c>
      <c r="E30" s="38">
        <f t="shared" si="0"/>
        <v>100</v>
      </c>
      <c r="F30" s="37">
        <f>'7a'!F30/'7a'!$I30*100</f>
        <v>7.7855775366943201</v>
      </c>
      <c r="G30" s="34">
        <f>'7a'!G30/'7a'!$I30*100</f>
        <v>16.14550095724314</v>
      </c>
      <c r="H30" s="34">
        <f>'7a'!H30/'7a'!$I30*100</f>
        <v>76.068921506062537</v>
      </c>
      <c r="I30" s="38">
        <f t="shared" si="1"/>
        <v>100</v>
      </c>
      <c r="J30" s="85">
        <f>'7a'!J30/'7a'!$M30*100</f>
        <v>14.149500764594764</v>
      </c>
      <c r="K30" s="86">
        <f>'7a'!K30/'7a'!$M30*100</f>
        <v>38.193757308626431</v>
      </c>
      <c r="L30" s="86">
        <f>'7a'!L30/'7a'!$M30*100</f>
        <v>47.656741926778793</v>
      </c>
      <c r="M30" s="38">
        <f t="shared" si="2"/>
        <v>99.999999999999986</v>
      </c>
    </row>
    <row r="31" spans="1:13">
      <c r="A31" s="16">
        <v>2006</v>
      </c>
      <c r="B31" s="37">
        <f>'7a'!B31/'7a'!$E31*100</f>
        <v>1.3977019379180242</v>
      </c>
      <c r="C31" s="34">
        <f>'7a'!C31/'7a'!$E31*100</f>
        <v>4.19739324301149</v>
      </c>
      <c r="D31" s="34">
        <f>'7a'!D31/'7a'!$E31*100</f>
        <v>94.404904819070495</v>
      </c>
      <c r="E31" s="38">
        <f t="shared" si="0"/>
        <v>100.00000000000001</v>
      </c>
      <c r="F31" s="37">
        <f>'7a'!F31/'7a'!$I31*100</f>
        <v>7.5870646766169152</v>
      </c>
      <c r="G31" s="34">
        <f>'7a'!G31/'7a'!$I31*100</f>
        <v>15.547263681592039</v>
      </c>
      <c r="H31" s="34">
        <f>'7a'!H31/'7a'!$I31*100</f>
        <v>76.865671641791039</v>
      </c>
      <c r="I31" s="38">
        <f t="shared" si="1"/>
        <v>100</v>
      </c>
      <c r="J31" s="85">
        <f>'7a'!J31/'7a'!$M31*100</f>
        <v>13.501756734147566</v>
      </c>
      <c r="K31" s="86">
        <f>'7a'!K31/'7a'!$M31*100</f>
        <v>38.087669399364223</v>
      </c>
      <c r="L31" s="86">
        <f>'7a'!L31/'7a'!$M31*100</f>
        <v>48.410573866488207</v>
      </c>
      <c r="M31" s="38">
        <f t="shared" si="2"/>
        <v>100</v>
      </c>
    </row>
    <row r="32" spans="1:13">
      <c r="A32" s="16">
        <v>2007</v>
      </c>
      <c r="B32" s="37">
        <f>'7a'!B32/'7a'!$E32*100</f>
        <v>1.6388557806912993</v>
      </c>
      <c r="C32" s="34">
        <f>'7a'!C32/'7a'!$E32*100</f>
        <v>4.7030194676201829</v>
      </c>
      <c r="D32" s="34">
        <f>'7a'!D32/'7a'!$E32*100</f>
        <v>93.658124751688518</v>
      </c>
      <c r="E32" s="38">
        <f t="shared" si="0"/>
        <v>100</v>
      </c>
      <c r="F32" s="37">
        <f>'7a'!F32/'7a'!$I32*100</f>
        <v>9.1022443890274314</v>
      </c>
      <c r="G32" s="34">
        <f>'7a'!G32/'7a'!$I32*100</f>
        <v>17.643391521197007</v>
      </c>
      <c r="H32" s="34">
        <f>'7a'!H32/'7a'!$I32*100</f>
        <v>73.254364089775564</v>
      </c>
      <c r="I32" s="38">
        <f t="shared" si="1"/>
        <v>100</v>
      </c>
      <c r="J32" s="85">
        <f>'7a'!J32/'7a'!$M32*100</f>
        <v>13.797678275290215</v>
      </c>
      <c r="K32" s="86">
        <f>'7a'!K32/'7a'!$M32*100</f>
        <v>40.199004975124382</v>
      </c>
      <c r="L32" s="86">
        <f>'7a'!L32/'7a'!$M32*100</f>
        <v>46.003316749585402</v>
      </c>
      <c r="M32" s="38">
        <f t="shared" si="2"/>
        <v>100</v>
      </c>
    </row>
    <row r="33" spans="1:13">
      <c r="A33" s="16">
        <v>2008</v>
      </c>
      <c r="B33" s="37">
        <f>'7a'!B33/'7a'!$E33*100</f>
        <v>1.8450381272329761</v>
      </c>
      <c r="C33" s="34">
        <f>'7a'!C33/'7a'!$E33*100</f>
        <v>4.9752039673652213</v>
      </c>
      <c r="D33" s="34">
        <f>'7a'!D33/'7a'!$E33*100</f>
        <v>93.1797579054018</v>
      </c>
      <c r="E33" s="38">
        <f t="shared" si="0"/>
        <v>100</v>
      </c>
      <c r="F33" s="37">
        <f>'7a'!F33/'7a'!$I33*100</f>
        <v>10.344827586206897</v>
      </c>
      <c r="G33" s="34">
        <f>'7a'!G33/'7a'!$I33*100</f>
        <v>18.760958503798946</v>
      </c>
      <c r="H33" s="34">
        <f>'7a'!H33/'7a'!$I33*100</f>
        <v>70.89421390999415</v>
      </c>
      <c r="I33" s="38">
        <f t="shared" si="1"/>
        <v>100</v>
      </c>
      <c r="J33" s="85">
        <f>'7a'!J33/'7a'!$M33*100</f>
        <v>13.591532355063748</v>
      </c>
      <c r="K33" s="86">
        <f>'7a'!K33/'7a'!$M33*100</f>
        <v>41.175527223157729</v>
      </c>
      <c r="L33" s="86">
        <f>'7a'!L33/'7a'!$M33*100</f>
        <v>45.23294042177853</v>
      </c>
      <c r="M33" s="38">
        <f t="shared" si="2"/>
        <v>100</v>
      </c>
    </row>
    <row r="34" spans="1:13">
      <c r="A34" s="16">
        <v>2009</v>
      </c>
      <c r="B34" s="37">
        <f>'7a'!B34/'7a'!$E34*100</f>
        <v>1.9591496456857025</v>
      </c>
      <c r="C34" s="34">
        <f>'7a'!C34/'7a'!$E34*100</f>
        <v>5.0556779610552018</v>
      </c>
      <c r="D34" s="34">
        <f>'7a'!D34/'7a'!$E34*100</f>
        <v>92.985172393259091</v>
      </c>
      <c r="E34" s="38">
        <f t="shared" si="0"/>
        <v>100</v>
      </c>
      <c r="F34" s="37">
        <f>'7a'!F34/'7a'!$I34*100</f>
        <v>10.84848484848485</v>
      </c>
      <c r="G34" s="34">
        <f>'7a'!G34/'7a'!$I34*100</f>
        <v>18.363636363636363</v>
      </c>
      <c r="H34" s="34">
        <f>'7a'!H34/'7a'!$I34*100</f>
        <v>70.787878787878782</v>
      </c>
      <c r="I34" s="38">
        <f t="shared" si="1"/>
        <v>100</v>
      </c>
      <c r="J34" s="85">
        <f>'7a'!J34/'7a'!$M34*100</f>
        <v>13.367775266386825</v>
      </c>
      <c r="K34" s="86">
        <f>'7a'!K34/'7a'!$M34*100</f>
        <v>42.266709719082982</v>
      </c>
      <c r="L34" s="86">
        <f>'7a'!L34/'7a'!$M34*100</f>
        <v>44.365515014530189</v>
      </c>
      <c r="M34" s="38">
        <f t="shared" si="2"/>
        <v>100</v>
      </c>
    </row>
    <row r="35" spans="1:13">
      <c r="A35" s="17">
        <v>2010</v>
      </c>
      <c r="B35" s="39">
        <f>'7a'!B35/'7a'!$E35*100</f>
        <v>2.4122200718827758</v>
      </c>
      <c r="C35" s="40">
        <f>'7a'!C35/'7a'!$E35*100</f>
        <v>5.5363560962123302</v>
      </c>
      <c r="D35" s="40">
        <f>'7a'!D35/'7a'!$E35*100</f>
        <v>92.051423831904884</v>
      </c>
      <c r="E35" s="41">
        <f t="shared" si="0"/>
        <v>99.999999999999986</v>
      </c>
      <c r="F35" s="39">
        <f>'7a'!F35/'7a'!$I35*100</f>
        <v>12.770012706480305</v>
      </c>
      <c r="G35" s="40">
        <f>'7a'!G35/'7a'!$I35*100</f>
        <v>18.869123252858959</v>
      </c>
      <c r="H35" s="40">
        <f>'7a'!H35/'7a'!$I35*100</f>
        <v>68.360864040660744</v>
      </c>
      <c r="I35" s="41">
        <f t="shared" si="1"/>
        <v>100</v>
      </c>
      <c r="J35" s="88">
        <f>'7a'!J35/'7a'!$M35*100</f>
        <v>14.736584570216928</v>
      </c>
      <c r="K35" s="89">
        <f>'7a'!K35/'7a'!$M35*100</f>
        <v>43.4757788289023</v>
      </c>
      <c r="L35" s="89">
        <f>'7a'!L35/'7a'!$M35*100</f>
        <v>41.787636600880766</v>
      </c>
      <c r="M35" s="41">
        <f t="shared" si="2"/>
        <v>100</v>
      </c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2">
        <f>(POWER(B15/B6,1/($A15-$A6))-1)*100</f>
        <v>-12.027834147089111</v>
      </c>
      <c r="C38" s="83">
        <f t="shared" ref="C38:K38" si="3">(POWER(C15/C6,1/($A15-$A6))-1)*100</f>
        <v>-9.9491425384496175</v>
      </c>
      <c r="D38" s="83">
        <f t="shared" si="3"/>
        <v>5.3261906222785704</v>
      </c>
      <c r="E38" s="84"/>
      <c r="F38" s="82">
        <f t="shared" si="3"/>
        <v>-4.3663482271676042</v>
      </c>
      <c r="G38" s="83">
        <f t="shared" si="3"/>
        <v>8.4873575089162934</v>
      </c>
      <c r="H38" s="83">
        <f>(POWER(H15/H6,1/($A15-$A6))-1)*100</f>
        <v>2.4959817054748257E-2</v>
      </c>
      <c r="I38" s="84"/>
      <c r="J38" s="82">
        <f t="shared" si="3"/>
        <v>1.6084765723857197</v>
      </c>
      <c r="K38" s="83">
        <f t="shared" si="3"/>
        <v>5.2136180929631015</v>
      </c>
      <c r="L38" s="83">
        <f t="shared" ref="L38" si="4">(POWER(L15/L6,1/($A15-$A6))-1)*100</f>
        <v>-1.6012007086480984</v>
      </c>
      <c r="M38" s="205"/>
    </row>
    <row r="39" spans="1:13">
      <c r="A39" s="16" t="s">
        <v>71</v>
      </c>
      <c r="B39" s="37">
        <f>(POWER(B$25/B15,1/($A$25-$A$15))-1)*100</f>
        <v>-5.1889541384413267</v>
      </c>
      <c r="C39" s="43">
        <f t="shared" ref="C39:K39" si="5">(POWER(C$25/C15,1/($A$25-$A$15))-1)*100</f>
        <v>0.39867496078085374</v>
      </c>
      <c r="D39" s="43">
        <f t="shared" si="5"/>
        <v>0.29999329587531154</v>
      </c>
      <c r="E39" s="47"/>
      <c r="F39" s="46">
        <f t="shared" si="5"/>
        <v>15.065128029482743</v>
      </c>
      <c r="G39" s="43">
        <f t="shared" si="5"/>
        <v>25.028965679238247</v>
      </c>
      <c r="H39" s="43">
        <f t="shared" si="5"/>
        <v>-4.443646266870827</v>
      </c>
      <c r="I39" s="47"/>
      <c r="J39" s="46">
        <f t="shared" si="5"/>
        <v>-1.1598290631056773</v>
      </c>
      <c r="K39" s="43">
        <f t="shared" si="5"/>
        <v>5.6424773777736581</v>
      </c>
      <c r="L39" s="43">
        <f t="shared" ref="L39" si="6">(POWER(L$25/L15,1/($A$25-$A$15))-1)*100</f>
        <v>-2.0927717777813326</v>
      </c>
      <c r="M39" s="206"/>
    </row>
    <row r="40" spans="1:13">
      <c r="A40" s="16" t="s">
        <v>69</v>
      </c>
      <c r="B40" s="37">
        <f>(POWER(B$35/B25,1/($A$35-$A$25))-1)*100</f>
        <v>-5.3002907032955733</v>
      </c>
      <c r="C40" s="43">
        <f t="shared" ref="C40:K40" si="7">(POWER(C$35/C25,1/($A$35-$A$25))-1)*100</f>
        <v>-6.0629626416380926</v>
      </c>
      <c r="D40" s="43">
        <f t="shared" si="7"/>
        <v>0.74179829493210558</v>
      </c>
      <c r="E40" s="47"/>
      <c r="F40" s="46">
        <f t="shared" si="7"/>
        <v>-0.85107839547778896</v>
      </c>
      <c r="G40" s="43">
        <f t="shared" si="7"/>
        <v>-3.3737232655065785</v>
      </c>
      <c r="H40" s="43">
        <f t="shared" si="7"/>
        <v>1.3986812372901669</v>
      </c>
      <c r="I40" s="47"/>
      <c r="J40" s="46">
        <f t="shared" si="7"/>
        <v>-1.7173888269191862</v>
      </c>
      <c r="K40" s="43">
        <f t="shared" si="7"/>
        <v>2.8515468664014776</v>
      </c>
      <c r="L40" s="43">
        <f t="shared" ref="L40" si="8">(POWER(L$35/L25,1/($A$35-$A$25))-1)*100</f>
        <v>-1.7104093107748852</v>
      </c>
      <c r="M40" s="206"/>
    </row>
    <row r="41" spans="1:13">
      <c r="A41" s="17" t="s">
        <v>70</v>
      </c>
      <c r="B41" s="39">
        <f>(POWER(B35/B6,1/($A$35-$A$6))-1)*100</f>
        <v>-7.4039350889129611</v>
      </c>
      <c r="C41" s="49">
        <f t="shared" ref="C41:K41" si="9">(POWER(C35/C6,1/($A$35-$A$6))-1)*100</f>
        <v>-5.1352654831769984</v>
      </c>
      <c r="D41" s="49">
        <f t="shared" si="9"/>
        <v>1.9880829275227496</v>
      </c>
      <c r="E41" s="50"/>
      <c r="F41" s="48">
        <f t="shared" si="9"/>
        <v>3.2090354171998792</v>
      </c>
      <c r="G41" s="49">
        <f t="shared" si="9"/>
        <v>9.4692402638807174</v>
      </c>
      <c r="H41" s="49">
        <f t="shared" si="9"/>
        <v>-1.0748545103451801</v>
      </c>
      <c r="I41" s="50"/>
      <c r="J41" s="48">
        <f t="shared" si="9"/>
        <v>-0.5031453604071312</v>
      </c>
      <c r="K41" s="49">
        <f t="shared" si="9"/>
        <v>4.5395789246100104</v>
      </c>
      <c r="L41" s="49">
        <f t="shared" ref="L41" si="10">(POWER(L35/L6,1/($A$35-$A$6))-1)*100</f>
        <v>-1.8085929800066514</v>
      </c>
      <c r="M41" s="210"/>
    </row>
    <row r="43" spans="1:13">
      <c r="A43" s="389" t="s">
        <v>77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0"/>
    </row>
    <row r="44" spans="1:13">
      <c r="A44" s="15" t="s">
        <v>53</v>
      </c>
      <c r="B44" s="82">
        <f>B15-B6</f>
        <v>-15.365868438095312</v>
      </c>
      <c r="C44" s="83">
        <f t="shared" ref="C44:L44" si="11">C15-C6</f>
        <v>-15.593553890843534</v>
      </c>
      <c r="D44" s="83">
        <f t="shared" si="11"/>
        <v>30.959422328938849</v>
      </c>
      <c r="E44" s="84"/>
      <c r="F44" s="82">
        <f t="shared" si="11"/>
        <v>-1.6906856322914718</v>
      </c>
      <c r="G44" s="83">
        <f t="shared" si="11"/>
        <v>1.4803897103167174</v>
      </c>
      <c r="H44" s="83">
        <f t="shared" si="11"/>
        <v>0.21029592197476177</v>
      </c>
      <c r="I44" s="84"/>
      <c r="J44" s="82">
        <f t="shared" si="11"/>
        <v>2.634336098860981</v>
      </c>
      <c r="K44" s="83">
        <f t="shared" si="11"/>
        <v>6.9583756212897701</v>
      </c>
      <c r="L44" s="83">
        <f t="shared" si="11"/>
        <v>-9.5927117201507457</v>
      </c>
      <c r="M44" s="84"/>
    </row>
    <row r="45" spans="1:13">
      <c r="A45" s="16" t="s">
        <v>71</v>
      </c>
      <c r="B45" s="85">
        <f>B25-B15</f>
        <v>-2.9265799665082666</v>
      </c>
      <c r="C45" s="86">
        <f t="shared" ref="C45:L45" si="12">C25-C15</f>
        <v>0.40364432419038287</v>
      </c>
      <c r="D45" s="86">
        <f>D25-D15</f>
        <v>2.5229356423178899</v>
      </c>
      <c r="E45" s="87"/>
      <c r="F45" s="85">
        <f t="shared" si="12"/>
        <v>10.490692130158005</v>
      </c>
      <c r="G45" s="86">
        <f t="shared" si="12"/>
        <v>23.745952640611392</v>
      </c>
      <c r="H45" s="86">
        <f t="shared" si="12"/>
        <v>-34.236644770769409</v>
      </c>
      <c r="I45" s="87"/>
      <c r="J45" s="85">
        <f t="shared" si="12"/>
        <v>-2.1683708862390496</v>
      </c>
      <c r="K45" s="86">
        <f t="shared" si="12"/>
        <v>13.863749982714666</v>
      </c>
      <c r="L45" s="86">
        <f t="shared" si="12"/>
        <v>-11.695379096475612</v>
      </c>
      <c r="M45" s="87"/>
    </row>
    <row r="46" spans="1:13">
      <c r="A46" s="16" t="s">
        <v>69</v>
      </c>
      <c r="B46" s="85">
        <f>B35-B25</f>
        <v>-1.7462202045239374</v>
      </c>
      <c r="C46" s="86">
        <f t="shared" ref="C46:L46" si="13">C35-C25</f>
        <v>-4.8116202117837208</v>
      </c>
      <c r="D46" s="86">
        <f t="shared" si="13"/>
        <v>6.5578404163076414</v>
      </c>
      <c r="E46" s="87"/>
      <c r="F46" s="85">
        <f t="shared" si="13"/>
        <v>-1.1394828424811188</v>
      </c>
      <c r="G46" s="86">
        <f t="shared" si="13"/>
        <v>-7.7258322367552843</v>
      </c>
      <c r="H46" s="86">
        <f t="shared" si="13"/>
        <v>8.8653150792364173</v>
      </c>
      <c r="I46" s="87"/>
      <c r="J46" s="85">
        <f t="shared" si="13"/>
        <v>-2.787283615800936</v>
      </c>
      <c r="K46" s="86">
        <f t="shared" si="13"/>
        <v>10.655739818533753</v>
      </c>
      <c r="L46" s="86">
        <f t="shared" si="13"/>
        <v>-7.8684562027328298</v>
      </c>
      <c r="M46" s="87"/>
    </row>
    <row r="47" spans="1:13">
      <c r="A47" s="17" t="s">
        <v>70</v>
      </c>
      <c r="B47" s="88">
        <f>B35-B6</f>
        <v>-20.038668609127516</v>
      </c>
      <c r="C47" s="89">
        <f t="shared" ref="C47:L47" si="14">C35-C6</f>
        <v>-20.001529778436872</v>
      </c>
      <c r="D47" s="89">
        <f t="shared" si="14"/>
        <v>40.040198387564381</v>
      </c>
      <c r="E47" s="90"/>
      <c r="F47" s="88">
        <f t="shared" si="14"/>
        <v>7.6605236553854139</v>
      </c>
      <c r="G47" s="89">
        <f>G35-G6</f>
        <v>17.500510114172826</v>
      </c>
      <c r="H47" s="89">
        <f t="shared" si="14"/>
        <v>-25.16103376955823</v>
      </c>
      <c r="I47" s="90"/>
      <c r="J47" s="88">
        <f t="shared" si="14"/>
        <v>-2.3213184031790046</v>
      </c>
      <c r="K47" s="89">
        <f t="shared" si="14"/>
        <v>31.477865422538187</v>
      </c>
      <c r="L47" s="89">
        <f t="shared" si="14"/>
        <v>-29.156547019359188</v>
      </c>
      <c r="M47" s="90"/>
    </row>
    <row r="49" spans="1:1">
      <c r="A49" s="1" t="s">
        <v>74</v>
      </c>
    </row>
  </sheetData>
  <mergeCells count="5">
    <mergeCell ref="A43:M43"/>
    <mergeCell ref="B4:E4"/>
    <mergeCell ref="F4:I4"/>
    <mergeCell ref="J4:M4"/>
    <mergeCell ref="A37:M37"/>
  </mergeCells>
  <pageMargins left="0.7" right="0.7" top="0.75" bottom="0.75" header="0.3" footer="0.3"/>
  <pageSetup scale="6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52"/>
  <sheetViews>
    <sheetView view="pageBreakPreview" zoomScale="60" zoomScaleNormal="100" workbookViewId="0"/>
  </sheetViews>
  <sheetFormatPr defaultRowHeight="15"/>
  <cols>
    <col min="1" max="1" width="9.7109375" style="1" customWidth="1"/>
    <col min="2" max="2" width="11.42578125" style="1" customWidth="1"/>
    <col min="3" max="3" width="9.140625" style="1"/>
    <col min="4" max="5" width="18.7109375" style="1" customWidth="1"/>
    <col min="6" max="6" width="11.7109375" style="1" customWidth="1"/>
    <col min="7" max="7" width="10.140625" style="1" bestFit="1" customWidth="1"/>
    <col min="8" max="9" width="18" style="1" customWidth="1"/>
    <col min="10" max="10" width="9.85546875" style="1" customWidth="1"/>
    <col min="11" max="11" width="9.140625" style="1"/>
    <col min="12" max="12" width="18.85546875" style="1" customWidth="1"/>
    <col min="13" max="13" width="13.5703125" style="1" customWidth="1"/>
    <col min="14" max="16384" width="9.140625" style="1"/>
  </cols>
  <sheetData>
    <row r="1" spans="1:13">
      <c r="A1" s="2" t="s">
        <v>132</v>
      </c>
    </row>
    <row r="4" spans="1:13">
      <c r="B4" s="378" t="s">
        <v>3</v>
      </c>
      <c r="C4" s="379"/>
      <c r="D4" s="379"/>
      <c r="E4" s="380"/>
      <c r="F4" s="378" t="s">
        <v>4</v>
      </c>
      <c r="G4" s="379"/>
      <c r="H4" s="379"/>
      <c r="I4" s="380"/>
      <c r="J4" s="377" t="s">
        <v>42</v>
      </c>
      <c r="K4" s="375"/>
      <c r="L4" s="375"/>
      <c r="M4" s="376"/>
    </row>
    <row r="5" spans="1:13" ht="30">
      <c r="B5" s="3" t="s">
        <v>0</v>
      </c>
      <c r="C5" s="4" t="s">
        <v>1</v>
      </c>
      <c r="D5" s="4" t="s">
        <v>2</v>
      </c>
      <c r="E5" s="5" t="s">
        <v>72</v>
      </c>
      <c r="F5" s="3" t="s">
        <v>0</v>
      </c>
      <c r="G5" s="4" t="s">
        <v>1</v>
      </c>
      <c r="H5" s="4" t="s">
        <v>2</v>
      </c>
      <c r="I5" s="5" t="s">
        <v>72</v>
      </c>
      <c r="J5" s="3" t="s">
        <v>0</v>
      </c>
      <c r="K5" s="4" t="s">
        <v>1</v>
      </c>
      <c r="L5" s="4" t="s">
        <v>2</v>
      </c>
      <c r="M5" s="5" t="s">
        <v>72</v>
      </c>
    </row>
    <row r="6" spans="1:13">
      <c r="A6" s="27">
        <v>1981</v>
      </c>
      <c r="B6" s="35">
        <f>'1a'!B6/'1a'!$E6*100</f>
        <v>54.848056537102472</v>
      </c>
      <c r="C6" s="30">
        <f>'1a'!C6/'1a'!$E6*100</f>
        <v>37.194346289752644</v>
      </c>
      <c r="D6" s="30">
        <f>'1a'!D6/'1a'!$E6*100</f>
        <v>7.957597173144876</v>
      </c>
      <c r="E6" s="36">
        <f>SUM(B6:D6)</f>
        <v>100</v>
      </c>
      <c r="F6" s="30">
        <f>'1a'!F6/'1a'!$I6*100</f>
        <v>76.475579860456349</v>
      </c>
      <c r="G6" s="30">
        <f>'1a'!G6/'1a'!$I6*100</f>
        <v>15.894776541580239</v>
      </c>
      <c r="H6" s="30">
        <f>'1a'!H6/'1a'!$I6*100</f>
        <v>7.6296435979634172</v>
      </c>
      <c r="I6" s="36">
        <f>SUM(F6:H6)</f>
        <v>100.00000000000001</v>
      </c>
      <c r="J6" s="82">
        <f>'1a'!J6/'1a'!$M6*100</f>
        <v>44.295845997973657</v>
      </c>
      <c r="K6" s="83">
        <f>'1a'!K6/'1a'!$M6*100</f>
        <v>16.145896656534951</v>
      </c>
      <c r="L6" s="83">
        <f>'1a'!L6/'1a'!$M6*100</f>
        <v>39.558257345491384</v>
      </c>
      <c r="M6" s="36">
        <f>SUM(J6:L6)</f>
        <v>100</v>
      </c>
    </row>
    <row r="7" spans="1:13">
      <c r="A7" s="28">
        <v>1982</v>
      </c>
      <c r="B7" s="37">
        <f>'1a'!B7/'1a'!$E7*100</f>
        <v>43.217450579413772</v>
      </c>
      <c r="C7" s="34">
        <f>'1a'!C7/'1a'!$E7*100</f>
        <v>50.37491479209271</v>
      </c>
      <c r="D7" s="34">
        <f>'1a'!D7/'1a'!$E7*100</f>
        <v>6.4076346284935246</v>
      </c>
      <c r="E7" s="38">
        <f t="shared" ref="E7:E36" si="0">SUM(B7:D7)</f>
        <v>100</v>
      </c>
      <c r="F7" s="34">
        <f>'1a'!F7/'1a'!$I7*100</f>
        <v>66.359162183815954</v>
      </c>
      <c r="G7" s="34">
        <f>'1a'!G7/'1a'!$I7*100</f>
        <v>26.892526038686043</v>
      </c>
      <c r="H7" s="34">
        <f>'1a'!H7/'1a'!$I7*100</f>
        <v>6.7483117774979968</v>
      </c>
      <c r="I7" s="38">
        <f t="shared" ref="I7:I36" si="1">SUM(F7:H7)</f>
        <v>100</v>
      </c>
      <c r="J7" s="85">
        <f>'1a'!J7/'1a'!$M7*100</f>
        <v>39.700147501565937</v>
      </c>
      <c r="K7" s="86">
        <f>'1a'!K7/'1a'!$M7*100</f>
        <v>20.225899658523772</v>
      </c>
      <c r="L7" s="86">
        <f>'1a'!L7/'1a'!$M7*100</f>
        <v>40.073952839910284</v>
      </c>
      <c r="M7" s="38">
        <f t="shared" ref="M7:M36" si="2">SUM(J7:L7)</f>
        <v>100</v>
      </c>
    </row>
    <row r="8" spans="1:13">
      <c r="A8" s="28">
        <v>1983</v>
      </c>
      <c r="B8" s="37">
        <f>'1a'!B8/'1a'!$E8*100</f>
        <v>43.804326962625787</v>
      </c>
      <c r="C8" s="34">
        <f>'1a'!C8/'1a'!$E8*100</f>
        <v>49.69151882420686</v>
      </c>
      <c r="D8" s="34">
        <f>'1a'!D8/'1a'!$E8*100</f>
        <v>6.5041542131673475</v>
      </c>
      <c r="E8" s="38">
        <f t="shared" si="0"/>
        <v>100</v>
      </c>
      <c r="F8" s="34">
        <f>'1a'!F8/'1a'!$I8*100</f>
        <v>64.808418163101905</v>
      </c>
      <c r="G8" s="34">
        <f>'1a'!G8/'1a'!$I8*100</f>
        <v>28.578291204392087</v>
      </c>
      <c r="H8" s="34">
        <f>'1a'!H8/'1a'!$I8*100</f>
        <v>6.613290632506005</v>
      </c>
      <c r="I8" s="38">
        <f t="shared" si="1"/>
        <v>100</v>
      </c>
      <c r="J8" s="85">
        <f>'1a'!J8/'1a'!$M8*100</f>
        <v>44.25094459042176</v>
      </c>
      <c r="K8" s="86">
        <f>'1a'!K8/'1a'!$M8*100</f>
        <v>22.739216325591208</v>
      </c>
      <c r="L8" s="86">
        <f>'1a'!L8/'1a'!$M8*100</f>
        <v>33.009839083987039</v>
      </c>
      <c r="M8" s="38">
        <f t="shared" si="2"/>
        <v>100</v>
      </c>
    </row>
    <row r="9" spans="1:13">
      <c r="A9" s="28">
        <v>1984</v>
      </c>
      <c r="B9" s="37">
        <f>'1a'!B9/'1a'!$E9*100</f>
        <v>36.324794404007939</v>
      </c>
      <c r="C9" s="34">
        <f>'1a'!C9/'1a'!$E9*100</f>
        <v>58.090556763399178</v>
      </c>
      <c r="D9" s="34">
        <f>'1a'!D9/'1a'!$E9*100</f>
        <v>5.5846488325928725</v>
      </c>
      <c r="E9" s="38">
        <f t="shared" si="0"/>
        <v>100</v>
      </c>
      <c r="F9" s="34">
        <f>'1a'!F9/'1a'!$I9*100</f>
        <v>62.2156822485342</v>
      </c>
      <c r="G9" s="34">
        <f>'1a'!G9/'1a'!$I9*100</f>
        <v>31.213925581183123</v>
      </c>
      <c r="H9" s="34">
        <f>'1a'!H9/'1a'!$I9*100</f>
        <v>6.5703921702826626</v>
      </c>
      <c r="I9" s="38">
        <f t="shared" si="1"/>
        <v>99.999999999999986</v>
      </c>
      <c r="J9" s="85">
        <f>'1a'!J9/'1a'!$M9*100</f>
        <v>42.64351511629895</v>
      </c>
      <c r="K9" s="86">
        <f>'1a'!K9/'1a'!$M9*100</f>
        <v>25.165347871413189</v>
      </c>
      <c r="L9" s="86">
        <f>'1a'!L9/'1a'!$M9*100</f>
        <v>32.191137012287868</v>
      </c>
      <c r="M9" s="38">
        <f t="shared" si="2"/>
        <v>100</v>
      </c>
    </row>
    <row r="10" spans="1:13">
      <c r="A10" s="28">
        <v>1985</v>
      </c>
      <c r="B10" s="37">
        <f>'1a'!B10/'1a'!$E10*100</f>
        <v>52.238535242525764</v>
      </c>
      <c r="C10" s="34">
        <f>'1a'!C10/'1a'!$E10*100</f>
        <v>26.46657134930966</v>
      </c>
      <c r="D10" s="34">
        <f>'1a'!D10/'1a'!$E10*100</f>
        <v>21.294893408164565</v>
      </c>
      <c r="E10" s="38">
        <f t="shared" si="0"/>
        <v>100</v>
      </c>
      <c r="F10" s="34">
        <f>'1a'!F10/'1a'!$I10*100</f>
        <v>45.029464943413913</v>
      </c>
      <c r="G10" s="34">
        <f>'1a'!G10/'1a'!$I10*100</f>
        <v>38.754771311859642</v>
      </c>
      <c r="H10" s="34">
        <f>'1a'!H10/'1a'!$I10*100</f>
        <v>16.215763744726445</v>
      </c>
      <c r="I10" s="38">
        <f t="shared" si="1"/>
        <v>100</v>
      </c>
      <c r="J10" s="85">
        <f>'1a'!J10/'1a'!$M10*100</f>
        <v>41.463725818541377</v>
      </c>
      <c r="K10" s="86">
        <f>'1a'!K10/'1a'!$M10*100</f>
        <v>27.679696346267324</v>
      </c>
      <c r="L10" s="86">
        <f>'1a'!L10/'1a'!$M10*100</f>
        <v>30.856577835191295</v>
      </c>
      <c r="M10" s="38">
        <f t="shared" si="2"/>
        <v>100</v>
      </c>
    </row>
    <row r="11" spans="1:13">
      <c r="A11" s="28">
        <v>1986</v>
      </c>
      <c r="B11" s="37">
        <f>'1a'!B11/'1a'!$E11*100</f>
        <v>40.998162479713507</v>
      </c>
      <c r="C11" s="34">
        <f>'1a'!C11/'1a'!$E11*100</f>
        <v>50.962350952962169</v>
      </c>
      <c r="D11" s="34">
        <f>'1a'!D11/'1a'!$E11*100</f>
        <v>8.0394865673243299</v>
      </c>
      <c r="E11" s="38">
        <f t="shared" si="0"/>
        <v>100</v>
      </c>
      <c r="F11" s="34">
        <f>'1a'!F11/'1a'!$I11*100</f>
        <v>47.756766777901369</v>
      </c>
      <c r="G11" s="34">
        <f>'1a'!G11/'1a'!$I11*100</f>
        <v>38.281851630016263</v>
      </c>
      <c r="H11" s="34">
        <f>'1a'!H11/'1a'!$I11*100</f>
        <v>13.96138159208237</v>
      </c>
      <c r="I11" s="38">
        <f t="shared" si="1"/>
        <v>100</v>
      </c>
      <c r="J11" s="85">
        <f>'1a'!J11/'1a'!$M11*100</f>
        <v>38.829536190843953</v>
      </c>
      <c r="K11" s="86">
        <f>'1a'!K11/'1a'!$M11*100</f>
        <v>30.435777520344388</v>
      </c>
      <c r="L11" s="86">
        <f>'1a'!L11/'1a'!$M11*100</f>
        <v>30.734686288811659</v>
      </c>
      <c r="M11" s="38">
        <f t="shared" si="2"/>
        <v>100</v>
      </c>
    </row>
    <row r="12" spans="1:13">
      <c r="A12" s="28">
        <v>1987</v>
      </c>
      <c r="B12" s="37">
        <f>'1a'!B12/'1a'!$E12*100</f>
        <v>36.519632583022101</v>
      </c>
      <c r="C12" s="34">
        <f>'1a'!C12/'1a'!$E12*100</f>
        <v>58.44100131220349</v>
      </c>
      <c r="D12" s="34">
        <f>'1a'!D12/'1a'!$E12*100</f>
        <v>5.0393661047744027</v>
      </c>
      <c r="E12" s="38">
        <f t="shared" si="0"/>
        <v>99.999999999999986</v>
      </c>
      <c r="F12" s="34">
        <f>'1a'!F12/'1a'!$I12*100</f>
        <v>55.517842613041957</v>
      </c>
      <c r="G12" s="34">
        <f>'1a'!G12/'1a'!$I12*100</f>
        <v>37.672904800650933</v>
      </c>
      <c r="H12" s="34">
        <f>'1a'!H12/'1a'!$I12*100</f>
        <v>6.8092525863071014</v>
      </c>
      <c r="I12" s="38">
        <f t="shared" si="1"/>
        <v>99.999999999999986</v>
      </c>
      <c r="J12" s="85">
        <f>'1a'!J12/'1a'!$M12*100</f>
        <v>42.122329815803255</v>
      </c>
      <c r="K12" s="86">
        <f>'1a'!K12/'1a'!$M12*100</f>
        <v>27.706399527529225</v>
      </c>
      <c r="L12" s="86">
        <f>'1a'!L12/'1a'!$M12*100</f>
        <v>30.17127065666752</v>
      </c>
      <c r="M12" s="38">
        <f t="shared" si="2"/>
        <v>100</v>
      </c>
    </row>
    <row r="13" spans="1:13">
      <c r="A13" s="28">
        <v>1988</v>
      </c>
      <c r="B13" s="37">
        <f>'1a'!B13/'1a'!$E13*100</f>
        <v>24.160337126851552</v>
      </c>
      <c r="C13" s="34">
        <f>'1a'!C13/'1a'!$E13*100</f>
        <v>74.579222286709239</v>
      </c>
      <c r="D13" s="34">
        <f>'1a'!D13/'1a'!$E13*100</f>
        <v>1.2604405864392239</v>
      </c>
      <c r="E13" s="38">
        <f t="shared" si="0"/>
        <v>100.00000000000001</v>
      </c>
      <c r="F13" s="34">
        <f>'1a'!F13/'1a'!$I13*100</f>
        <v>58.080263551961664</v>
      </c>
      <c r="G13" s="34">
        <f>'1a'!G13/'1a'!$I13*100</f>
        <v>39.02665468703205</v>
      </c>
      <c r="H13" s="34">
        <f>'1a'!H13/'1a'!$I13*100</f>
        <v>2.8930817610062891</v>
      </c>
      <c r="I13" s="38">
        <f t="shared" si="1"/>
        <v>100</v>
      </c>
      <c r="J13" s="85">
        <f>'1a'!J13/'1a'!$M13*100</f>
        <v>33.514021851687481</v>
      </c>
      <c r="K13" s="86">
        <f>'1a'!K13/'1a'!$M13*100</f>
        <v>32.772247934233604</v>
      </c>
      <c r="L13" s="86">
        <f>'1a'!L13/'1a'!$M13*100</f>
        <v>33.713730214078915</v>
      </c>
      <c r="M13" s="38">
        <f t="shared" si="2"/>
        <v>100</v>
      </c>
    </row>
    <row r="14" spans="1:13">
      <c r="A14" s="28">
        <v>1989</v>
      </c>
      <c r="B14" s="37">
        <f>'1a'!B14/'1a'!$E14*100</f>
        <v>32.225681962995466</v>
      </c>
      <c r="C14" s="34">
        <f>'1a'!C14/'1a'!$E14*100</f>
        <v>62.966614169441804</v>
      </c>
      <c r="D14" s="34">
        <f>'1a'!D14/'1a'!$E14*100</f>
        <v>4.8077038675627266</v>
      </c>
      <c r="E14" s="38">
        <f t="shared" si="0"/>
        <v>99.999999999999986</v>
      </c>
      <c r="F14" s="34">
        <f>'1a'!F14/'1a'!$I14*100</f>
        <v>40.162255404021352</v>
      </c>
      <c r="G14" s="34">
        <f>'1a'!G14/'1a'!$I14*100</f>
        <v>39.202738396851927</v>
      </c>
      <c r="H14" s="34">
        <f>'1a'!H14/'1a'!$I14*100</f>
        <v>20.635006199126732</v>
      </c>
      <c r="I14" s="38">
        <f t="shared" si="1"/>
        <v>100.00000000000001</v>
      </c>
      <c r="J14" s="85">
        <f>'1a'!J14/'1a'!$M14*100</f>
        <v>33.224253724244207</v>
      </c>
      <c r="K14" s="86">
        <f>'1a'!K14/'1a'!$M14*100</f>
        <v>33.247084340100066</v>
      </c>
      <c r="L14" s="86">
        <f>'1a'!L14/'1a'!$M14*100</f>
        <v>33.528661935655713</v>
      </c>
      <c r="M14" s="38">
        <f t="shared" si="2"/>
        <v>100</v>
      </c>
    </row>
    <row r="15" spans="1:13">
      <c r="A15" s="28">
        <v>1990</v>
      </c>
      <c r="B15" s="37">
        <f>'1a'!B15/'1a'!$E15*100</f>
        <v>1.22332950044717</v>
      </c>
      <c r="C15" s="34">
        <f>'1a'!C15/'1a'!$E15*100</f>
        <v>95.58898684042417</v>
      </c>
      <c r="D15" s="34">
        <f>'1a'!D15/'1a'!$E15*100</f>
        <v>3.1876836591286573</v>
      </c>
      <c r="E15" s="38">
        <f t="shared" si="0"/>
        <v>99.999999999999986</v>
      </c>
      <c r="F15" s="34">
        <f>'1a'!F15/'1a'!$I15*100</f>
        <v>45.672938810686588</v>
      </c>
      <c r="G15" s="34">
        <f>'1a'!G15/'1a'!$I15*100</f>
        <v>50.81873024992818</v>
      </c>
      <c r="H15" s="34">
        <f>'1a'!H15/'1a'!$I15*100</f>
        <v>3.508330939385234</v>
      </c>
      <c r="I15" s="38">
        <f t="shared" si="1"/>
        <v>100</v>
      </c>
      <c r="J15" s="85">
        <f>'1a'!J15/'1a'!$M15*100</f>
        <v>28.820592680804285</v>
      </c>
      <c r="K15" s="86">
        <f>'1a'!K15/'1a'!$M15*100</f>
        <v>36.312920807951265</v>
      </c>
      <c r="L15" s="86">
        <f>'1a'!L15/'1a'!$M15*100</f>
        <v>34.866486511244446</v>
      </c>
      <c r="M15" s="38">
        <f t="shared" si="2"/>
        <v>100</v>
      </c>
    </row>
    <row r="16" spans="1:13">
      <c r="A16" s="28">
        <v>1991</v>
      </c>
      <c r="B16" s="37">
        <f>'1a'!B16/'1a'!$E16*100</f>
        <v>15.237462507205453</v>
      </c>
      <c r="C16" s="34">
        <f>'1a'!C16/'1a'!$E16*100</f>
        <v>75.00122126366594</v>
      </c>
      <c r="D16" s="34">
        <f>'1a'!D16/'1a'!$E16*100</f>
        <v>9.7613162291286031</v>
      </c>
      <c r="E16" s="38">
        <f t="shared" si="0"/>
        <v>100</v>
      </c>
      <c r="F16" s="34">
        <f>'1a'!F16/'1a'!$I16*100</f>
        <v>54.245735096798931</v>
      </c>
      <c r="G16" s="34">
        <f>'1a'!G16/'1a'!$I16*100</f>
        <v>42.089323365919114</v>
      </c>
      <c r="H16" s="34">
        <f>'1a'!H16/'1a'!$I16*100</f>
        <v>3.6649415372819627</v>
      </c>
      <c r="I16" s="38">
        <f t="shared" si="1"/>
        <v>100.00000000000001</v>
      </c>
      <c r="J16" s="85">
        <f>'1a'!J16/'1a'!$M16*100</f>
        <v>27.624371471108734</v>
      </c>
      <c r="K16" s="86">
        <f>'1a'!K16/'1a'!$M16*100</f>
        <v>38.621871400882043</v>
      </c>
      <c r="L16" s="86">
        <f>'1a'!L16/'1a'!$M16*100</f>
        <v>33.753757128009212</v>
      </c>
      <c r="M16" s="38">
        <f t="shared" si="2"/>
        <v>99.999999999999986</v>
      </c>
    </row>
    <row r="17" spans="1:13">
      <c r="A17" s="28">
        <v>1992</v>
      </c>
      <c r="B17" s="37" t="s">
        <v>37</v>
      </c>
      <c r="C17" s="34" t="s">
        <v>37</v>
      </c>
      <c r="D17" s="34" t="s">
        <v>37</v>
      </c>
      <c r="E17" s="38" t="s">
        <v>37</v>
      </c>
      <c r="F17" s="34" t="s">
        <v>37</v>
      </c>
      <c r="G17" s="34" t="s">
        <v>37</v>
      </c>
      <c r="H17" s="34" t="s">
        <v>37</v>
      </c>
      <c r="I17" s="34" t="s">
        <v>37</v>
      </c>
      <c r="J17" s="85">
        <f>'1a'!J17/'1a'!$M17*100</f>
        <v>30.716116413179108</v>
      </c>
      <c r="K17" s="86">
        <f>'1a'!K17/'1a'!$M17*100</f>
        <v>35.578187704448119</v>
      </c>
      <c r="L17" s="86">
        <f>'1a'!L17/'1a'!$M17*100</f>
        <v>33.70569588237278</v>
      </c>
      <c r="M17" s="38">
        <f t="shared" si="2"/>
        <v>100.00000000000001</v>
      </c>
    </row>
    <row r="18" spans="1:13">
      <c r="A18" s="28">
        <v>1993</v>
      </c>
      <c r="B18" s="37" t="s">
        <v>37</v>
      </c>
      <c r="C18" s="34" t="s">
        <v>37</v>
      </c>
      <c r="D18" s="34" t="s">
        <v>37</v>
      </c>
      <c r="E18" s="38" t="s">
        <v>37</v>
      </c>
      <c r="F18" s="34" t="s">
        <v>37</v>
      </c>
      <c r="G18" s="34" t="s">
        <v>37</v>
      </c>
      <c r="H18" s="34" t="s">
        <v>37</v>
      </c>
      <c r="I18" s="34" t="s">
        <v>37</v>
      </c>
      <c r="J18" s="85">
        <f>'1a'!J18/'1a'!$M18*100</f>
        <v>28.061434937683494</v>
      </c>
      <c r="K18" s="86">
        <f>'1a'!K18/'1a'!$M18*100</f>
        <v>41.975688069684495</v>
      </c>
      <c r="L18" s="86">
        <f>'1a'!L18/'1a'!$M18*100</f>
        <v>29.962876992632015</v>
      </c>
      <c r="M18" s="38">
        <f t="shared" si="2"/>
        <v>100.00000000000001</v>
      </c>
    </row>
    <row r="19" spans="1:13">
      <c r="A19" s="28">
        <v>1994</v>
      </c>
      <c r="B19" s="37">
        <f>'1a'!B19/'1a'!$E19*100</f>
        <v>3.3770537714712465</v>
      </c>
      <c r="C19" s="34">
        <f>'1a'!C19/'1a'!$E19*100</f>
        <v>91.957617625093349</v>
      </c>
      <c r="D19" s="34">
        <f>'1a'!D19/'1a'!$E19*100</f>
        <v>4.6653286034353991</v>
      </c>
      <c r="E19" s="38">
        <f t="shared" si="0"/>
        <v>100</v>
      </c>
      <c r="F19" s="34" t="s">
        <v>37</v>
      </c>
      <c r="G19" s="34" t="s">
        <v>37</v>
      </c>
      <c r="H19" s="34" t="s">
        <v>37</v>
      </c>
      <c r="I19" s="34" t="s">
        <v>37</v>
      </c>
      <c r="J19" s="85">
        <f>'1a'!J19/'1a'!$M19*100</f>
        <v>31.258069867924664</v>
      </c>
      <c r="K19" s="86">
        <f>'1a'!K19/'1a'!$M19*100</f>
        <v>43.632468459890497</v>
      </c>
      <c r="L19" s="86">
        <f>'1a'!L19/'1a'!$M19*100</f>
        <v>25.109461672184835</v>
      </c>
      <c r="M19" s="38">
        <f t="shared" si="2"/>
        <v>100</v>
      </c>
    </row>
    <row r="20" spans="1:13">
      <c r="A20" s="28">
        <v>1995</v>
      </c>
      <c r="B20" s="37" t="s">
        <v>37</v>
      </c>
      <c r="C20" s="34" t="s">
        <v>37</v>
      </c>
      <c r="D20" s="34" t="s">
        <v>37</v>
      </c>
      <c r="E20" s="38" t="s">
        <v>37</v>
      </c>
      <c r="F20" s="34" t="s">
        <v>37</v>
      </c>
      <c r="G20" s="34" t="s">
        <v>37</v>
      </c>
      <c r="H20" s="34" t="s">
        <v>37</v>
      </c>
      <c r="I20" s="34" t="s">
        <v>37</v>
      </c>
      <c r="J20" s="85">
        <f>'1a'!J20/'1a'!$M20*100</f>
        <v>34.182560836304475</v>
      </c>
      <c r="K20" s="86">
        <f>'1a'!K20/'1a'!$M20*100</f>
        <v>41.827685278133551</v>
      </c>
      <c r="L20" s="86">
        <f>'1a'!L20/'1a'!$M20*100</f>
        <v>23.989753885561978</v>
      </c>
      <c r="M20" s="38">
        <f t="shared" si="2"/>
        <v>100</v>
      </c>
    </row>
    <row r="21" spans="1:13">
      <c r="A21" s="28">
        <v>1996</v>
      </c>
      <c r="B21" s="37">
        <f>'1a'!B21/'1a'!$E21*100</f>
        <v>27.497086895612671</v>
      </c>
      <c r="C21" s="34">
        <f>'1a'!C21/'1a'!$E21*100</f>
        <v>67.271108550779672</v>
      </c>
      <c r="D21" s="34">
        <f>'1a'!D21/'1a'!$E21*100</f>
        <v>5.2318045536076676</v>
      </c>
      <c r="E21" s="38">
        <f t="shared" si="0"/>
        <v>100.00000000000001</v>
      </c>
      <c r="F21" s="34" t="s">
        <v>37</v>
      </c>
      <c r="G21" s="34" t="s">
        <v>37</v>
      </c>
      <c r="H21" s="34" t="s">
        <v>37</v>
      </c>
      <c r="I21" s="34" t="s">
        <v>37</v>
      </c>
      <c r="J21" s="85">
        <f>'1a'!J21/'1a'!$M21*100</f>
        <v>32.353091336090266</v>
      </c>
      <c r="K21" s="86">
        <f>'1a'!K21/'1a'!$M21*100</f>
        <v>43.728621024148673</v>
      </c>
      <c r="L21" s="86">
        <f>'1a'!L21/'1a'!$M21*100</f>
        <v>23.918287639761065</v>
      </c>
      <c r="M21" s="38">
        <f t="shared" si="2"/>
        <v>100</v>
      </c>
    </row>
    <row r="22" spans="1:13">
      <c r="A22" s="28">
        <v>1997</v>
      </c>
      <c r="B22" s="37">
        <f>'1a'!B22/'1a'!$E22*100</f>
        <v>40.141602870708326</v>
      </c>
      <c r="C22" s="34">
        <f>'1a'!C22/'1a'!$E22*100</f>
        <v>48.986072496804717</v>
      </c>
      <c r="D22" s="34">
        <f>'1a'!D22/'1a'!$E22*100</f>
        <v>10.872324632486967</v>
      </c>
      <c r="E22" s="38">
        <f t="shared" si="0"/>
        <v>100</v>
      </c>
      <c r="F22" s="34">
        <f>'1a'!F22/'1a'!$I22*100</f>
        <v>48.684942807943379</v>
      </c>
      <c r="G22" s="34">
        <f>'1a'!G22/'1a'!$I22*100</f>
        <v>50.534600048451203</v>
      </c>
      <c r="H22" s="34">
        <f>'1a'!H22/'1a'!$I22*100</f>
        <v>0.78045714360542395</v>
      </c>
      <c r="I22" s="38">
        <f t="shared" si="1"/>
        <v>100</v>
      </c>
      <c r="J22" s="85">
        <f>'1a'!J22/'1a'!$M22*100</f>
        <v>31.281111376736526</v>
      </c>
      <c r="K22" s="86">
        <f>'1a'!K22/'1a'!$M22*100</f>
        <v>41.638908810795016</v>
      </c>
      <c r="L22" s="86">
        <f>'1a'!L22/'1a'!$M22*100</f>
        <v>27.079979812468459</v>
      </c>
      <c r="M22" s="38">
        <f t="shared" si="2"/>
        <v>100</v>
      </c>
    </row>
    <row r="23" spans="1:13">
      <c r="A23" s="28">
        <v>1998</v>
      </c>
      <c r="B23" s="37">
        <f>'1a'!B23/'1a'!$E23*100</f>
        <v>46.681409134187163</v>
      </c>
      <c r="C23" s="34">
        <f>'1a'!C23/'1a'!$E23*100</f>
        <v>50.843852698178679</v>
      </c>
      <c r="D23" s="34">
        <f>'1a'!D23/'1a'!$E23*100</f>
        <v>2.4747381676341407</v>
      </c>
      <c r="E23" s="38">
        <f t="shared" si="0"/>
        <v>99.999999999999986</v>
      </c>
      <c r="F23" s="34">
        <f>'1a'!F23/'1a'!$I23*100</f>
        <v>61.630376370193396</v>
      </c>
      <c r="G23" s="34">
        <f>'1a'!G23/'1a'!$I23*100</f>
        <v>35.893725436875599</v>
      </c>
      <c r="H23" s="34">
        <f>'1a'!H23/'1a'!$I23*100</f>
        <v>2.4758981929309996</v>
      </c>
      <c r="I23" s="38">
        <f t="shared" si="1"/>
        <v>100</v>
      </c>
      <c r="J23" s="85">
        <f>'1a'!J23/'1a'!$M23*100</f>
        <v>36.356763206915552</v>
      </c>
      <c r="K23" s="86">
        <f>'1a'!K23/'1a'!$M23*100</f>
        <v>40.811521066846417</v>
      </c>
      <c r="L23" s="86">
        <f>'1a'!L23/'1a'!$M23*100</f>
        <v>22.831715726238023</v>
      </c>
      <c r="M23" s="38">
        <f t="shared" si="2"/>
        <v>100</v>
      </c>
    </row>
    <row r="24" spans="1:13">
      <c r="A24" s="28">
        <v>1999</v>
      </c>
      <c r="B24" s="37">
        <f>'1a'!B24/'1a'!$E24*100</f>
        <v>31.403155311134157</v>
      </c>
      <c r="C24" s="34">
        <f>'1a'!C24/'1a'!$E24*100</f>
        <v>65.914698972292598</v>
      </c>
      <c r="D24" s="34">
        <f>'1a'!D24/'1a'!$E24*100</f>
        <v>2.6821457165732587</v>
      </c>
      <c r="E24" s="38">
        <f t="shared" si="0"/>
        <v>100.00000000000001</v>
      </c>
      <c r="F24" s="34">
        <f>'1a'!F24/'1a'!$I24*100</f>
        <v>31.05169055052972</v>
      </c>
      <c r="G24" s="34">
        <f>'1a'!G24/'1a'!$I24*100</f>
        <v>68.008966455848224</v>
      </c>
      <c r="H24" s="34">
        <f>'1a'!H24/'1a'!$I24*100</f>
        <v>0.93934299362207463</v>
      </c>
      <c r="I24" s="38">
        <f t="shared" si="1"/>
        <v>100.00000000000001</v>
      </c>
      <c r="J24" s="85">
        <f>'1a'!J24/'1a'!$M24*100</f>
        <v>35.448838669177654</v>
      </c>
      <c r="K24" s="86">
        <f>'1a'!K24/'1a'!$M24*100</f>
        <v>39.30571249215317</v>
      </c>
      <c r="L24" s="86">
        <f>'1a'!L24/'1a'!$M24*100</f>
        <v>25.245448838669176</v>
      </c>
      <c r="M24" s="38">
        <f t="shared" si="2"/>
        <v>100</v>
      </c>
    </row>
    <row r="25" spans="1:13">
      <c r="A25" s="28">
        <v>2000</v>
      </c>
      <c r="B25" s="37">
        <f>'1a'!B25/'1a'!$E25*100</f>
        <v>8.0414581844174418</v>
      </c>
      <c r="C25" s="34">
        <f>'1a'!C25/'1a'!$E25*100</f>
        <v>90.809817571557318</v>
      </c>
      <c r="D25" s="34">
        <f>'1a'!D25/'1a'!$E25*100</f>
        <v>1.1487242440252354</v>
      </c>
      <c r="E25" s="38">
        <f t="shared" si="0"/>
        <v>99.999999999999986</v>
      </c>
      <c r="F25" s="34">
        <f>'1a'!F25/'1a'!$I25*100</f>
        <v>28.922943171660524</v>
      </c>
      <c r="G25" s="34">
        <f>'1a'!G25/'1a'!$I25*100</f>
        <v>62.814845653691208</v>
      </c>
      <c r="H25" s="34">
        <f>'1a'!H25/'1a'!$I25*100</f>
        <v>8.2622111746482663</v>
      </c>
      <c r="I25" s="38">
        <f t="shared" si="1"/>
        <v>100</v>
      </c>
      <c r="J25" s="85">
        <f>'1a'!J25/'1a'!$M25*100</f>
        <v>34.131844245399691</v>
      </c>
      <c r="K25" s="86">
        <f>'1a'!K25/'1a'!$M25*100</f>
        <v>37.417456807705278</v>
      </c>
      <c r="L25" s="86">
        <f>'1a'!L25/'1a'!$M25*100</f>
        <v>28.450698946895024</v>
      </c>
      <c r="M25" s="38">
        <f t="shared" si="2"/>
        <v>100</v>
      </c>
    </row>
    <row r="26" spans="1:13">
      <c r="A26" s="28">
        <v>2001</v>
      </c>
      <c r="B26" s="37">
        <f>'1a'!B26/'1a'!$E26*100</f>
        <v>2.0875052059264836</v>
      </c>
      <c r="C26" s="34">
        <f>'1a'!C26/'1a'!$E26*100</f>
        <v>97.905648644177063</v>
      </c>
      <c r="D26" s="34">
        <f>'1a'!D26/'1a'!$E26*100</f>
        <v>6.8461498964519831E-3</v>
      </c>
      <c r="E26" s="38">
        <f t="shared" si="0"/>
        <v>100</v>
      </c>
      <c r="F26" s="34">
        <f>'1a'!F26/'1a'!$I26*100</f>
        <v>0.24228632621645135</v>
      </c>
      <c r="G26" s="34">
        <f>'1a'!G26/'1a'!$I26*100</f>
        <v>98.788568368917737</v>
      </c>
      <c r="H26" s="34">
        <f>'1a'!H26/'1a'!$I26*100</f>
        <v>0.96914530486580541</v>
      </c>
      <c r="I26" s="38">
        <f t="shared" si="1"/>
        <v>100</v>
      </c>
      <c r="J26" s="85">
        <f>'1a'!J26/'1a'!$M26*100</f>
        <v>29.029773934471798</v>
      </c>
      <c r="K26" s="86">
        <f>'1a'!K26/'1a'!$M26*100</f>
        <v>41.139944253698268</v>
      </c>
      <c r="L26" s="86">
        <f>'1a'!L26/'1a'!$M26*100</f>
        <v>29.830281811829941</v>
      </c>
      <c r="M26" s="38">
        <f t="shared" si="2"/>
        <v>100</v>
      </c>
    </row>
    <row r="27" spans="1:13">
      <c r="A27" s="28">
        <v>2002</v>
      </c>
      <c r="B27" s="37">
        <f>'1a'!B27/'1a'!$E27*100</f>
        <v>22.131904912672926</v>
      </c>
      <c r="C27" s="34">
        <f>'1a'!C27/'1a'!$E27*100</f>
        <v>75.497373403203611</v>
      </c>
      <c r="D27" s="34">
        <f>'1a'!D27/'1a'!$E27*100</f>
        <v>2.370721684123466</v>
      </c>
      <c r="E27" s="38">
        <f t="shared" si="0"/>
        <v>100</v>
      </c>
      <c r="F27" s="34">
        <f>'1a'!F27/'1a'!$I27*100</f>
        <v>3.9815286722574861</v>
      </c>
      <c r="G27" s="34">
        <f>'1a'!G27/'1a'!$I27*100</f>
        <v>91.721879874592645</v>
      </c>
      <c r="H27" s="34">
        <f>'1a'!H27/'1a'!$I27*100</f>
        <v>4.2965914531498548</v>
      </c>
      <c r="I27" s="38">
        <f t="shared" si="1"/>
        <v>99.999999999999986</v>
      </c>
      <c r="J27" s="85">
        <f>'1a'!J27/'1a'!$M27*100</f>
        <v>30.84070641311844</v>
      </c>
      <c r="K27" s="86">
        <f>'1a'!K27/'1a'!$M27*100</f>
        <v>41.108085258905163</v>
      </c>
      <c r="L27" s="86">
        <f>'1a'!L27/'1a'!$M27*100</f>
        <v>28.051208327976411</v>
      </c>
      <c r="M27" s="38">
        <f t="shared" si="2"/>
        <v>100.00000000000001</v>
      </c>
    </row>
    <row r="28" spans="1:13">
      <c r="A28" s="28">
        <v>2003</v>
      </c>
      <c r="B28" s="37">
        <f>'1a'!B28/'1a'!$E28*100</f>
        <v>36.528368831772248</v>
      </c>
      <c r="C28" s="34">
        <f>'1a'!C28/'1a'!$E28*100</f>
        <v>56.835869438959229</v>
      </c>
      <c r="D28" s="34">
        <f>'1a'!D28/'1a'!$E28*100</f>
        <v>6.6357617292685243</v>
      </c>
      <c r="E28" s="38">
        <f t="shared" si="0"/>
        <v>100</v>
      </c>
      <c r="F28" s="34">
        <f>'1a'!F28/'1a'!$I28*100</f>
        <v>19.619900682229545</v>
      </c>
      <c r="G28" s="34">
        <f>'1a'!G28/'1a'!$I28*100</f>
        <v>76.265837471573761</v>
      </c>
      <c r="H28" s="34">
        <f>'1a'!H28/'1a'!$I28*100</f>
        <v>4.114261846196686</v>
      </c>
      <c r="I28" s="38">
        <f t="shared" si="1"/>
        <v>99.999999999999986</v>
      </c>
      <c r="J28" s="85">
        <f>'1a'!J28/'1a'!$M28*100</f>
        <v>32.74088601112377</v>
      </c>
      <c r="K28" s="86">
        <f>'1a'!K28/'1a'!$M28*100</f>
        <v>41.988463355472362</v>
      </c>
      <c r="L28" s="86">
        <f>'1a'!L28/'1a'!$M28*100</f>
        <v>25.270650633403864</v>
      </c>
      <c r="M28" s="38">
        <f t="shared" si="2"/>
        <v>99.999999999999986</v>
      </c>
    </row>
    <row r="29" spans="1:13">
      <c r="A29" s="28">
        <v>2004</v>
      </c>
      <c r="B29" s="37">
        <f>'1a'!B29/'1a'!$E29*100</f>
        <v>32.75072921061804</v>
      </c>
      <c r="C29" s="34">
        <f>'1a'!C29/'1a'!$E29*100</f>
        <v>61.466951624442764</v>
      </c>
      <c r="D29" s="34">
        <f>'1a'!D29/'1a'!$E29*100</f>
        <v>5.7823191649391861</v>
      </c>
      <c r="E29" s="38">
        <f t="shared" si="0"/>
        <v>99.999999999999986</v>
      </c>
      <c r="F29" s="34">
        <f>'1a'!F29/'1a'!$I29*100</f>
        <v>12.221058220799907</v>
      </c>
      <c r="G29" s="34">
        <f>'1a'!G29/'1a'!$I29*100</f>
        <v>84.754531234303911</v>
      </c>
      <c r="H29" s="34">
        <f>'1a'!H29/'1a'!$I29*100</f>
        <v>3.0244105448961722</v>
      </c>
      <c r="I29" s="38">
        <f t="shared" si="1"/>
        <v>99.999999999999986</v>
      </c>
      <c r="J29" s="85">
        <f>'1a'!J29/'1a'!$M29*100</f>
        <v>34.361269384942545</v>
      </c>
      <c r="K29" s="86">
        <f>'1a'!K29/'1a'!$M29*100</f>
        <v>42.946955832339235</v>
      </c>
      <c r="L29" s="86">
        <f>'1a'!L29/'1a'!$M29*100</f>
        <v>22.69177478271823</v>
      </c>
      <c r="M29" s="38">
        <f t="shared" si="2"/>
        <v>100</v>
      </c>
    </row>
    <row r="30" spans="1:13">
      <c r="A30" s="28">
        <v>2005</v>
      </c>
      <c r="B30" s="37">
        <f>'1a'!B30/'1a'!$E30*100</f>
        <v>30.115177496394502</v>
      </c>
      <c r="C30" s="34">
        <f>'1a'!C30/'1a'!$E30*100</f>
        <v>65.791754323290846</v>
      </c>
      <c r="D30" s="34">
        <f>'1a'!D30/'1a'!$E30*100</f>
        <v>4.0930681803146376</v>
      </c>
      <c r="E30" s="38">
        <f t="shared" si="0"/>
        <v>99.999999999999986</v>
      </c>
      <c r="F30" s="34">
        <f>'1a'!F30/'1a'!$I30*100</f>
        <v>13.838960702787528</v>
      </c>
      <c r="G30" s="34">
        <f>'1a'!G30/'1a'!$I30*100</f>
        <v>81.644043940398959</v>
      </c>
      <c r="H30" s="34">
        <f>'1a'!H30/'1a'!$I30*100</f>
        <v>4.5169953568135117</v>
      </c>
      <c r="I30" s="38">
        <f t="shared" si="1"/>
        <v>100</v>
      </c>
      <c r="J30" s="85">
        <f>'1a'!J30/'1a'!$M30*100</f>
        <v>34.21816615965885</v>
      </c>
      <c r="K30" s="86">
        <f>'1a'!K30/'1a'!$M30*100</f>
        <v>45.267811254184551</v>
      </c>
      <c r="L30" s="86">
        <f>'1a'!L30/'1a'!$M30*100</f>
        <v>20.514022586156607</v>
      </c>
      <c r="M30" s="38">
        <f t="shared" si="2"/>
        <v>100</v>
      </c>
    </row>
    <row r="31" spans="1:13">
      <c r="A31" s="28">
        <v>2006</v>
      </c>
      <c r="B31" s="37">
        <f>'1a'!B31/'1a'!$E31*100</f>
        <v>28.271752767753881</v>
      </c>
      <c r="C31" s="34">
        <f>'1a'!C31/'1a'!$E31*100</f>
        <v>65.350459555442939</v>
      </c>
      <c r="D31" s="34">
        <f>'1a'!D31/'1a'!$E31*100</f>
        <v>6.3777876768031785</v>
      </c>
      <c r="E31" s="38">
        <f t="shared" si="0"/>
        <v>100</v>
      </c>
      <c r="F31" s="34">
        <f>'1a'!F31/'1a'!$I31*100</f>
        <v>15.400476510784355</v>
      </c>
      <c r="G31" s="34">
        <f>'1a'!G31/'1a'!$I31*100</f>
        <v>80.040610285843599</v>
      </c>
      <c r="H31" s="34">
        <f>'1a'!H31/'1a'!$I31*100</f>
        <v>4.5589132033720361</v>
      </c>
      <c r="I31" s="38">
        <f t="shared" si="1"/>
        <v>100</v>
      </c>
      <c r="J31" s="85">
        <f>'1a'!J31/'1a'!$M31*100</f>
        <v>36.537695506035952</v>
      </c>
      <c r="K31" s="86">
        <f>'1a'!K31/'1a'!$M31*100</f>
        <v>43.661670447026133</v>
      </c>
      <c r="L31" s="86">
        <f>'1a'!L31/'1a'!$M31*100</f>
        <v>19.800634046937908</v>
      </c>
      <c r="M31" s="38">
        <f t="shared" si="2"/>
        <v>100</v>
      </c>
    </row>
    <row r="32" spans="1:13">
      <c r="A32" s="28">
        <v>2007</v>
      </c>
      <c r="B32" s="37">
        <f>'1a'!B32/'1a'!$E32*100</f>
        <v>40.55192002450503</v>
      </c>
      <c r="C32" s="34">
        <f>'1a'!C32/'1a'!$E32*100</f>
        <v>47.873910500960704</v>
      </c>
      <c r="D32" s="34">
        <f>'1a'!D32/'1a'!$E32*100</f>
        <v>11.574169474534266</v>
      </c>
      <c r="E32" s="38">
        <f t="shared" si="0"/>
        <v>100</v>
      </c>
      <c r="F32" s="34">
        <f>'1a'!F32/'1a'!$I32*100</f>
        <v>6.0631049507266725</v>
      </c>
      <c r="G32" s="34">
        <f>'1a'!G32/'1a'!$I32*100</f>
        <v>91.711553645056583</v>
      </c>
      <c r="H32" s="34">
        <f>'1a'!H32/'1a'!$I32*100</f>
        <v>2.2253414042167448</v>
      </c>
      <c r="I32" s="38">
        <f t="shared" si="1"/>
        <v>100</v>
      </c>
      <c r="J32" s="85">
        <f>'1a'!J32/'1a'!$M32*100</f>
        <v>34.117587548884167</v>
      </c>
      <c r="K32" s="86">
        <f>'1a'!K32/'1a'!$M32*100</f>
        <v>48.834841879301571</v>
      </c>
      <c r="L32" s="86">
        <f>'1a'!L32/'1a'!$M32*100</f>
        <v>17.047570571814273</v>
      </c>
      <c r="M32" s="38">
        <f t="shared" si="2"/>
        <v>100.00000000000001</v>
      </c>
    </row>
    <row r="33" spans="1:13">
      <c r="A33" s="28">
        <v>2008</v>
      </c>
      <c r="B33" s="37">
        <f>'1a'!B33/'1a'!$E33*100</f>
        <v>21.817525685658488</v>
      </c>
      <c r="C33" s="34">
        <f>'1a'!C33/'1a'!$E33*100</f>
        <v>73.398998047040848</v>
      </c>
      <c r="D33" s="34">
        <f>'1a'!D33/'1a'!$E33*100</f>
        <v>4.7834762673006708</v>
      </c>
      <c r="E33" s="38">
        <f t="shared" si="0"/>
        <v>100</v>
      </c>
      <c r="F33" s="34">
        <f>'1a'!F33/'1a'!$I33*100</f>
        <v>6.5005691905697232</v>
      </c>
      <c r="G33" s="34">
        <f>'1a'!G33/'1a'!$I33*100</f>
        <v>90.270675183881011</v>
      </c>
      <c r="H33" s="34">
        <f>'1a'!H33/'1a'!$I33*100</f>
        <v>3.2287556255492835</v>
      </c>
      <c r="I33" s="38">
        <f t="shared" si="1"/>
        <v>100.00000000000001</v>
      </c>
      <c r="J33" s="85">
        <f>'1a'!J33/'1a'!$M33*100</f>
        <v>33.474803796949935</v>
      </c>
      <c r="K33" s="86">
        <f>'1a'!K33/'1a'!$M33*100</f>
        <v>48.0686096355644</v>
      </c>
      <c r="L33" s="86">
        <f>'1a'!L33/'1a'!$M33*100</f>
        <v>18.456586567485655</v>
      </c>
      <c r="M33" s="38">
        <f t="shared" si="2"/>
        <v>100</v>
      </c>
    </row>
    <row r="34" spans="1:13">
      <c r="A34" s="28">
        <v>2009</v>
      </c>
      <c r="B34" s="37">
        <f>'1a'!B34/'1a'!$E34*100</f>
        <v>26.829742741817832</v>
      </c>
      <c r="C34" s="34">
        <f>'1a'!C34/'1a'!$E34*100</f>
        <v>66.215270893576587</v>
      </c>
      <c r="D34" s="34">
        <f>'1a'!D34/'1a'!$E34*100</f>
        <v>6.9549863646055821</v>
      </c>
      <c r="E34" s="38">
        <f t="shared" si="0"/>
        <v>100</v>
      </c>
      <c r="F34" s="34">
        <f>'1a'!F34/'1a'!$I34*100</f>
        <v>9.7919885332283769</v>
      </c>
      <c r="G34" s="34">
        <f>'1a'!G34/'1a'!$I34*100</f>
        <v>88.552613801246522</v>
      </c>
      <c r="H34" s="34">
        <f>'1a'!H34/'1a'!$I34*100</f>
        <v>1.6553976655250804</v>
      </c>
      <c r="I34" s="38">
        <f t="shared" si="1"/>
        <v>99.999999999999986</v>
      </c>
      <c r="J34" s="85">
        <f>'1a'!J34/'1a'!$M34*100</f>
        <v>30.734894761625242</v>
      </c>
      <c r="K34" s="86">
        <f>'1a'!K34/'1a'!$M34*100</f>
        <v>50.28930071147979</v>
      </c>
      <c r="L34" s="86">
        <f>'1a'!L34/'1a'!$M34*100</f>
        <v>18.975804526894969</v>
      </c>
      <c r="M34" s="38">
        <f t="shared" si="2"/>
        <v>100</v>
      </c>
    </row>
    <row r="35" spans="1:13">
      <c r="A35" s="28">
        <v>2010</v>
      </c>
      <c r="B35" s="37">
        <f>'1a'!B35/'1a'!$E35*100</f>
        <v>29.342225050601467</v>
      </c>
      <c r="C35" s="34">
        <f>'1a'!C35/'1a'!$E35*100</f>
        <v>61.23175916350683</v>
      </c>
      <c r="D35" s="34">
        <f>'1a'!D35/'1a'!$E35*100</f>
        <v>9.4260157858916909</v>
      </c>
      <c r="E35" s="38">
        <f t="shared" si="0"/>
        <v>99.999999999999986</v>
      </c>
      <c r="F35" s="34">
        <f>'1a'!F35/'1a'!$I35*100</f>
        <v>13.262292635080389</v>
      </c>
      <c r="G35" s="34">
        <f>'1a'!G35/'1a'!$I35*100</f>
        <v>83.948675849716409</v>
      </c>
      <c r="H35" s="34">
        <f>'1a'!H35/'1a'!$I35*100</f>
        <v>2.7890315152032072</v>
      </c>
      <c r="I35" s="38">
        <f t="shared" si="1"/>
        <v>100</v>
      </c>
      <c r="J35" s="85">
        <f>'1a'!J35/'1a'!$M35*100</f>
        <v>31.313801159895494</v>
      </c>
      <c r="K35" s="86">
        <f>'1a'!K35/'1a'!$M35*100</f>
        <v>49.119639935036034</v>
      </c>
      <c r="L35" s="86">
        <f>'1a'!L35/'1a'!$M35*100</f>
        <v>19.566558905068479</v>
      </c>
      <c r="M35" s="38">
        <f t="shared" si="2"/>
        <v>100</v>
      </c>
    </row>
    <row r="36" spans="1:13">
      <c r="A36" s="29">
        <v>2011</v>
      </c>
      <c r="B36" s="39">
        <f>'1a'!B36/'1a'!$E36*100</f>
        <v>29.26590496309559</v>
      </c>
      <c r="C36" s="40">
        <f>'1a'!C36/'1a'!$E36*100</f>
        <v>60.965053521054188</v>
      </c>
      <c r="D36" s="40">
        <f>'1a'!D36/'1a'!$E36*100</f>
        <v>9.7690415158502173</v>
      </c>
      <c r="E36" s="41">
        <f t="shared" si="0"/>
        <v>100</v>
      </c>
      <c r="F36" s="40">
        <f>'1a'!F36/'1a'!$I36*100</f>
        <v>14.824855315260436</v>
      </c>
      <c r="G36" s="40">
        <f>'1a'!G36/'1a'!$I36*100</f>
        <v>82.102243882627675</v>
      </c>
      <c r="H36" s="40">
        <f>'1a'!H36/'1a'!$I36*100</f>
        <v>3.0729008021118895</v>
      </c>
      <c r="I36" s="41">
        <f t="shared" si="1"/>
        <v>100</v>
      </c>
      <c r="J36" s="88">
        <f>'1a'!J36/'1a'!$M36*100</f>
        <v>31.659970680064497</v>
      </c>
      <c r="K36" s="89">
        <f>'1a'!K36/'1a'!$M36*100</f>
        <v>48.487038657252299</v>
      </c>
      <c r="L36" s="89">
        <f>'1a'!L36/'1a'!$M36*100</f>
        <v>19.852990662683215</v>
      </c>
      <c r="M36" s="41">
        <f t="shared" si="2"/>
        <v>100.00000000000001</v>
      </c>
    </row>
    <row r="38" spans="1:13">
      <c r="A38" s="384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6"/>
    </row>
    <row r="39" spans="1:13">
      <c r="A39" s="15" t="s">
        <v>53</v>
      </c>
      <c r="B39" s="82">
        <f>(POWER(B15/B6,1/($A15-$A6))-1)*100</f>
        <v>-34.462946532568786</v>
      </c>
      <c r="C39" s="83">
        <f t="shared" ref="C39:H39" si="3">(POWER(C15/C6,1/($A15-$A6))-1)*100</f>
        <v>11.057496937054134</v>
      </c>
      <c r="D39" s="83">
        <f t="shared" si="3"/>
        <v>-9.6652582611899014</v>
      </c>
      <c r="E39" s="84"/>
      <c r="F39" s="83">
        <f t="shared" si="3"/>
        <v>-5.5664661323964744</v>
      </c>
      <c r="G39" s="83">
        <f t="shared" si="3"/>
        <v>13.785123963442047</v>
      </c>
      <c r="H39" s="83">
        <f t="shared" si="3"/>
        <v>-8.2701464299728684</v>
      </c>
      <c r="I39" s="83"/>
      <c r="J39" s="82">
        <f t="shared" ref="J39:L39" si="4">(POWER(J15/J6,1/($A15-$A6))-1)*100</f>
        <v>-4.6633275376037897</v>
      </c>
      <c r="K39" s="83">
        <f t="shared" si="4"/>
        <v>9.4236006926161853</v>
      </c>
      <c r="L39" s="83">
        <f t="shared" si="4"/>
        <v>-1.3929667150014646</v>
      </c>
      <c r="M39" s="205"/>
    </row>
    <row r="40" spans="1:13">
      <c r="A40" s="16" t="s">
        <v>71</v>
      </c>
      <c r="B40" s="37">
        <f>(POWER(B$25/B15,1/($A$25-$A$15))-1)*100</f>
        <v>20.719974745475888</v>
      </c>
      <c r="C40" s="34">
        <f t="shared" ref="C40:H40" si="5">(POWER(C$25/C15,1/($A$25-$A$15))-1)*100</f>
        <v>-0.51158900519631123</v>
      </c>
      <c r="D40" s="34">
        <f>(POWER(D$25/D15,1/($A$25-$A$15))-1)*100</f>
        <v>-9.7028470974751322</v>
      </c>
      <c r="E40" s="38"/>
      <c r="F40" s="34">
        <f t="shared" si="5"/>
        <v>-4.4659140501285606</v>
      </c>
      <c r="G40" s="34">
        <f t="shared" si="5"/>
        <v>2.141880380450667</v>
      </c>
      <c r="H40" s="34">
        <f t="shared" si="5"/>
        <v>8.9430610411202149</v>
      </c>
      <c r="I40" s="34"/>
      <c r="J40" s="37">
        <f t="shared" ref="J40:L40" si="6">(POWER(J$25/J15,1/($A$25-$A$15))-1)*100</f>
        <v>1.7057916893014058</v>
      </c>
      <c r="K40" s="34">
        <f t="shared" si="6"/>
        <v>0.30008668158891805</v>
      </c>
      <c r="L40" s="34">
        <f t="shared" si="6"/>
        <v>-2.0129968287924016</v>
      </c>
      <c r="M40" s="206"/>
    </row>
    <row r="41" spans="1:13">
      <c r="A41" s="16" t="s">
        <v>69</v>
      </c>
      <c r="B41" s="37">
        <f>(POWER(B$35/B25,1/($A$35-$A$25))-1)*100</f>
        <v>13.819277265390383</v>
      </c>
      <c r="C41" s="34">
        <f>(POWER(C$35/C25,1/($A$35-$A$25))-1)*100</f>
        <v>-3.8643663112141069</v>
      </c>
      <c r="D41" s="34">
        <f>(POWER(D$35/D25,1/($A$35-$A$25))-1)*100</f>
        <v>23.427302491198819</v>
      </c>
      <c r="E41" s="38"/>
      <c r="F41" s="34">
        <f>(POWER(F$35/F25,1/($A$35-$A$25))-1)*100</f>
        <v>-7.5008776215065858</v>
      </c>
      <c r="G41" s="34">
        <f>(POWER(G$35/G25,1/($A$35-$A$25))-1)*100</f>
        <v>2.9426053069937952</v>
      </c>
      <c r="H41" s="34">
        <f>(POWER(H$35/H25,1/($A$35-$A$25))-1)*100</f>
        <v>-10.291062481492453</v>
      </c>
      <c r="I41" s="34"/>
      <c r="J41" s="37">
        <f t="shared" ref="J41:L41" si="7">(POWER(J$35/J25,1/($A$35-$A$25))-1)*100</f>
        <v>-0.85801650021255504</v>
      </c>
      <c r="K41" s="34">
        <f t="shared" si="7"/>
        <v>2.7585792076931126</v>
      </c>
      <c r="L41" s="34">
        <f t="shared" si="7"/>
        <v>-3.6743049386548932</v>
      </c>
      <c r="M41" s="206"/>
    </row>
    <row r="42" spans="1:13">
      <c r="A42" s="17" t="s">
        <v>70</v>
      </c>
      <c r="B42" s="39">
        <f>(POWER(B35/B6,1/($A$35-$A$6))-1)*100</f>
        <v>-2.1339339885277808</v>
      </c>
      <c r="C42" s="40">
        <f>(POWER(C35/C6,1/($A$35-$A$6))-1)*100</f>
        <v>1.7338571187671681</v>
      </c>
      <c r="D42" s="40">
        <f>(POWER(D35/D6,1/($A$35-$A$6))-1)*100</f>
        <v>0.58566147348664277</v>
      </c>
      <c r="E42" s="41"/>
      <c r="F42" s="40">
        <f>(POWER(F35/F6,1/($A$35-$A$6))-1)*100</f>
        <v>-5.8626594289201144</v>
      </c>
      <c r="G42" s="40">
        <f>(POWER(G35/G6,1/($A$35-$A$6))-1)*100</f>
        <v>5.9065300044597979</v>
      </c>
      <c r="H42" s="40">
        <f>(POWER(H35/H6,1/($A$35-$A$6))-1)*100</f>
        <v>-3.4106414922662198</v>
      </c>
      <c r="I42" s="40"/>
      <c r="J42" s="39">
        <f t="shared" ref="J42:L42" si="8">(POWER(J35/J6,1/($A$35-$A$6))-1)*100</f>
        <v>-1.1888489903983057</v>
      </c>
      <c r="K42" s="40">
        <f t="shared" si="8"/>
        <v>3.9110726100287208</v>
      </c>
      <c r="L42" s="40">
        <f t="shared" si="8"/>
        <v>-2.3981975456482729</v>
      </c>
      <c r="M42" s="210"/>
    </row>
    <row r="44" spans="1:13">
      <c r="A44" s="389" t="s">
        <v>77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0"/>
    </row>
    <row r="45" spans="1:13">
      <c r="A45" s="15" t="s">
        <v>53</v>
      </c>
      <c r="B45" s="82">
        <f>B15-B6</f>
        <v>-53.624727036655301</v>
      </c>
      <c r="C45" s="83">
        <f t="shared" ref="C45:L45" si="9">C15-C6</f>
        <v>58.394640550671525</v>
      </c>
      <c r="D45" s="83">
        <f t="shared" si="9"/>
        <v>-4.7699135140162188</v>
      </c>
      <c r="E45" s="84"/>
      <c r="F45" s="82">
        <f t="shared" si="9"/>
        <v>-30.802641049769761</v>
      </c>
      <c r="G45" s="83">
        <f t="shared" si="9"/>
        <v>34.923953708347938</v>
      </c>
      <c r="H45" s="83">
        <f t="shared" si="9"/>
        <v>-4.1213126585781836</v>
      </c>
      <c r="I45" s="84"/>
      <c r="J45" s="83">
        <f t="shared" si="9"/>
        <v>-15.475253317169372</v>
      </c>
      <c r="K45" s="83">
        <f t="shared" si="9"/>
        <v>20.167024151416314</v>
      </c>
      <c r="L45" s="83">
        <f t="shared" si="9"/>
        <v>-4.6917708342469382</v>
      </c>
      <c r="M45" s="200"/>
    </row>
    <row r="46" spans="1:13">
      <c r="A46" s="16" t="s">
        <v>71</v>
      </c>
      <c r="B46" s="85">
        <f>B25-B15</f>
        <v>6.8181286839702722</v>
      </c>
      <c r="C46" s="86">
        <f t="shared" ref="C46:L46" si="10">C25-C15</f>
        <v>-4.7791692688668519</v>
      </c>
      <c r="D46" s="86">
        <f t="shared" si="10"/>
        <v>-2.038959415103422</v>
      </c>
      <c r="E46" s="87"/>
      <c r="F46" s="85">
        <f t="shared" si="10"/>
        <v>-16.749995639026064</v>
      </c>
      <c r="G46" s="86">
        <f t="shared" si="10"/>
        <v>11.996115403763028</v>
      </c>
      <c r="H46" s="86">
        <f t="shared" si="10"/>
        <v>4.7538802352630327</v>
      </c>
      <c r="I46" s="87"/>
      <c r="J46" s="86">
        <f t="shared" si="10"/>
        <v>5.3112515645954055</v>
      </c>
      <c r="K46" s="86">
        <f t="shared" si="10"/>
        <v>1.1045359997540132</v>
      </c>
      <c r="L46" s="86">
        <f t="shared" si="10"/>
        <v>-6.4157875643494222</v>
      </c>
      <c r="M46" s="202"/>
    </row>
    <row r="47" spans="1:13">
      <c r="A47" s="16" t="s">
        <v>69</v>
      </c>
      <c r="B47" s="85">
        <f>B35-B25</f>
        <v>21.300766866184027</v>
      </c>
      <c r="C47" s="86">
        <f t="shared" ref="C47:L47" si="11">C35-C25</f>
        <v>-29.578058408050488</v>
      </c>
      <c r="D47" s="86">
        <f t="shared" si="11"/>
        <v>8.2772915418664557</v>
      </c>
      <c r="E47" s="87"/>
      <c r="F47" s="85">
        <f t="shared" si="11"/>
        <v>-15.660650536580135</v>
      </c>
      <c r="G47" s="86">
        <f>G35-G25</f>
        <v>21.133830196025201</v>
      </c>
      <c r="H47" s="86">
        <f t="shared" si="11"/>
        <v>-5.4731796594450586</v>
      </c>
      <c r="I47" s="87"/>
      <c r="J47" s="86">
        <f t="shared" si="11"/>
        <v>-2.8180430855041969</v>
      </c>
      <c r="K47" s="86">
        <f t="shared" si="11"/>
        <v>11.702183127330755</v>
      </c>
      <c r="L47" s="86">
        <f t="shared" si="11"/>
        <v>-8.8841400418265444</v>
      </c>
      <c r="M47" s="202"/>
    </row>
    <row r="48" spans="1:13">
      <c r="A48" s="17" t="s">
        <v>70</v>
      </c>
      <c r="B48" s="88">
        <f>B35-B6</f>
        <v>-25.505831486501005</v>
      </c>
      <c r="C48" s="89">
        <f t="shared" ref="C48:L48" si="12">C35-C6</f>
        <v>24.037412873754185</v>
      </c>
      <c r="D48" s="89">
        <f t="shared" si="12"/>
        <v>1.4684186127468148</v>
      </c>
      <c r="E48" s="90"/>
      <c r="F48" s="88">
        <f t="shared" si="12"/>
        <v>-63.213287225375964</v>
      </c>
      <c r="G48" s="89">
        <f t="shared" si="12"/>
        <v>68.053899308136167</v>
      </c>
      <c r="H48" s="89">
        <f t="shared" si="12"/>
        <v>-4.8406120827602095</v>
      </c>
      <c r="I48" s="90"/>
      <c r="J48" s="89">
        <f t="shared" si="12"/>
        <v>-12.982044838078163</v>
      </c>
      <c r="K48" s="89">
        <f t="shared" si="12"/>
        <v>32.973743278501082</v>
      </c>
      <c r="L48" s="89">
        <f t="shared" si="12"/>
        <v>-19.991698440422905</v>
      </c>
      <c r="M48" s="203"/>
    </row>
    <row r="49" spans="1:1">
      <c r="A49" s="26"/>
    </row>
    <row r="50" spans="1:1">
      <c r="A50" s="1" t="s">
        <v>60</v>
      </c>
    </row>
    <row r="52" spans="1:1">
      <c r="A52" s="1" t="s">
        <v>98</v>
      </c>
    </row>
  </sheetData>
  <mergeCells count="5">
    <mergeCell ref="A44:M44"/>
    <mergeCell ref="B4:E4"/>
    <mergeCell ref="F4:I4"/>
    <mergeCell ref="J4:M4"/>
    <mergeCell ref="A38:M38"/>
  </mergeCells>
  <pageMargins left="0.7" right="0.7" top="0.75" bottom="0.75" header="0.3" footer="0.3"/>
  <pageSetup scale="67" orientation="landscape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78"/>
  <dimension ref="A1:M43"/>
  <sheetViews>
    <sheetView zoomScaleNormal="100" workbookViewId="0">
      <selection activeCell="B15" sqref="B15"/>
    </sheetView>
  </sheetViews>
  <sheetFormatPr defaultRowHeight="15"/>
  <cols>
    <col min="1" max="1" width="10.140625" customWidth="1"/>
    <col min="2" max="2" width="13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9" max="9" width="9.140625" customWidth="1"/>
    <col min="10" max="10" width="12.7109375" bestFit="1" customWidth="1"/>
    <col min="11" max="11" width="10.42578125" bestFit="1" customWidth="1"/>
    <col min="12" max="12" width="21.85546875" bestFit="1" customWidth="1"/>
    <col min="13" max="13" width="9.7109375" customWidth="1"/>
  </cols>
  <sheetData>
    <row r="1" spans="1:13">
      <c r="A1" s="398" t="s">
        <v>197</v>
      </c>
      <c r="B1" s="398"/>
      <c r="C1" s="398"/>
      <c r="D1" s="398"/>
      <c r="E1" s="398"/>
      <c r="F1" s="398"/>
    </row>
    <row r="2" spans="1:13">
      <c r="A2" s="398"/>
      <c r="B2" s="398"/>
      <c r="C2" s="398"/>
      <c r="D2" s="398"/>
      <c r="E2" s="398"/>
      <c r="F2" s="398"/>
    </row>
    <row r="3" spans="1:13">
      <c r="A3" s="223"/>
      <c r="B3" s="223"/>
      <c r="C3" s="223"/>
      <c r="D3" s="223"/>
      <c r="E3" s="223"/>
      <c r="F3" s="223"/>
    </row>
    <row r="4" spans="1:13" s="238" customFormat="1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s="238" customFormat="1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 s="238" customFormat="1">
      <c r="A6" s="184">
        <v>1981</v>
      </c>
      <c r="B6" s="190" t="str">
        <f>IFERROR('7a'!B6/'5h'!$B5*1000, "na")</f>
        <v>na</v>
      </c>
      <c r="C6" s="191" t="str">
        <f>IFERROR('7a'!C6/'5h'!$B5*1000, "na")</f>
        <v>na</v>
      </c>
      <c r="D6" s="191" t="str">
        <f>IFERROR('7a'!D6/'5h'!$B5*1000, "na")</f>
        <v>na</v>
      </c>
      <c r="E6" s="153" t="str">
        <f>IFERROR('7a'!E6/'5h'!$B5*1000, "na")</f>
        <v>na</v>
      </c>
      <c r="F6" s="190">
        <f>IFERROR('7a'!F6/'5h'!$C5*1000, "na")</f>
        <v>116.18257261410788</v>
      </c>
      <c r="G6" s="191">
        <f>IFERROR('7a'!G6/'5h'!$C5*1000, "na")</f>
        <v>31.120331950207468</v>
      </c>
      <c r="H6" s="191">
        <f>IFERROR('7a'!H6/'5h'!$C5*1000, "na")</f>
        <v>2126.5560165975103</v>
      </c>
      <c r="I6" s="153">
        <f>IFERROR('7a'!I6/'5h'!$C5*1000, "na")</f>
        <v>2273.8589211618255</v>
      </c>
      <c r="J6" s="190">
        <f>IFERROR('7a'!J6/'5h'!$D5*1000, "na")</f>
        <v>435.36726623973163</v>
      </c>
      <c r="K6" s="191">
        <f>IFERROR('7a'!K6/'5h'!$D5*1000, "na")</f>
        <v>306.22162457228831</v>
      </c>
      <c r="L6" s="191">
        <f>IFERROR('7a'!L6/'5h'!$D5*1000, "na")</f>
        <v>1810.7017800796177</v>
      </c>
      <c r="M6" s="153">
        <f>IFERROR('7a'!M6/'5h'!$D5*1000, "na")</f>
        <v>2552.2906708916375</v>
      </c>
    </row>
    <row r="7" spans="1:13" s="238" customFormat="1">
      <c r="A7" s="185">
        <v>1982</v>
      </c>
      <c r="B7" s="112" t="str">
        <f>IFERROR('7a'!B7/'5h'!$B6*1000, "na")</f>
        <v>na</v>
      </c>
      <c r="C7" s="113" t="str">
        <f>IFERROR('7a'!C7/'5h'!$B6*1000, "na")</f>
        <v>na</v>
      </c>
      <c r="D7" s="113" t="str">
        <f>IFERROR('7a'!D7/'5h'!$B6*1000, "na")</f>
        <v>na</v>
      </c>
      <c r="E7" s="97" t="str">
        <f>IFERROR('7a'!E7/'5h'!$B6*1000, "na")</f>
        <v>na</v>
      </c>
      <c r="F7" s="112">
        <f>IFERROR('7a'!F7/'5h'!$C6*1000, "na")</f>
        <v>107.60401721664276</v>
      </c>
      <c r="G7" s="113">
        <f>IFERROR('7a'!G7/'5h'!$C6*1000, "na")</f>
        <v>26.303204208512671</v>
      </c>
      <c r="H7" s="113">
        <f>IFERROR('7a'!H7/'5h'!$C6*1000, "na")</f>
        <v>2802.4868483978958</v>
      </c>
      <c r="I7" s="97">
        <f>IFERROR('7a'!I7/'5h'!$C6*1000, "na")</f>
        <v>2936.3940698230513</v>
      </c>
      <c r="J7" s="112">
        <f>IFERROR('7a'!J7/'5h'!$D6*1000, "na")</f>
        <v>521.06655811113376</v>
      </c>
      <c r="K7" s="113">
        <f>IFERROR('7a'!K7/'5h'!$D6*1000, "na")</f>
        <v>363.66103534839539</v>
      </c>
      <c r="L7" s="113">
        <f>IFERROR('7a'!L7/'5h'!$D6*1000, "na")</f>
        <v>2084.266232444535</v>
      </c>
      <c r="M7" s="97">
        <f>IFERROR('7a'!M7/'5h'!$D6*1000, "na")</f>
        <v>2968.9938259040641</v>
      </c>
    </row>
    <row r="8" spans="1:13" s="238" customFormat="1">
      <c r="A8" s="185">
        <v>1983</v>
      </c>
      <c r="B8" s="112" t="str">
        <f>IFERROR('7a'!B8/'5h'!$B7*1000, "na")</f>
        <v>na</v>
      </c>
      <c r="C8" s="113" t="str">
        <f>IFERROR('7a'!C8/'5h'!$B7*1000, "na")</f>
        <v>na</v>
      </c>
      <c r="D8" s="113" t="str">
        <f>IFERROR('7a'!D8/'5h'!$B7*1000, "na")</f>
        <v>na</v>
      </c>
      <c r="E8" s="97" t="str">
        <f>IFERROR('7a'!E8/'5h'!$B7*1000, "na")</f>
        <v>na</v>
      </c>
      <c r="F8" s="112">
        <f>IFERROR('7a'!F8/'5h'!$C7*1000, "na")</f>
        <v>76.48183556405354</v>
      </c>
      <c r="G8" s="113">
        <f>IFERROR('7a'!G8/'5h'!$C7*1000, "na")</f>
        <v>24.583447145588636</v>
      </c>
      <c r="H8" s="113">
        <f>IFERROR('7a'!H8/'5h'!$C7*1000, "na")</f>
        <v>3441.682600382409</v>
      </c>
      <c r="I8" s="97">
        <f>IFERROR('7a'!I8/'5h'!$C7*1000, "na")</f>
        <v>3542.7478830920513</v>
      </c>
      <c r="J8" s="112">
        <f>IFERROR('7a'!J8/'5h'!$D7*1000, "na")</f>
        <v>578.97642354145057</v>
      </c>
      <c r="K8" s="113">
        <f>IFERROR('7a'!K8/'5h'!$D7*1000, "na")</f>
        <v>413.36223727261711</v>
      </c>
      <c r="L8" s="113">
        <f>IFERROR('7a'!L8/'5h'!$D7*1000, "na")</f>
        <v>2266.0867926052592</v>
      </c>
      <c r="M8" s="97">
        <f>IFERROR('7a'!M8/'5h'!$D7*1000, "na")</f>
        <v>3258.4254534193269</v>
      </c>
    </row>
    <row r="9" spans="1:13" s="238" customFormat="1">
      <c r="A9" s="185">
        <v>1984</v>
      </c>
      <c r="B9" s="112" t="str">
        <f>IFERROR('7a'!B9/'5h'!$B8*1000, "na")</f>
        <v>na</v>
      </c>
      <c r="C9" s="113" t="str">
        <f>IFERROR('7a'!C9/'5h'!$B8*1000, "na")</f>
        <v>na</v>
      </c>
      <c r="D9" s="113" t="str">
        <f>IFERROR('7a'!D9/'5h'!$B8*1000, "na")</f>
        <v>na</v>
      </c>
      <c r="E9" s="97" t="str">
        <f>IFERROR('7a'!E9/'5h'!$B8*1000, "na")</f>
        <v>na</v>
      </c>
      <c r="F9" s="112">
        <f>IFERROR('7a'!F9/'5h'!$C8*1000, "na")</f>
        <v>46.460781634326324</v>
      </c>
      <c r="G9" s="113">
        <f>IFERROR('7a'!G9/'5h'!$C8*1000, "na")</f>
        <v>19.130910084722601</v>
      </c>
      <c r="H9" s="113">
        <f>IFERROR('7a'!H9/'5h'!$C8*1000, "na")</f>
        <v>3984.6952719322221</v>
      </c>
      <c r="I9" s="97">
        <f>IFERROR('7a'!I9/'5h'!$C8*1000, "na")</f>
        <v>4050.2869636512714</v>
      </c>
      <c r="J9" s="112">
        <f>IFERROR('7a'!J9/'5h'!$D8*1000, "na")</f>
        <v>687.75439894859073</v>
      </c>
      <c r="K9" s="113">
        <f>IFERROR('7a'!K9/'5h'!$D8*1000, "na")</f>
        <v>465.73349836036289</v>
      </c>
      <c r="L9" s="113">
        <f>IFERROR('7a'!L9/'5h'!$D8*1000, "na")</f>
        <v>2384.8107080425157</v>
      </c>
      <c r="M9" s="97">
        <f>IFERROR('7a'!M9/'5h'!$D8*1000, "na")</f>
        <v>3538.2986053514692</v>
      </c>
    </row>
    <row r="10" spans="1:13" s="238" customFormat="1">
      <c r="A10" s="185">
        <v>1985</v>
      </c>
      <c r="B10" s="112" t="str">
        <f>IFERROR('7a'!B10/'5h'!$B9*1000, "na")</f>
        <v>na</v>
      </c>
      <c r="C10" s="113" t="str">
        <f>IFERROR('7a'!C10/'5h'!$B9*1000, "na")</f>
        <v>na</v>
      </c>
      <c r="D10" s="113" t="str">
        <f>IFERROR('7a'!D10/'5h'!$B9*1000, "na")</f>
        <v>na</v>
      </c>
      <c r="E10" s="97" t="str">
        <f>IFERROR('7a'!E10/'5h'!$B9*1000, "na")</f>
        <v>na</v>
      </c>
      <c r="F10" s="112">
        <f>IFERROR('7a'!F10/'5h'!$C9*1000, "na")</f>
        <v>40.045766590389015</v>
      </c>
      <c r="G10" s="113">
        <f>IFERROR('7a'!G10/'5h'!$C9*1000, "na")</f>
        <v>17.162471395881006</v>
      </c>
      <c r="H10" s="113">
        <f>IFERROR('7a'!H10/'5h'!$C9*1000, "na")</f>
        <v>4633.8672768878714</v>
      </c>
      <c r="I10" s="97">
        <f>IFERROR('7a'!I10/'5h'!$C9*1000, "na")</f>
        <v>4691.0755148741409</v>
      </c>
      <c r="J10" s="112">
        <f>IFERROR('7a'!J10/'5h'!$D9*1000, "na")</f>
        <v>787.86830991133399</v>
      </c>
      <c r="K10" s="113">
        <f>IFERROR('7a'!K10/'5h'!$D9*1000, "na")</f>
        <v>522.36409889105687</v>
      </c>
      <c r="L10" s="113">
        <f>IFERROR('7a'!L10/'5h'!$D9*1000, "na")</f>
        <v>2501.91410012596</v>
      </c>
      <c r="M10" s="97">
        <f>IFERROR('7a'!M10/'5h'!$D9*1000, "na")</f>
        <v>3812.1465089283506</v>
      </c>
    </row>
    <row r="11" spans="1:13" s="238" customFormat="1">
      <c r="A11" s="185">
        <v>1986</v>
      </c>
      <c r="B11" s="112" t="str">
        <f>IFERROR('7a'!B11/'5h'!$B10*1000, "na")</f>
        <v>na</v>
      </c>
      <c r="C11" s="113" t="str">
        <f>IFERROR('7a'!C11/'5h'!$B10*1000, "na")</f>
        <v>na</v>
      </c>
      <c r="D11" s="113" t="str">
        <f>IFERROR('7a'!D11/'5h'!$B10*1000, "na")</f>
        <v>na</v>
      </c>
      <c r="E11" s="97" t="str">
        <f>IFERROR('7a'!E11/'5h'!$B10*1000, "na")</f>
        <v>na</v>
      </c>
      <c r="F11" s="112">
        <f>IFERROR('7a'!F11/'5h'!$C10*1000, "na")</f>
        <v>34.066274388355531</v>
      </c>
      <c r="G11" s="113">
        <f>IFERROR('7a'!G11/'5h'!$C10*1000, "na")</f>
        <v>18.581604211830292</v>
      </c>
      <c r="H11" s="113">
        <f>IFERROR('7a'!H11/'5h'!$C10*1000, "na")</f>
        <v>5181.1706410653451</v>
      </c>
      <c r="I11" s="97">
        <f>IFERROR('7a'!I11/'5h'!$C10*1000, "na")</f>
        <v>5233.8185196655313</v>
      </c>
      <c r="J11" s="112">
        <f>IFERROR('7a'!J11/'5h'!$D10*1000, "na")</f>
        <v>825.30616196330902</v>
      </c>
      <c r="K11" s="113">
        <f>IFERROR('7a'!K11/'5h'!$D10*1000, "na")</f>
        <v>576.02013650225081</v>
      </c>
      <c r="L11" s="113">
        <f>IFERROR('7a'!L11/'5h'!$D10*1000, "na")</f>
        <v>2647.7564257708505</v>
      </c>
      <c r="M11" s="97">
        <f>IFERROR('7a'!M11/'5h'!$D10*1000, "na")</f>
        <v>4049.0827242364107</v>
      </c>
    </row>
    <row r="12" spans="1:13" s="238" customFormat="1">
      <c r="A12" s="185">
        <v>1987</v>
      </c>
      <c r="B12" s="112" t="str">
        <f>IFERROR('7a'!B12/'5h'!$B11*1000, "na")</f>
        <v>na</v>
      </c>
      <c r="C12" s="113" t="str">
        <f>IFERROR('7a'!C12/'5h'!$B11*1000, "na")</f>
        <v>na</v>
      </c>
      <c r="D12" s="113" t="str">
        <f>IFERROR('7a'!D12/'5h'!$B11*1000, "na")</f>
        <v>na</v>
      </c>
      <c r="E12" s="97" t="str">
        <f>IFERROR('7a'!E12/'5h'!$B11*1000, "na")</f>
        <v>na</v>
      </c>
      <c r="F12" s="112">
        <f>IFERROR('7a'!F12/'5h'!$C11*1000, "na")</f>
        <v>33.266799733865597</v>
      </c>
      <c r="G12" s="113">
        <f>IFERROR('7a'!G12/'5h'!$C11*1000, "na")</f>
        <v>19.960079840319363</v>
      </c>
      <c r="H12" s="113">
        <f>IFERROR('7a'!H12/'5h'!$C11*1000, "na")</f>
        <v>5652.0292747837657</v>
      </c>
      <c r="I12" s="97">
        <f>IFERROR('7a'!I12/'5h'!$C11*1000, "na")</f>
        <v>5705.2561543579504</v>
      </c>
      <c r="J12" s="112">
        <f>IFERROR('7a'!J12/'5h'!$D11*1000, "na")</f>
        <v>894.83351386991944</v>
      </c>
      <c r="K12" s="113">
        <f>IFERROR('7a'!K12/'5h'!$D11*1000, "na")</f>
        <v>641.68982244619224</v>
      </c>
      <c r="L12" s="113">
        <f>IFERROR('7a'!L12/'5h'!$D11*1000, "na")</f>
        <v>2757.5001177412519</v>
      </c>
      <c r="M12" s="97">
        <f>IFERROR('7a'!M12/'5h'!$D11*1000, "na")</f>
        <v>4294.0234540573638</v>
      </c>
    </row>
    <row r="13" spans="1:13" s="238" customFormat="1">
      <c r="A13" s="185">
        <v>1988</v>
      </c>
      <c r="B13" s="112" t="str">
        <f>IFERROR('7a'!B13/'5h'!$B12*1000, "na")</f>
        <v>na</v>
      </c>
      <c r="C13" s="113" t="str">
        <f>IFERROR('7a'!C13/'5h'!$B12*1000, "na")</f>
        <v>na</v>
      </c>
      <c r="D13" s="113" t="str">
        <f>IFERROR('7a'!D13/'5h'!$B12*1000, "na")</f>
        <v>na</v>
      </c>
      <c r="E13" s="97" t="str">
        <f>IFERROR('7a'!E13/'5h'!$B12*1000, "na")</f>
        <v>na</v>
      </c>
      <c r="F13" s="112">
        <f>IFERROR('7a'!F13/'5h'!$C12*1000, "na")</f>
        <v>79.228384429900103</v>
      </c>
      <c r="G13" s="113">
        <f>IFERROR('7a'!G13/'5h'!$C12*1000, "na")</f>
        <v>37.891836031691348</v>
      </c>
      <c r="H13" s="113">
        <f>IFERROR('7a'!H13/'5h'!$C12*1000, "na")</f>
        <v>6283.15535652773</v>
      </c>
      <c r="I13" s="97">
        <f>IFERROR('7a'!I13/'5h'!$C12*1000, "na")</f>
        <v>6400.2755769893211</v>
      </c>
      <c r="J13" s="112">
        <f>IFERROR('7a'!J13/'5h'!$D12*1000, "na")</f>
        <v>939.57132769970167</v>
      </c>
      <c r="K13" s="113">
        <f>IFERROR('7a'!K13/'5h'!$D12*1000, "na")</f>
        <v>706.10208869553333</v>
      </c>
      <c r="L13" s="113">
        <f>IFERROR('7a'!L13/'5h'!$D12*1000, "na")</f>
        <v>2816.4362344258934</v>
      </c>
      <c r="M13" s="97">
        <f>IFERROR('7a'!M13/'5h'!$D12*1000, "na")</f>
        <v>4462.1096508211285</v>
      </c>
    </row>
    <row r="14" spans="1:13" s="238" customFormat="1">
      <c r="A14" s="185">
        <v>1989</v>
      </c>
      <c r="B14" s="112" t="str">
        <f>IFERROR('7a'!B14/'5h'!$B13*1000, "na")</f>
        <v>na</v>
      </c>
      <c r="C14" s="113" t="str">
        <f>IFERROR('7a'!C14/'5h'!$B13*1000, "na")</f>
        <v>na</v>
      </c>
      <c r="D14" s="113" t="str">
        <f>IFERROR('7a'!D14/'5h'!$B13*1000, "na")</f>
        <v>na</v>
      </c>
      <c r="E14" s="97" t="str">
        <f>IFERROR('7a'!E14/'5h'!$B13*1000, "na")</f>
        <v>na</v>
      </c>
      <c r="F14" s="112">
        <f>IFERROR('7a'!F14/'5h'!$C13*1000, "na")</f>
        <v>165.02808988764045</v>
      </c>
      <c r="G14" s="113">
        <f>IFERROR('7a'!G14/'5h'!$C13*1000, "na")</f>
        <v>101.82584269662921</v>
      </c>
      <c r="H14" s="113">
        <f>IFERROR('7a'!H14/'5h'!$C13*1000, "na")</f>
        <v>6952.2471910112363</v>
      </c>
      <c r="I14" s="97">
        <f>IFERROR('7a'!I14/'5h'!$C13*1000, "na")</f>
        <v>7219.1011235955057</v>
      </c>
      <c r="J14" s="112">
        <f>IFERROR('7a'!J14/'5h'!$D13*1000, "na")</f>
        <v>993.4840765038241</v>
      </c>
      <c r="K14" s="113">
        <f>IFERROR('7a'!K14/'5h'!$D13*1000, "na")</f>
        <v>799.22741350028309</v>
      </c>
      <c r="L14" s="113">
        <f>IFERROR('7a'!L14/'5h'!$D13*1000, "na")</f>
        <v>2912.7399069788089</v>
      </c>
      <c r="M14" s="97">
        <f>IFERROR('7a'!M14/'5h'!$D13*1000, "na")</f>
        <v>4705.4513969829159</v>
      </c>
    </row>
    <row r="15" spans="1:13" s="238" customFormat="1">
      <c r="A15" s="185">
        <v>1990</v>
      </c>
      <c r="B15" s="112">
        <f>IFERROR('7a'!B15/'5h'!$B14*1000, "na")</f>
        <v>529.10052910052912</v>
      </c>
      <c r="C15" s="113">
        <f>IFERROR('7a'!C15/'5h'!$B14*1000, "na")</f>
        <v>742.6303854875282</v>
      </c>
      <c r="D15" s="113">
        <f>IFERROR('7a'!D15/'5h'!$B14*1000, "na")</f>
        <v>6196.1451247165533</v>
      </c>
      <c r="E15" s="97">
        <f>IFERROR('7a'!E15/'5h'!$B14*1000, "na")</f>
        <v>7467.8760393046095</v>
      </c>
      <c r="F15" s="112">
        <f>IFERROR('7a'!F15/'5h'!$C14*1000, "na")</f>
        <v>264.9006622516556</v>
      </c>
      <c r="G15" s="113">
        <f>IFERROR('7a'!G15/'5h'!$C14*1000, "na")</f>
        <v>220.75055187637969</v>
      </c>
      <c r="H15" s="113">
        <f>IFERROR('7a'!H15/'5h'!$C14*1000, "na")</f>
        <v>7262.6931567328911</v>
      </c>
      <c r="I15" s="97">
        <f>IFERROR('7a'!I15/'5h'!$C14*1000, "na")</f>
        <v>7748.3443708609275</v>
      </c>
      <c r="J15" s="112">
        <f>IFERROR('7a'!J15/'5h'!$D14*1000, "na")</f>
        <v>969.56254392129301</v>
      </c>
      <c r="K15" s="113">
        <f>IFERROR('7a'!K15/'5h'!$D14*1000, "na")</f>
        <v>933.32747716092751</v>
      </c>
      <c r="L15" s="113">
        <f>IFERROR('7a'!L15/'5h'!$D14*1000, "na")</f>
        <v>3020.6869290231903</v>
      </c>
      <c r="M15" s="97">
        <f>IFERROR('7a'!M15/'5h'!$D14*1000, "na")</f>
        <v>4923.576950105411</v>
      </c>
    </row>
    <row r="16" spans="1:13" s="238" customFormat="1">
      <c r="A16" s="185">
        <v>1991</v>
      </c>
      <c r="B16" s="112">
        <f>IFERROR('7a'!B16/'5h'!$B15*1000, "na")</f>
        <v>531.0239817282071</v>
      </c>
      <c r="C16" s="113">
        <f>IFERROR('7a'!C16/'5h'!$B15*1000, "na")</f>
        <v>921.20289303387904</v>
      </c>
      <c r="D16" s="113">
        <f>IFERROR('7a'!D16/'5h'!$B15*1000, "na")</f>
        <v>7139.3224210125627</v>
      </c>
      <c r="E16" s="97">
        <f>IFERROR('7a'!E16/'5h'!$B15*1000, "na")</f>
        <v>8591.5492957746483</v>
      </c>
      <c r="F16" s="112">
        <f>IFERROR('7a'!F16/'5h'!$C15*1000, "na")</f>
        <v>348.20031298904541</v>
      </c>
      <c r="G16" s="113">
        <f>IFERROR('7a'!G16/'5h'!$C15*1000, "na")</f>
        <v>363.849765258216</v>
      </c>
      <c r="H16" s="113">
        <f>IFERROR('7a'!H16/'5h'!$C15*1000, "na")</f>
        <v>7476.525821596244</v>
      </c>
      <c r="I16" s="97">
        <f>IFERROR('7a'!I16/'5h'!$C15*1000, "na")</f>
        <v>8188.5758998435067</v>
      </c>
      <c r="J16" s="112">
        <f>IFERROR('7a'!J16/'5h'!$D15*1000, "na")</f>
        <v>937.33649489585764</v>
      </c>
      <c r="K16" s="113">
        <f>IFERROR('7a'!K16/'5h'!$D15*1000, "na")</f>
        <v>1047.5458927517841</v>
      </c>
      <c r="L16" s="113">
        <f>IFERROR('7a'!L16/'5h'!$D15*1000, "na")</f>
        <v>3178.2609179663582</v>
      </c>
      <c r="M16" s="97">
        <f>IFERROR('7a'!M16/'5h'!$D15*1000, "na")</f>
        <v>5163.1433056139995</v>
      </c>
    </row>
    <row r="17" spans="1:13" s="238" customFormat="1">
      <c r="A17" s="185">
        <v>1992</v>
      </c>
      <c r="B17" s="112">
        <f>IFERROR('7a'!B17/'5h'!$B16*1000, "na")</f>
        <v>581.21632024634334</v>
      </c>
      <c r="C17" s="113">
        <f>IFERROR('7a'!C17/'5h'!$B16*1000, "na")</f>
        <v>1120.0923787528866</v>
      </c>
      <c r="D17" s="113">
        <f>IFERROR('7a'!D17/'5h'!$B16*1000, "na")</f>
        <v>10706.312548113934</v>
      </c>
      <c r="E17" s="97">
        <f>IFERROR('7a'!E17/'5h'!$B16*1000, "na")</f>
        <v>12407.621247113162</v>
      </c>
      <c r="F17" s="112">
        <f>IFERROR('7a'!F17/'5h'!$C16*1000, "na")</f>
        <v>499.79846835953248</v>
      </c>
      <c r="G17" s="113">
        <f>IFERROR('7a'!G17/'5h'!$C16*1000, "na")</f>
        <v>564.28859330914963</v>
      </c>
      <c r="H17" s="113">
        <f>IFERROR('7a'!H17/'5h'!$C16*1000, "na")</f>
        <v>7198.7101975010073</v>
      </c>
      <c r="I17" s="97">
        <f>IFERROR('7a'!I17/'5h'!$C16*1000, "na")</f>
        <v>8262.7972591696889</v>
      </c>
      <c r="J17" s="112">
        <f>IFERROR('7a'!J17/'5h'!$D16*1000, "na")</f>
        <v>928.39670891705589</v>
      </c>
      <c r="K17" s="113">
        <f>IFERROR('7a'!K17/'5h'!$D16*1000, "na")</f>
        <v>1156.3264398487879</v>
      </c>
      <c r="L17" s="113">
        <f>IFERROR('7a'!L17/'5h'!$D16*1000, "na")</f>
        <v>3279.964420724928</v>
      </c>
      <c r="M17" s="97">
        <f>IFERROR('7a'!M17/'5h'!$D16*1000, "na")</f>
        <v>5364.6875694907721</v>
      </c>
    </row>
    <row r="18" spans="1:13" s="238" customFormat="1">
      <c r="A18" s="185">
        <v>1993</v>
      </c>
      <c r="B18" s="112">
        <f>IFERROR('7a'!B18/'5h'!$B17*1000, "na")</f>
        <v>689.12117692605489</v>
      </c>
      <c r="C18" s="113">
        <f>IFERROR('7a'!C18/'5h'!$B17*1000, "na")</f>
        <v>1430.5071622144792</v>
      </c>
      <c r="D18" s="113">
        <f>IFERROR('7a'!D18/'5h'!$B17*1000, "na")</f>
        <v>13530.778164924506</v>
      </c>
      <c r="E18" s="97">
        <f>IFERROR('7a'!E18/'5h'!$B17*1000, "na")</f>
        <v>15650.40650406504</v>
      </c>
      <c r="F18" s="112">
        <f>IFERROR('7a'!F18/'5h'!$C17*1000, "na")</f>
        <v>1019.8183319570604</v>
      </c>
      <c r="G18" s="113">
        <f>IFERROR('7a'!G18/'5h'!$C17*1000, "na")</f>
        <v>1440.9578860445913</v>
      </c>
      <c r="H18" s="113">
        <f>IFERROR('7a'!H18/'5h'!$C17*1000, "na")</f>
        <v>7369.9421965317924</v>
      </c>
      <c r="I18" s="97">
        <f>IFERROR('7a'!I18/'5h'!$C17*1000, "na")</f>
        <v>9830.7184145334431</v>
      </c>
      <c r="J18" s="112">
        <f>IFERROR('7a'!J18/'5h'!$D17*1000, "na")</f>
        <v>939.52425017690916</v>
      </c>
      <c r="K18" s="113">
        <f>IFERROR('7a'!K18/'5h'!$D17*1000, "na")</f>
        <v>1272.657993576833</v>
      </c>
      <c r="L18" s="113">
        <f>IFERROR('7a'!L18/'5h'!$D17*1000, "na")</f>
        <v>3332.4261063632903</v>
      </c>
      <c r="M18" s="97">
        <f>IFERROR('7a'!M18/'5h'!$D17*1000, "na")</f>
        <v>5544.6083501170324</v>
      </c>
    </row>
    <row r="19" spans="1:13" s="238" customFormat="1">
      <c r="A19" s="185">
        <v>1994</v>
      </c>
      <c r="B19" s="112">
        <f>IFERROR('7a'!B19/'5h'!$B18*1000, "na")</f>
        <v>856.80751173708927</v>
      </c>
      <c r="C19" s="113">
        <f>IFERROR('7a'!C19/'5h'!$B18*1000, "na")</f>
        <v>1928.7949921752738</v>
      </c>
      <c r="D19" s="113">
        <f>IFERROR('7a'!D19/'5h'!$B18*1000, "na")</f>
        <v>17388.497652582158</v>
      </c>
      <c r="E19" s="97">
        <f>IFERROR('7a'!E19/'5h'!$B18*1000, "na")</f>
        <v>20174.100156494522</v>
      </c>
      <c r="F19" s="112">
        <f>IFERROR('7a'!F19/'5h'!$C18*1000, "na")</f>
        <v>1534.5268542199487</v>
      </c>
      <c r="G19" s="113">
        <f>IFERROR('7a'!G19/'5h'!$C18*1000, "na")</f>
        <v>2289.0025575447571</v>
      </c>
      <c r="H19" s="113">
        <f>IFERROR('7a'!H19/'5h'!$C18*1000, "na")</f>
        <v>7638.5336743393018</v>
      </c>
      <c r="I19" s="97">
        <f>IFERROR('7a'!I19/'5h'!$C18*1000, "na")</f>
        <v>11462.063086104006</v>
      </c>
      <c r="J19" s="112">
        <f>IFERROR('7a'!J19/'5h'!$D18*1000, "na")</f>
        <v>958.78588869243072</v>
      </c>
      <c r="K19" s="113">
        <f>IFERROR('7a'!K19/'5h'!$D18*1000, "na")</f>
        <v>1338.7218994695631</v>
      </c>
      <c r="L19" s="113">
        <f>IFERROR('7a'!L19/'5h'!$D18*1000, "na")</f>
        <v>3333.1228424686369</v>
      </c>
      <c r="M19" s="97">
        <f>IFERROR('7a'!M19/'5h'!$D18*1000, "na")</f>
        <v>5630.6306306306305</v>
      </c>
    </row>
    <row r="20" spans="1:13" s="238" customFormat="1">
      <c r="A20" s="185">
        <v>1995</v>
      </c>
      <c r="B20" s="112">
        <f>IFERROR('7a'!B20/'5h'!$B19*1000, "na")</f>
        <v>1321.1978860833824</v>
      </c>
      <c r="C20" s="113">
        <f>IFERROR('7a'!C20/'5h'!$B19*1000, "na")</f>
        <v>2955.5686044235663</v>
      </c>
      <c r="D20" s="113">
        <f>IFERROR('7a'!D20/'5h'!$B19*1000, "na")</f>
        <v>26120.57154041887</v>
      </c>
      <c r="E20" s="97">
        <f>IFERROR('7a'!E20/'5h'!$B19*1000, "na")</f>
        <v>30397.338030925821</v>
      </c>
      <c r="F20" s="112">
        <f>IFERROR('7a'!F20/'5h'!$C19*1000, "na")</f>
        <v>1819.3548387096773</v>
      </c>
      <c r="G20" s="113">
        <f>IFERROR('7a'!G20/'5h'!$C19*1000, "na")</f>
        <v>2653.7634408602153</v>
      </c>
      <c r="H20" s="113">
        <f>IFERROR('7a'!H20/'5h'!$C19*1000, "na")</f>
        <v>7673.1182795698924</v>
      </c>
      <c r="I20" s="97">
        <f>IFERROR('7a'!I20/'5h'!$C19*1000, "na")</f>
        <v>12146.236559139785</v>
      </c>
      <c r="J20" s="112">
        <f>IFERROR('7a'!J20/'5h'!$D19*1000, "na")</f>
        <v>1010.5757931844887</v>
      </c>
      <c r="K20" s="113">
        <f>IFERROR('7a'!K20/'5h'!$D19*1000, "na")</f>
        <v>1431.5638890308078</v>
      </c>
      <c r="L20" s="113">
        <f>IFERROR('7a'!L20/'5h'!$D19*1000, "na")</f>
        <v>3401.6246870689215</v>
      </c>
      <c r="M20" s="97">
        <f>IFERROR('7a'!M20/'5h'!$D19*1000, "na")</f>
        <v>5843.7643692842184</v>
      </c>
    </row>
    <row r="21" spans="1:13" s="238" customFormat="1">
      <c r="A21" s="185">
        <v>1996</v>
      </c>
      <c r="B21" s="112">
        <f>IFERROR('7a'!B21/'5h'!$B20*1000, "na")</f>
        <v>1751.9497812440554</v>
      </c>
      <c r="C21" s="113">
        <f>IFERROR('7a'!C21/'5h'!$B20*1000, "na")</f>
        <v>3983.2604146851813</v>
      </c>
      <c r="D21" s="113">
        <f>IFERROR('7a'!D21/'5h'!$B20*1000, "na")</f>
        <v>36277.344493056873</v>
      </c>
      <c r="E21" s="97">
        <f>IFERROR('7a'!E21/'5h'!$B20*1000, "na")</f>
        <v>42012.554688986107</v>
      </c>
      <c r="F21" s="112">
        <f>IFERROR('7a'!F21/'5h'!$C20*1000, "na")</f>
        <v>1918.2948490230906</v>
      </c>
      <c r="G21" s="113">
        <f>IFERROR('7a'!G21/'5h'!$C20*1000, "na")</f>
        <v>2877.4422735346361</v>
      </c>
      <c r="H21" s="113">
        <f>IFERROR('7a'!H21/'5h'!$C20*1000, "na")</f>
        <v>8063.9431616341035</v>
      </c>
      <c r="I21" s="97">
        <f>IFERROR('7a'!I21/'5h'!$C20*1000, "na")</f>
        <v>12859.680284191831</v>
      </c>
      <c r="J21" s="112">
        <f>IFERROR('7a'!J21/'5h'!$D20*1000, "na")</f>
        <v>1063.2031866146212</v>
      </c>
      <c r="K21" s="113">
        <f>IFERROR('7a'!K21/'5h'!$D20*1000, "na")</f>
        <v>1537.4017909732552</v>
      </c>
      <c r="L21" s="113">
        <f>IFERROR('7a'!L21/'5h'!$D20*1000, "na")</f>
        <v>3606.9043316794618</v>
      </c>
      <c r="M21" s="97">
        <f>IFERROR('7a'!M21/'5h'!$D20*1000, "na")</f>
        <v>6207.5093092673378</v>
      </c>
    </row>
    <row r="22" spans="1:13" s="238" customFormat="1">
      <c r="A22" s="185">
        <v>1997</v>
      </c>
      <c r="B22" s="112">
        <f>IFERROR('7a'!B22/'5h'!$B21*1000, "na")</f>
        <v>2498.1549815498156</v>
      </c>
      <c r="C22" s="113">
        <f>IFERROR('7a'!C22/'5h'!$B21*1000, "na")</f>
        <v>5616.2361623616234</v>
      </c>
      <c r="D22" s="113">
        <f>IFERROR('7a'!D22/'5h'!$B21*1000, "na")</f>
        <v>47559.040590405908</v>
      </c>
      <c r="E22" s="97">
        <f>IFERROR('7a'!E22/'5h'!$B21*1000, "na")</f>
        <v>55673.431734317339</v>
      </c>
      <c r="F22" s="112">
        <f>IFERROR('7a'!F22/'5h'!$C21*1000, "na")</f>
        <v>1864.2533936651585</v>
      </c>
      <c r="G22" s="113">
        <f>IFERROR('7a'!G22/'5h'!$C21*1000, "na")</f>
        <v>2990.9502262443439</v>
      </c>
      <c r="H22" s="113">
        <f>IFERROR('7a'!H22/'5h'!$C21*1000, "na")</f>
        <v>7945.7013574660632</v>
      </c>
      <c r="I22" s="97">
        <f>IFERROR('7a'!I22/'5h'!$C21*1000, "na")</f>
        <v>12800.904977375567</v>
      </c>
      <c r="J22" s="112">
        <f>IFERROR('7a'!J22/'5h'!$D21*1000, "na")</f>
        <v>1140.4963486660267</v>
      </c>
      <c r="K22" s="113">
        <f>IFERROR('7a'!K22/'5h'!$D21*1000, "na")</f>
        <v>1745.6576765296325</v>
      </c>
      <c r="L22" s="113">
        <f>IFERROR('7a'!L22/'5h'!$D21*1000, "na")</f>
        <v>3733.7678081328249</v>
      </c>
      <c r="M22" s="97">
        <f>IFERROR('7a'!M22/'5h'!$D21*1000, "na")</f>
        <v>6619.9218333284844</v>
      </c>
    </row>
    <row r="23" spans="1:13" s="238" customFormat="1">
      <c r="A23" s="185">
        <v>1998</v>
      </c>
      <c r="B23" s="112">
        <f>IFERROR('7a'!B23/'5h'!$B22*1000, "na")</f>
        <v>2758.1304425093294</v>
      </c>
      <c r="C23" s="113">
        <f>IFERROR('7a'!C23/'5h'!$B22*1000, "na")</f>
        <v>6347.9651679402878</v>
      </c>
      <c r="D23" s="113">
        <f>IFERROR('7a'!D23/'5h'!$B22*1000, "na")</f>
        <v>53325.039985782831</v>
      </c>
      <c r="E23" s="97">
        <f>IFERROR('7a'!E23/'5h'!$B22*1000, "na")</f>
        <v>62431.135596232445</v>
      </c>
      <c r="F23" s="112">
        <f>IFERROR('7a'!F23/'5h'!$C22*1000, "na")</f>
        <v>1915.5555555555554</v>
      </c>
      <c r="G23" s="113">
        <f>IFERROR('7a'!G23/'5h'!$C22*1000, "na")</f>
        <v>3315.5555555555557</v>
      </c>
      <c r="H23" s="113">
        <f>IFERROR('7a'!H23/'5h'!$C22*1000, "na")</f>
        <v>7573.333333333333</v>
      </c>
      <c r="I23" s="97">
        <f>IFERROR('7a'!I23/'5h'!$C22*1000, "na")</f>
        <v>12804.444444444443</v>
      </c>
      <c r="J23" s="112">
        <f>IFERROR('7a'!J23/'5h'!$D22*1000, "na")</f>
        <v>1188.4437988700352</v>
      </c>
      <c r="K23" s="113">
        <f>IFERROR('7a'!K23/'5h'!$D22*1000, "na")</f>
        <v>2011.8655738014168</v>
      </c>
      <c r="L23" s="113">
        <f>IFERROR('7a'!L23/'5h'!$D22*1000, "na")</f>
        <v>3792.6448533781045</v>
      </c>
      <c r="M23" s="97">
        <f>IFERROR('7a'!M23/'5h'!$D22*1000, "na")</f>
        <v>6992.9542260495564</v>
      </c>
    </row>
    <row r="24" spans="1:13" s="238" customFormat="1">
      <c r="A24" s="185">
        <v>1999</v>
      </c>
      <c r="B24" s="112">
        <f>IFERROR('7a'!B24/'5h'!$B23*1000, "na")</f>
        <v>2597.6462561828416</v>
      </c>
      <c r="C24" s="113">
        <f>IFERROR('7a'!C24/'5h'!$B23*1000, "na")</f>
        <v>6128.2619819205192</v>
      </c>
      <c r="D24" s="113">
        <f>IFERROR('7a'!D24/'5h'!$B23*1000, "na")</f>
        <v>53006.993006993012</v>
      </c>
      <c r="E24" s="97">
        <f>IFERROR('7a'!E24/'5h'!$B23*1000, "na")</f>
        <v>61732.901245096371</v>
      </c>
      <c r="F24" s="112">
        <f>IFERROR('7a'!F24/'5h'!$C23*1000, "na")</f>
        <v>2001.7482517482517</v>
      </c>
      <c r="G24" s="113">
        <f>IFERROR('7a'!G24/'5h'!$C23*1000, "na")</f>
        <v>3693.181818181818</v>
      </c>
      <c r="H24" s="113">
        <f>IFERROR('7a'!H24/'5h'!$C23*1000, "na")</f>
        <v>7408.2167832167825</v>
      </c>
      <c r="I24" s="97">
        <f>IFERROR('7a'!I24/'5h'!$C23*1000, "na")</f>
        <v>13103.146853146853</v>
      </c>
      <c r="J24" s="112">
        <f>IFERROR('7a'!J24/'5h'!$D23*1000, "na")</f>
        <v>1375.5221463665973</v>
      </c>
      <c r="K24" s="113">
        <f>IFERROR('7a'!K24/'5h'!$D23*1000, "na")</f>
        <v>2432.6960234068783</v>
      </c>
      <c r="L24" s="113">
        <f>IFERROR('7a'!L24/'5h'!$D23*1000, "na")</f>
        <v>3965.5521410301235</v>
      </c>
      <c r="M24" s="97">
        <f>IFERROR('7a'!M24/'5h'!$D23*1000, "na")</f>
        <v>7773.7703108035994</v>
      </c>
    </row>
    <row r="25" spans="1:13" s="238" customFormat="1">
      <c r="A25" s="185">
        <v>2000</v>
      </c>
      <c r="B25" s="112">
        <f>IFERROR('7a'!B25/'5h'!$B24*1000, "na")</f>
        <v>2742.5130208333335</v>
      </c>
      <c r="C25" s="113">
        <f>IFERROR('7a'!C25/'5h'!$B24*1000, "na")</f>
        <v>6824.5442708333339</v>
      </c>
      <c r="D25" s="113">
        <f>IFERROR('7a'!D25/'5h'!$B24*1000, "na")</f>
        <v>56383.463541666672</v>
      </c>
      <c r="E25" s="97">
        <f>IFERROR('7a'!E25/'5h'!$B24*1000, "na")</f>
        <v>65950.520833333343</v>
      </c>
      <c r="F25" s="112">
        <f>IFERROR('7a'!F25/'5h'!$C24*1000, "na")</f>
        <v>1618.472162278809</v>
      </c>
      <c r="G25" s="113">
        <f>IFERROR('7a'!G25/'5h'!$C24*1000, "na")</f>
        <v>3094.5187742770827</v>
      </c>
      <c r="H25" s="113">
        <f>IFERROR('7a'!H25/'5h'!$C24*1000, "na")</f>
        <v>6922.7449287872259</v>
      </c>
      <c r="I25" s="97">
        <f>IFERROR('7a'!I25/'5h'!$C24*1000, "na")</f>
        <v>11635.735865343117</v>
      </c>
      <c r="J25" s="112">
        <f>IFERROR('7a'!J25/'5h'!$D24*1000, "na")</f>
        <v>1537.907112933015</v>
      </c>
      <c r="K25" s="113">
        <f>IFERROR('7a'!K25/'5h'!$D24*1000, "na")</f>
        <v>2880.3099238704444</v>
      </c>
      <c r="L25" s="113">
        <f>IFERROR('7a'!L25/'5h'!$D24*1000, "na")</f>
        <v>4357.8539573854678</v>
      </c>
      <c r="M25" s="97">
        <f>IFERROR('7a'!M25/'5h'!$D24*1000, "na")</f>
        <v>8776.0709941889272</v>
      </c>
    </row>
    <row r="26" spans="1:13" s="238" customFormat="1">
      <c r="A26" s="185">
        <v>2001</v>
      </c>
      <c r="B26" s="112">
        <f>IFERROR('7a'!B26/'5h'!$B25*1000, "na")</f>
        <v>2501.2189176011702</v>
      </c>
      <c r="C26" s="113">
        <f>IFERROR('7a'!C26/'5h'!$B25*1000, "na")</f>
        <v>6892.5727287502041</v>
      </c>
      <c r="D26" s="113">
        <f>IFERROR('7a'!D26/'5h'!$B25*1000, "na")</f>
        <v>59452.29969120754</v>
      </c>
      <c r="E26" s="97">
        <f>IFERROR('7a'!E26/'5h'!$B25*1000, "na")</f>
        <v>68846.091337558915</v>
      </c>
      <c r="F26" s="112">
        <f>IFERROR('7a'!F26/'5h'!$C25*1000, "na")</f>
        <v>1146.8901632112925</v>
      </c>
      <c r="G26" s="113">
        <f>IFERROR('7a'!G26/'5h'!$C25*1000, "na")</f>
        <v>2382.0026466696077</v>
      </c>
      <c r="H26" s="113">
        <f>IFERROR('7a'!H26/'5h'!$C25*1000, "na")</f>
        <v>6559.329510366123</v>
      </c>
      <c r="I26" s="97">
        <f>IFERROR('7a'!I26/'5h'!$C25*1000, "na")</f>
        <v>10088.222320247023</v>
      </c>
      <c r="J26" s="112">
        <f>IFERROR('7a'!J26/'5h'!$D25*1000, "na")</f>
        <v>1479.5678722404887</v>
      </c>
      <c r="K26" s="113">
        <f>IFERROR('7a'!K26/'5h'!$D25*1000, "na")</f>
        <v>3132.5649456227193</v>
      </c>
      <c r="L26" s="113">
        <f>IFERROR('7a'!L26/'5h'!$D25*1000, "na")</f>
        <v>4650.9737327022431</v>
      </c>
      <c r="M26" s="97">
        <f>IFERROR('7a'!M26/'5h'!$D25*1000, "na")</f>
        <v>9263.1065505654515</v>
      </c>
    </row>
    <row r="27" spans="1:13" s="238" customFormat="1">
      <c r="A27" s="185">
        <v>2002</v>
      </c>
      <c r="B27" s="112">
        <f>IFERROR('7a'!B27/'5h'!$B26*1000, "na")</f>
        <v>1918.3673469387754</v>
      </c>
      <c r="C27" s="113">
        <f>IFERROR('7a'!C27/'5h'!$B26*1000, "na")</f>
        <v>5206.7435669920142</v>
      </c>
      <c r="D27" s="113">
        <f>IFERROR('7a'!D27/'5h'!$B26*1000, "na")</f>
        <v>57943.21206743567</v>
      </c>
      <c r="E27" s="97">
        <f>IFERROR('7a'!E27/'5h'!$B26*1000, "na")</f>
        <v>65068.322981366466</v>
      </c>
      <c r="F27" s="112">
        <f>IFERROR('7a'!F27/'5h'!$C26*1000, "na")</f>
        <v>876.951331496786</v>
      </c>
      <c r="G27" s="113">
        <f>IFERROR('7a'!G27/'5h'!$C26*1000, "na")</f>
        <v>1831.9559228650137</v>
      </c>
      <c r="H27" s="113">
        <f>IFERROR('7a'!H27/'5h'!$C26*1000, "na")</f>
        <v>6359.0449954086316</v>
      </c>
      <c r="I27" s="97">
        <f>IFERROR('7a'!I27/'5h'!$C26*1000, "na")</f>
        <v>9067.9522497704311</v>
      </c>
      <c r="J27" s="112">
        <f>IFERROR('7a'!J27/'5h'!$D26*1000, "na")</f>
        <v>1484.9119711838864</v>
      </c>
      <c r="K27" s="113">
        <f>IFERROR('7a'!K27/'5h'!$D26*1000, "na")</f>
        <v>3309.8099753739848</v>
      </c>
      <c r="L27" s="113">
        <f>IFERROR('7a'!L27/'5h'!$D26*1000, "na")</f>
        <v>4780.9387290035647</v>
      </c>
      <c r="M27" s="97">
        <f>IFERROR('7a'!M27/'5h'!$D26*1000, "na")</f>
        <v>9575.6606755614375</v>
      </c>
    </row>
    <row r="28" spans="1:13" s="238" customFormat="1">
      <c r="A28" s="185">
        <v>2003</v>
      </c>
      <c r="B28" s="112">
        <f>IFERROR('7a'!B28/'5h'!$B27*1000, "na")</f>
        <v>1465.076660988075</v>
      </c>
      <c r="C28" s="113">
        <f>IFERROR('7a'!C28/'5h'!$B27*1000, "na")</f>
        <v>3956.0855574484199</v>
      </c>
      <c r="D28" s="113">
        <f>IFERROR('7a'!D28/'5h'!$B27*1000, "na")</f>
        <v>53727.049025175089</v>
      </c>
      <c r="E28" s="97">
        <f>IFERROR('7a'!E28/'5h'!$B27*1000, "na")</f>
        <v>59148.211243611593</v>
      </c>
      <c r="F28" s="112">
        <f>IFERROR('7a'!F28/'5h'!$C27*1000, "na")</f>
        <v>734.95636196600833</v>
      </c>
      <c r="G28" s="113">
        <f>IFERROR('7a'!G28/'5h'!$C27*1000, "na")</f>
        <v>1474.5062011943041</v>
      </c>
      <c r="H28" s="113">
        <f>IFERROR('7a'!H28/'5h'!$C27*1000, "na")</f>
        <v>5898.0248047772166</v>
      </c>
      <c r="I28" s="97">
        <f>IFERROR('7a'!I28/'5h'!$C27*1000, "na")</f>
        <v>8107.4873679375287</v>
      </c>
      <c r="J28" s="112">
        <f>IFERROR('7a'!J28/'5h'!$D27*1000, "na")</f>
        <v>1493.3220188902008</v>
      </c>
      <c r="K28" s="113">
        <f>IFERROR('7a'!K28/'5h'!$D27*1000, "na")</f>
        <v>3438.6068476977571</v>
      </c>
      <c r="L28" s="113">
        <f>IFERROR('7a'!L28/'5h'!$D27*1000, "na")</f>
        <v>4698.5684769775671</v>
      </c>
      <c r="M28" s="97">
        <f>IFERROR('7a'!M28/'5h'!$D27*1000, "na")</f>
        <v>9630.4973435655247</v>
      </c>
    </row>
    <row r="29" spans="1:13" s="238" customFormat="1">
      <c r="A29" s="185">
        <v>2004</v>
      </c>
      <c r="B29" s="112">
        <f>IFERROR('7a'!B29/'5h'!$B28*1000, "na")</f>
        <v>1102.0408163265306</v>
      </c>
      <c r="C29" s="113">
        <f>IFERROR('7a'!C29/'5h'!$B28*1000, "na")</f>
        <v>3053.4499514091349</v>
      </c>
      <c r="D29" s="113">
        <f>IFERROR('7a'!D29/'5h'!$B28*1000, "na")</f>
        <v>49385.811467444124</v>
      </c>
      <c r="E29" s="97">
        <f>IFERROR('7a'!E29/'5h'!$B28*1000, "na")</f>
        <v>53541.302235179784</v>
      </c>
      <c r="F29" s="112">
        <f>IFERROR('7a'!F29/'5h'!$C28*1000, "na")</f>
        <v>615.86176340274699</v>
      </c>
      <c r="G29" s="113">
        <f>IFERROR('7a'!G29/'5h'!$C28*1000, "na")</f>
        <v>1222.862206468764</v>
      </c>
      <c r="H29" s="113">
        <f>IFERROR('7a'!H29/'5h'!$C28*1000, "na")</f>
        <v>5427.5587062472305</v>
      </c>
      <c r="I29" s="97">
        <f>IFERROR('7a'!I29/'5h'!$C28*1000, "na")</f>
        <v>7266.2826761187416</v>
      </c>
      <c r="J29" s="112">
        <f>IFERROR('7a'!J29/'5h'!$D28*1000, "na")</f>
        <v>1477.9536306846121</v>
      </c>
      <c r="K29" s="113">
        <f>IFERROR('7a'!K29/'5h'!$D28*1000, "na")</f>
        <v>3608.829475294589</v>
      </c>
      <c r="L29" s="113">
        <f>IFERROR('7a'!L29/'5h'!$D28*1000, "na")</f>
        <v>4696.1225344673721</v>
      </c>
      <c r="M29" s="97">
        <f>IFERROR('7a'!M29/'5h'!$D28*1000, "na")</f>
        <v>9782.9056404465737</v>
      </c>
    </row>
    <row r="30" spans="1:13" s="238" customFormat="1">
      <c r="A30" s="185">
        <v>2005</v>
      </c>
      <c r="B30" s="112">
        <f>IFERROR('7a'!B30/'5h'!$B29*1000, "na")</f>
        <v>824.6805111821086</v>
      </c>
      <c r="C30" s="113">
        <f>IFERROR('7a'!C30/'5h'!$B29*1000, "na")</f>
        <v>2428.1150159744411</v>
      </c>
      <c r="D30" s="113">
        <f>IFERROR('7a'!D30/'5h'!$B29*1000, "na")</f>
        <v>46108.226837060705</v>
      </c>
      <c r="E30" s="97">
        <f>IFERROR('7a'!E30/'5h'!$B29*1000, "na")</f>
        <v>49361.02236421725</v>
      </c>
      <c r="F30" s="112">
        <f>IFERROR('7a'!F30/'5h'!$C29*1000, "na")</f>
        <v>535.55750658472346</v>
      </c>
      <c r="G30" s="113">
        <f>IFERROR('7a'!G30/'5h'!$C29*1000, "na")</f>
        <v>1110.6233538191395</v>
      </c>
      <c r="H30" s="113">
        <f>IFERROR('7a'!H30/'5h'!$C29*1000, "na")</f>
        <v>5232.6602282704125</v>
      </c>
      <c r="I30" s="97">
        <f>IFERROR('7a'!I30/'5h'!$C29*1000, "na")</f>
        <v>6878.8410886742759</v>
      </c>
      <c r="J30" s="112">
        <f>IFERROR('7a'!J30/'5h'!$D29*1000, "na")</f>
        <v>1405.7319547091574</v>
      </c>
      <c r="K30" s="113">
        <f>IFERROR('7a'!K30/'5h'!$D29*1000, "na")</f>
        <v>3794.4932483757675</v>
      </c>
      <c r="L30" s="113">
        <f>IFERROR('7a'!L30/'5h'!$D29*1000, "na")</f>
        <v>4734.626761633257</v>
      </c>
      <c r="M30" s="97">
        <f>IFERROR('7a'!M30/'5h'!$D29*1000, "na")</f>
        <v>9934.851964718182</v>
      </c>
    </row>
    <row r="31" spans="1:13" s="238" customFormat="1">
      <c r="A31" s="185">
        <v>2006</v>
      </c>
      <c r="B31" s="112">
        <f>IFERROR('7a'!B31/'5h'!$B30*1000, "na")</f>
        <v>669.4045174537988</v>
      </c>
      <c r="C31" s="113">
        <f>IFERROR('7a'!C31/'5h'!$B30*1000, "na")</f>
        <v>2010.2669404517455</v>
      </c>
      <c r="D31" s="113">
        <f>IFERROR('7a'!D31/'5h'!$B30*1000, "na")</f>
        <v>45213.552361396301</v>
      </c>
      <c r="E31" s="97">
        <f>IFERROR('7a'!E31/'5h'!$B30*1000, "na")</f>
        <v>47893.223819301842</v>
      </c>
      <c r="F31" s="112">
        <f>IFERROR('7a'!F31/'5h'!$C30*1000, "na")</f>
        <v>536.26373626373629</v>
      </c>
      <c r="G31" s="113">
        <f>IFERROR('7a'!G31/'5h'!$C30*1000, "na")</f>
        <v>1098.901098901099</v>
      </c>
      <c r="H31" s="113">
        <f>IFERROR('7a'!H31/'5h'!$C30*1000, "na")</f>
        <v>5432.9670329670334</v>
      </c>
      <c r="I31" s="97">
        <f>IFERROR('7a'!I31/'5h'!$C30*1000, "na")</f>
        <v>7068.131868131868</v>
      </c>
      <c r="J31" s="112">
        <f>IFERROR('7a'!J31/'5h'!$D30*1000, "na")</f>
        <v>1414.3874930989457</v>
      </c>
      <c r="K31" s="113">
        <f>IFERROR('7a'!K31/'5h'!$D30*1000, "na")</f>
        <v>3989.9047435436805</v>
      </c>
      <c r="L31" s="113">
        <f>IFERROR('7a'!L31/'5h'!$D30*1000, "na")</f>
        <v>5071.2889854793057</v>
      </c>
      <c r="M31" s="97">
        <f>IFERROR('7a'!M31/'5h'!$D30*1000, "na")</f>
        <v>10475.581222121931</v>
      </c>
    </row>
    <row r="32" spans="1:13" s="238" customFormat="1">
      <c r="A32" s="185">
        <v>2007</v>
      </c>
      <c r="B32" s="112">
        <f>IFERROR('7a'!B32/'5h'!$B31*1000, "na")</f>
        <v>671.00447336315574</v>
      </c>
      <c r="C32" s="113">
        <f>IFERROR('7a'!C32/'5h'!$B31*1000, "na")</f>
        <v>1925.5795038633589</v>
      </c>
      <c r="D32" s="113">
        <f>IFERROR('7a'!D32/'5h'!$B31*1000, "na")</f>
        <v>38346.888979259857</v>
      </c>
      <c r="E32" s="97">
        <f>IFERROR('7a'!E32/'5h'!$B31*1000, "na")</f>
        <v>40943.472956486374</v>
      </c>
      <c r="F32" s="112">
        <f>IFERROR('7a'!F32/'5h'!$C31*1000, "na")</f>
        <v>624.73256311510488</v>
      </c>
      <c r="G32" s="113">
        <f>IFERROR('7a'!G32/'5h'!$C31*1000, "na")</f>
        <v>1210.954214805306</v>
      </c>
      <c r="H32" s="113">
        <f>IFERROR('7a'!H32/'5h'!$C31*1000, "na")</f>
        <v>5027.8134360290969</v>
      </c>
      <c r="I32" s="97">
        <f>IFERROR('7a'!I32/'5h'!$C31*1000, "na")</f>
        <v>6863.5002139495082</v>
      </c>
      <c r="J32" s="112">
        <f>IFERROR('7a'!J32/'5h'!$D31*1000, "na")</f>
        <v>1442.1910209741725</v>
      </c>
      <c r="K32" s="113">
        <f>IFERROR('7a'!K32/'5h'!$D31*1000, "na")</f>
        <v>4201.7680707228292</v>
      </c>
      <c r="L32" s="113">
        <f>IFERROR('7a'!L32/'5h'!$D31*1000, "na")</f>
        <v>4808.459005026868</v>
      </c>
      <c r="M32" s="97">
        <f>IFERROR('7a'!M32/'5h'!$D31*1000, "na")</f>
        <v>10452.41809672387</v>
      </c>
    </row>
    <row r="33" spans="1:13" s="238" customFormat="1">
      <c r="A33" s="185">
        <v>2008</v>
      </c>
      <c r="B33" s="112">
        <f>IFERROR('7a'!B33/'5h'!$B32*1000, "na")</f>
        <v>705.11514163439983</v>
      </c>
      <c r="C33" s="113">
        <f>IFERROR('7a'!C33/'5h'!$B32*1000, "na")</f>
        <v>1901.3653963725289</v>
      </c>
      <c r="D33" s="113">
        <f>IFERROR('7a'!D33/'5h'!$B32*1000, "na")</f>
        <v>35610.352557570819</v>
      </c>
      <c r="E33" s="97">
        <f>IFERROR('7a'!E33/'5h'!$B32*1000, "na")</f>
        <v>38216.833095577749</v>
      </c>
      <c r="F33" s="112">
        <f>IFERROR('7a'!F33/'5h'!$C32*1000, "na")</f>
        <v>766.23376623376623</v>
      </c>
      <c r="G33" s="113">
        <f>IFERROR('7a'!G33/'5h'!$C32*1000, "na")</f>
        <v>1389.6103896103896</v>
      </c>
      <c r="H33" s="113">
        <f>IFERROR('7a'!H33/'5h'!$C32*1000, "na")</f>
        <v>5251.0822510822509</v>
      </c>
      <c r="I33" s="97">
        <f>IFERROR('7a'!I33/'5h'!$C32*1000, "na")</f>
        <v>7406.9264069264063</v>
      </c>
      <c r="J33" s="112">
        <f>IFERROR('7a'!J33/'5h'!$D32*1000, "na")</f>
        <v>1483.1861814299841</v>
      </c>
      <c r="K33" s="113">
        <f>IFERROR('7a'!K33/'5h'!$D32*1000, "na")</f>
        <v>4493.3103490518988</v>
      </c>
      <c r="L33" s="113">
        <f>IFERROR('7a'!L33/'5h'!$D32*1000, "na")</f>
        <v>4936.0786132427966</v>
      </c>
      <c r="M33" s="97">
        <f>IFERROR('7a'!M33/'5h'!$D32*1000, "na")</f>
        <v>10912.575143724678</v>
      </c>
    </row>
    <row r="34" spans="1:13" s="238" customFormat="1">
      <c r="A34" s="57">
        <f>A33+1</f>
        <v>2009</v>
      </c>
      <c r="B34" s="112">
        <f>IFERROR('7a'!B34/'5h'!$B33*1000, "na")</f>
        <v>710.89023336214336</v>
      </c>
      <c r="C34" s="113">
        <f>IFERROR('7a'!C34/'5h'!$B33*1000, "na")</f>
        <v>1834.4857389801209</v>
      </c>
      <c r="D34" s="113">
        <f>IFERROR('7a'!D34/'5h'!$B33*1000, "na")</f>
        <v>33740.276577355224</v>
      </c>
      <c r="E34" s="97">
        <f>IFERROR('7a'!E34/'5h'!$B33*1000, "na")</f>
        <v>36285.652549697494</v>
      </c>
      <c r="F34" s="112">
        <f>IFERROR('7a'!F34/'5h'!$C33*1000, "na")</f>
        <v>820.34830430797433</v>
      </c>
      <c r="G34" s="113">
        <f>IFERROR('7a'!G34/'5h'!$C33*1000, "na")</f>
        <v>1388.6342804766271</v>
      </c>
      <c r="H34" s="113">
        <f>IFERROR('7a'!H34/'5h'!$C33*1000, "na")</f>
        <v>5352.88725939505</v>
      </c>
      <c r="I34" s="97">
        <f>IFERROR('7a'!I34/'5h'!$C33*1000, "na")</f>
        <v>7561.8698441796523</v>
      </c>
      <c r="J34" s="112">
        <f>IFERROR('7a'!J34/'5h'!$D33*1000, "na")</f>
        <v>1529.7638842700364</v>
      </c>
      <c r="K34" s="113">
        <f>IFERROR('7a'!K34/'5h'!$D33*1000, "na")</f>
        <v>4836.8621364963237</v>
      </c>
      <c r="L34" s="113">
        <f>IFERROR('7a'!L34/'5h'!$D33*1000, "na")</f>
        <v>5077.0424564904115</v>
      </c>
      <c r="M34" s="97">
        <f>IFERROR('7a'!M34/'5h'!$D33*1000, "na")</f>
        <v>11443.668477256771</v>
      </c>
    </row>
    <row r="35" spans="1:13" s="238" customFormat="1">
      <c r="A35" s="58">
        <f t="shared" ref="A35" si="0">A34+1</f>
        <v>2010</v>
      </c>
      <c r="B35" s="114">
        <f>IFERROR('7a'!B35/'5h'!$B34*1000, "na")</f>
        <v>751.83110728134432</v>
      </c>
      <c r="C35" s="115">
        <f>IFERROR('7a'!C35/'5h'!$B34*1000, "na")</f>
        <v>1725.5493321844033</v>
      </c>
      <c r="D35" s="115">
        <f>IFERROR('7a'!D35/'5h'!$B34*1000, "na")</f>
        <v>28690.21973287376</v>
      </c>
      <c r="E35" s="98">
        <f>IFERROR('7a'!E35/'5h'!$B34*1000, "na")</f>
        <v>31167.600172339509</v>
      </c>
      <c r="F35" s="114">
        <f>IFERROR('7a'!F35/'5h'!$C34*1000, "na")</f>
        <v>935.31875290832943</v>
      </c>
      <c r="G35" s="115">
        <f>IFERROR('7a'!G35/'5h'!$C34*1000, "na")</f>
        <v>1382.038157282457</v>
      </c>
      <c r="H35" s="115">
        <f>IFERROR('7a'!H35/'5h'!$C34*1000, "na")</f>
        <v>5006.9799906933458</v>
      </c>
      <c r="I35" s="98">
        <f>IFERROR('7a'!I35/'5h'!$C34*1000, "na")</f>
        <v>7324.3369008841328</v>
      </c>
      <c r="J35" s="114">
        <f>IFERROR('7a'!J35/'5h'!$D34*1000, "na")</f>
        <v>1683.4828623866886</v>
      </c>
      <c r="K35" s="115">
        <f>IFERROR('7a'!K35/'5h'!$D34*1000, "na")</f>
        <v>4966.6005198580178</v>
      </c>
      <c r="L35" s="115">
        <f>IFERROR('7a'!L35/'5h'!$D34*1000, "na")</f>
        <v>4773.7499650633054</v>
      </c>
      <c r="M35" s="98">
        <f>IFERROR('7a'!M35/'5h'!$D34*1000, "na")</f>
        <v>11423.833347308011</v>
      </c>
    </row>
    <row r="36" spans="1:13" s="23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238" customFormat="1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M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>
        <f t="shared" si="1"/>
        <v>9.5901041011682722</v>
      </c>
      <c r="G38" s="83">
        <f>IFERROR((POWER(G15/G6,1/($A15-$A6))-1)*100, "na")</f>
        <v>24.31963626469258</v>
      </c>
      <c r="H38" s="83">
        <f t="shared" si="1"/>
        <v>14.622264818504149</v>
      </c>
      <c r="I38" s="84">
        <f t="shared" si="1"/>
        <v>14.593662450000288</v>
      </c>
      <c r="J38" s="82">
        <f t="shared" si="1"/>
        <v>9.3038758016922074</v>
      </c>
      <c r="K38" s="83">
        <f t="shared" si="1"/>
        <v>13.182055598355014</v>
      </c>
      <c r="L38" s="83">
        <f t="shared" si="1"/>
        <v>5.8511110450067294</v>
      </c>
      <c r="M38" s="84">
        <f t="shared" si="1"/>
        <v>7.5735799698013251</v>
      </c>
    </row>
    <row r="39" spans="1:13">
      <c r="A39" s="28" t="s">
        <v>71</v>
      </c>
      <c r="B39" s="37">
        <f>IFERROR((POWER(B$25/B15,1/($A$25-$A$15))-1)*100,"na")</f>
        <v>17.885679255833665</v>
      </c>
      <c r="C39" s="86">
        <f t="shared" ref="C39:M39" si="2">IFERROR((POWER(C$25/C15,1/($A$25-$A$15))-1)*100,"na")</f>
        <v>24.833197298755504</v>
      </c>
      <c r="D39" s="86">
        <f t="shared" si="2"/>
        <v>24.710498988745599</v>
      </c>
      <c r="E39" s="87">
        <f t="shared" si="2"/>
        <v>24.337494839966389</v>
      </c>
      <c r="F39" s="85">
        <f t="shared" si="2"/>
        <v>19.84011551892355</v>
      </c>
      <c r="G39" s="86">
        <f t="shared" si="2"/>
        <v>30.21743378560593</v>
      </c>
      <c r="H39" s="86">
        <f t="shared" si="2"/>
        <v>-0.47823640355098007</v>
      </c>
      <c r="I39" s="87">
        <f t="shared" si="2"/>
        <v>4.1498128679066992</v>
      </c>
      <c r="J39" s="85">
        <f t="shared" si="2"/>
        <v>4.7213971130789734</v>
      </c>
      <c r="K39" s="86">
        <f t="shared" si="2"/>
        <v>11.928457029385541</v>
      </c>
      <c r="L39" s="86">
        <f t="shared" si="2"/>
        <v>3.7329420792478363</v>
      </c>
      <c r="M39" s="87">
        <f t="shared" si="2"/>
        <v>5.9502387748191943</v>
      </c>
    </row>
    <row r="40" spans="1:13">
      <c r="A40" s="28" t="s">
        <v>69</v>
      </c>
      <c r="B40" s="37">
        <f>IFERROR((POWER(B$35/B25,1/($A$35-$A$25))-1)*100,"na")</f>
        <v>-12.138794185150715</v>
      </c>
      <c r="C40" s="86">
        <f t="shared" ref="C40:M40" si="3">IFERROR((POWER(C$35/C25,1/($A$35-$A$25))-1)*100,"na")</f>
        <v>-12.846391670312718</v>
      </c>
      <c r="D40" s="86">
        <f t="shared" si="3"/>
        <v>-6.5330195849176658</v>
      </c>
      <c r="E40" s="87">
        <f t="shared" si="3"/>
        <v>-7.2212507648036883</v>
      </c>
      <c r="F40" s="85">
        <f t="shared" si="3"/>
        <v>-5.3358715509288945</v>
      </c>
      <c r="G40" s="86">
        <f t="shared" si="3"/>
        <v>-7.7444098803755796</v>
      </c>
      <c r="H40" s="86">
        <f t="shared" si="3"/>
        <v>-3.1878750683714152</v>
      </c>
      <c r="I40" s="87">
        <f t="shared" si="3"/>
        <v>-4.5232898985424264</v>
      </c>
      <c r="J40" s="85">
        <f t="shared" si="3"/>
        <v>0.90852531590608354</v>
      </c>
      <c r="K40" s="86">
        <f t="shared" si="3"/>
        <v>5.5995338022829078</v>
      </c>
      <c r="L40" s="86">
        <f t="shared" si="3"/>
        <v>0.91569131071569387</v>
      </c>
      <c r="M40" s="87">
        <f t="shared" si="3"/>
        <v>2.6717993259264272</v>
      </c>
    </row>
    <row r="41" spans="1:13">
      <c r="A41" s="29" t="s">
        <v>70</v>
      </c>
      <c r="B41" s="39" t="str">
        <f>IFERROR((POWER(B35/B5,1/($A$32-#REF!))-1)*100, "na")</f>
        <v>na</v>
      </c>
      <c r="C41" s="89" t="str">
        <f>IFERROR((POWER(C35/C5,1/($A$32-#REF!))-1)*100, "na")</f>
        <v>na</v>
      </c>
      <c r="D41" s="89" t="str">
        <f>IFERROR((POWER(D35/D5,1/($A$32-#REF!))-1)*100, "na")</f>
        <v>na</v>
      </c>
      <c r="E41" s="90" t="str">
        <f>IFERROR((POWER(E35/E5,1/($A$32-#REF!))-1)*100, "na")</f>
        <v>na</v>
      </c>
      <c r="F41" s="88" t="str">
        <f>IFERROR((POWER(F35/F5,1/($A$32-#REF!))-1)*100, "na")</f>
        <v>na</v>
      </c>
      <c r="G41" s="89" t="str">
        <f>IFERROR((POWER(G35/G5,1/($A$32-#REF!))-1)*100, "na")</f>
        <v>na</v>
      </c>
      <c r="H41" s="89" t="str">
        <f>IFERROR((POWER(H35/H5,1/($A$32-#REF!))-1)*100, "na")</f>
        <v>na</v>
      </c>
      <c r="I41" s="90" t="str">
        <f>IFERROR((POWER(I35/I5,1/($A$32-#REF!))-1)*100, "na")</f>
        <v>na</v>
      </c>
      <c r="J41" s="88" t="str">
        <f>IFERROR((POWER(J35/J5,1/($A$32-#REF!))-1)*100, "na")</f>
        <v>na</v>
      </c>
      <c r="K41" s="89" t="str">
        <f>IFERROR((POWER(K35/K5,1/($A$32-#REF!))-1)*100, "na")</f>
        <v>na</v>
      </c>
      <c r="L41" s="89" t="str">
        <f>IFERROR((POWER(L35/L5,1/($A$32-#REF!))-1)*100, "na")</f>
        <v>na</v>
      </c>
      <c r="M41" s="90" t="str">
        <f>IFERROR((POWER(M35/M5,1/($A$32-#REF!))-1)*100, "na")</f>
        <v>na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1" t="s">
        <v>230</v>
      </c>
    </row>
  </sheetData>
  <mergeCells count="5">
    <mergeCell ref="A37:M37"/>
    <mergeCell ref="A1:F2"/>
    <mergeCell ref="B4:E4"/>
    <mergeCell ref="F4:I4"/>
    <mergeCell ref="J4:M4"/>
  </mergeCells>
  <pageMargins left="0.7" right="0.7" top="0.75" bottom="0.75" header="0.3" footer="0.3"/>
  <pageSetup scale="70" orientation="landscape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79"/>
  <dimension ref="A1:M43"/>
  <sheetViews>
    <sheetView zoomScaleNormal="100" workbookViewId="0">
      <selection activeCell="B15" sqref="B15"/>
    </sheetView>
  </sheetViews>
  <sheetFormatPr defaultRowHeight="15"/>
  <cols>
    <col min="1" max="1" width="11.140625" customWidth="1"/>
    <col min="2" max="2" width="12.7109375" bestFit="1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2.7109375" customWidth="1"/>
    <col min="12" max="12" width="17.28515625" customWidth="1"/>
    <col min="13" max="13" width="9.7109375" customWidth="1"/>
  </cols>
  <sheetData>
    <row r="1" spans="1:13">
      <c r="A1" s="387" t="s">
        <v>249</v>
      </c>
      <c r="B1" s="387"/>
      <c r="C1" s="387"/>
      <c r="D1" s="387"/>
      <c r="E1" s="387"/>
      <c r="F1" s="387"/>
    </row>
    <row r="2" spans="1:13">
      <c r="A2" s="387"/>
      <c r="B2" s="387"/>
      <c r="C2" s="387"/>
      <c r="D2" s="387"/>
      <c r="E2" s="387"/>
      <c r="F2" s="387"/>
    </row>
    <row r="3" spans="1:13">
      <c r="A3" s="223"/>
      <c r="B3" s="223"/>
      <c r="C3" s="223"/>
      <c r="D3" s="223"/>
      <c r="E3" s="223"/>
      <c r="F3" s="223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IFERROR('7f'!B6/'7f'!J6*100,"na")</f>
        <v>na</v>
      </c>
      <c r="C6" s="83" t="str">
        <f>IFERROR('7f'!C6/'7f'!K6*100,"na")</f>
        <v>na</v>
      </c>
      <c r="D6" s="83" t="str">
        <f>IFERROR('7f'!D6/'7f'!L6*100,"na")</f>
        <v>na</v>
      </c>
      <c r="E6" s="84" t="str">
        <f>IFERROR('7f'!E6/'7f'!M6*100,"na")</f>
        <v>na</v>
      </c>
      <c r="F6" s="82">
        <f>IFERROR('7f'!F6/'7f'!J6*100,"na")</f>
        <v>26.686106564137702</v>
      </c>
      <c r="G6" s="83">
        <f>IFERROR('7f'!G6/'7f'!K6*100,"na")</f>
        <v>10.162682662817968</v>
      </c>
      <c r="H6" s="83">
        <f>IFERROR('7f'!H6/'7f'!L6*100,"na")</f>
        <v>117.44374694898706</v>
      </c>
      <c r="I6" s="84">
        <f>IFERROR('7f'!I6/'7f'!M6*100,"na")</f>
        <v>89.090907516715461</v>
      </c>
      <c r="J6" s="82">
        <f>IFERROR('7f'!J6/'7f'!J6*100, "na")</f>
        <v>100</v>
      </c>
      <c r="K6" s="83">
        <f>IFERROR('7f'!K6/'7f'!K6*100, "na")</f>
        <v>100</v>
      </c>
      <c r="L6" s="83">
        <f>IFERROR('7f'!L6/'7f'!L6*100, "na")</f>
        <v>100</v>
      </c>
      <c r="M6" s="84">
        <f>IFERROR('7f'!M6/'7f'!M6*100, "na")</f>
        <v>100</v>
      </c>
    </row>
    <row r="7" spans="1:13">
      <c r="A7" s="185">
        <v>1982</v>
      </c>
      <c r="B7" s="85" t="str">
        <f>IFERROR('7f'!B7/'7f'!J7*100,"na")</f>
        <v>na</v>
      </c>
      <c r="C7" s="86" t="str">
        <f>IFERROR('7f'!C7/'7f'!K7*100,"na")</f>
        <v>na</v>
      </c>
      <c r="D7" s="86" t="str">
        <f>IFERROR('7f'!D7/'7f'!L7*100,"na")</f>
        <v>na</v>
      </c>
      <c r="E7" s="87" t="str">
        <f>IFERROR('7f'!E7/'7f'!M7*100,"na")</f>
        <v>na</v>
      </c>
      <c r="F7" s="85">
        <f>IFERROR('7f'!F7/'7f'!J7*100,"na")</f>
        <v>20.650724085365855</v>
      </c>
      <c r="G7" s="86">
        <f>IFERROR('7f'!G7/'7f'!K7*100,"na")</f>
        <v>7.2328904259191846</v>
      </c>
      <c r="H7" s="86">
        <f>IFERROR('7f'!H7/'7f'!L7*100,"na")</f>
        <v>134.45915904471545</v>
      </c>
      <c r="I7" s="87">
        <f>IFERROR('7f'!I7/'7f'!M7*100,"na")</f>
        <v>98.901993133276861</v>
      </c>
      <c r="J7" s="85">
        <f>IFERROR('7f'!J7/'7f'!J7*100, "na")</f>
        <v>100</v>
      </c>
      <c r="K7" s="86">
        <f>IFERROR('7f'!K7/'7f'!K7*100, "na")</f>
        <v>100</v>
      </c>
      <c r="L7" s="86">
        <f>IFERROR('7f'!L7/'7f'!L7*100, "na")</f>
        <v>100</v>
      </c>
      <c r="M7" s="87">
        <f>IFERROR('7f'!M7/'7f'!M7*100, "na")</f>
        <v>100</v>
      </c>
    </row>
    <row r="8" spans="1:13">
      <c r="A8" s="185">
        <v>1983</v>
      </c>
      <c r="B8" s="85" t="str">
        <f>IFERROR('7f'!B8/'7f'!J8*100,"na")</f>
        <v>na</v>
      </c>
      <c r="C8" s="86" t="str">
        <f>IFERROR('7f'!C8/'7f'!K8*100,"na")</f>
        <v>na</v>
      </c>
      <c r="D8" s="86" t="str">
        <f>IFERROR('7f'!D8/'7f'!L8*100,"na")</f>
        <v>na</v>
      </c>
      <c r="E8" s="87" t="str">
        <f>IFERROR('7f'!E8/'7f'!M8*100,"na")</f>
        <v>na</v>
      </c>
      <c r="F8" s="85">
        <f>IFERROR('7f'!F8/'7f'!J8*100,"na")</f>
        <v>13.209835919783009</v>
      </c>
      <c r="G8" s="86">
        <f>IFERROR('7f'!G8/'7f'!K8*100,"na")</f>
        <v>5.9471922998557734</v>
      </c>
      <c r="H8" s="86">
        <f>IFERROR('7f'!H8/'7f'!L8*100,"na")</f>
        <v>151.87779266060673</v>
      </c>
      <c r="I8" s="87">
        <f>IFERROR('7f'!I8/'7f'!M8*100,"na")</f>
        <v>108.72576137577008</v>
      </c>
      <c r="J8" s="85">
        <f>IFERROR('7f'!J8/'7f'!J8*100, "na")</f>
        <v>100</v>
      </c>
      <c r="K8" s="86">
        <f>IFERROR('7f'!K8/'7f'!K8*100, "na")</f>
        <v>100</v>
      </c>
      <c r="L8" s="86">
        <f>IFERROR('7f'!L8/'7f'!L8*100, "na")</f>
        <v>100</v>
      </c>
      <c r="M8" s="87">
        <f>IFERROR('7f'!M8/'7f'!M8*100, "na")</f>
        <v>100</v>
      </c>
    </row>
    <row r="9" spans="1:13">
      <c r="A9" s="185">
        <v>1984</v>
      </c>
      <c r="B9" s="85" t="str">
        <f>IFERROR('7f'!B9/'7f'!J9*100,"na")</f>
        <v>na</v>
      </c>
      <c r="C9" s="86" t="str">
        <f>IFERROR('7f'!C9/'7f'!K9*100,"na")</f>
        <v>na</v>
      </c>
      <c r="D9" s="86" t="str">
        <f>IFERROR('7f'!D9/'7f'!L9*100,"na")</f>
        <v>na</v>
      </c>
      <c r="E9" s="87" t="str">
        <f>IFERROR('7f'!E9/'7f'!M9*100,"na")</f>
        <v>na</v>
      </c>
      <c r="F9" s="85">
        <f>IFERROR('7f'!F9/'7f'!J9*100,"na")</f>
        <v>6.7554321288753023</v>
      </c>
      <c r="G9" s="86">
        <f>IFERROR('7f'!G9/'7f'!K9*100,"na")</f>
        <v>4.10769466917752</v>
      </c>
      <c r="H9" s="86">
        <f>IFERROR('7f'!H9/'7f'!L9*100,"na")</f>
        <v>167.08643828603542</v>
      </c>
      <c r="I9" s="87">
        <f>IFERROR('7f'!I9/'7f'!M9*100,"na")</f>
        <v>114.46990249849038</v>
      </c>
      <c r="J9" s="85">
        <f>IFERROR('7f'!J9/'7f'!J9*100, "na")</f>
        <v>100</v>
      </c>
      <c r="K9" s="86">
        <f>IFERROR('7f'!K9/'7f'!K9*100, "na")</f>
        <v>100</v>
      </c>
      <c r="L9" s="86">
        <f>IFERROR('7f'!L9/'7f'!L9*100, "na")</f>
        <v>100</v>
      </c>
      <c r="M9" s="87">
        <f>IFERROR('7f'!M9/'7f'!M9*100, "na")</f>
        <v>100</v>
      </c>
    </row>
    <row r="10" spans="1:13">
      <c r="A10" s="185">
        <v>1985</v>
      </c>
      <c r="B10" s="85" t="str">
        <f>IFERROR('7f'!B10/'7f'!J10*100,"na")</f>
        <v>na</v>
      </c>
      <c r="C10" s="86" t="str">
        <f>IFERROR('7f'!C10/'7f'!K10*100,"na")</f>
        <v>na</v>
      </c>
      <c r="D10" s="86" t="str">
        <f>IFERROR('7f'!D10/'7f'!L10*100,"na")</f>
        <v>na</v>
      </c>
      <c r="E10" s="87" t="str">
        <f>IFERROR('7f'!E10/'7f'!M10*100,"na")</f>
        <v>na</v>
      </c>
      <c r="F10" s="85">
        <f>IFERROR('7f'!F10/'7f'!J10*100,"na")</f>
        <v>5.0827995093362404</v>
      </c>
      <c r="G10" s="86">
        <f>IFERROR('7f'!G10/'7f'!K10*100,"na")</f>
        <v>3.2855380820228182</v>
      </c>
      <c r="H10" s="86">
        <f>IFERROR('7f'!H10/'7f'!L10*100,"na")</f>
        <v>185.21288467316194</v>
      </c>
      <c r="I10" s="87">
        <f>IFERROR('7f'!I10/'7f'!M10*100,"na")</f>
        <v>123.05601329558738</v>
      </c>
      <c r="J10" s="85">
        <f>IFERROR('7f'!J10/'7f'!J10*100, "na")</f>
        <v>100</v>
      </c>
      <c r="K10" s="86">
        <f>IFERROR('7f'!K10/'7f'!K10*100, "na")</f>
        <v>100</v>
      </c>
      <c r="L10" s="86">
        <f>IFERROR('7f'!L10/'7f'!L10*100, "na")</f>
        <v>100</v>
      </c>
      <c r="M10" s="87">
        <f>IFERROR('7f'!M10/'7f'!M10*100, "na")</f>
        <v>100</v>
      </c>
    </row>
    <row r="11" spans="1:13">
      <c r="A11" s="185">
        <v>1986</v>
      </c>
      <c r="B11" s="85" t="str">
        <f>IFERROR('7f'!B11/'7f'!J11*100,"na")</f>
        <v>na</v>
      </c>
      <c r="C11" s="86" t="str">
        <f>IFERROR('7f'!C11/'7f'!K11*100,"na")</f>
        <v>na</v>
      </c>
      <c r="D11" s="86" t="str">
        <f>IFERROR('7f'!D11/'7f'!L11*100,"na")</f>
        <v>na</v>
      </c>
      <c r="E11" s="87" t="str">
        <f>IFERROR('7f'!E11/'7f'!M11*100,"na")</f>
        <v>na</v>
      </c>
      <c r="F11" s="85">
        <f>IFERROR('7f'!F11/'7f'!J11*100,"na")</f>
        <v>4.1277135635720636</v>
      </c>
      <c r="G11" s="86">
        <f>IFERROR('7f'!G11/'7f'!K11*100,"na")</f>
        <v>3.2258601799344708</v>
      </c>
      <c r="H11" s="86">
        <f>IFERROR('7f'!H11/'7f'!L11*100,"na")</f>
        <v>195.68154346210051</v>
      </c>
      <c r="I11" s="87">
        <f>IFERROR('7f'!I11/'7f'!M11*100,"na")</f>
        <v>129.25936257952208</v>
      </c>
      <c r="J11" s="85">
        <f>IFERROR('7f'!J11/'7f'!J11*100, "na")</f>
        <v>100</v>
      </c>
      <c r="K11" s="86">
        <f>IFERROR('7f'!K11/'7f'!K11*100, "na")</f>
        <v>100</v>
      </c>
      <c r="L11" s="86">
        <f>IFERROR('7f'!L11/'7f'!L11*100, "na")</f>
        <v>100</v>
      </c>
      <c r="M11" s="87">
        <f>IFERROR('7f'!M11/'7f'!M11*100, "na")</f>
        <v>100</v>
      </c>
    </row>
    <row r="12" spans="1:13">
      <c r="A12" s="185">
        <v>1987</v>
      </c>
      <c r="B12" s="85" t="str">
        <f>IFERROR('7f'!B12/'7f'!J12*100,"na")</f>
        <v>na</v>
      </c>
      <c r="C12" s="86" t="str">
        <f>IFERROR('7f'!C12/'7f'!K12*100,"na")</f>
        <v>na</v>
      </c>
      <c r="D12" s="86" t="str">
        <f>IFERROR('7f'!D12/'7f'!L12*100,"na")</f>
        <v>na</v>
      </c>
      <c r="E12" s="87" t="str">
        <f>IFERROR('7f'!E12/'7f'!M12*100,"na")</f>
        <v>na</v>
      </c>
      <c r="F12" s="85">
        <f>IFERROR('7f'!F12/'7f'!J12*100,"na")</f>
        <v>3.7176524144693066</v>
      </c>
      <c r="G12" s="86">
        <f>IFERROR('7f'!G12/'7f'!K12*100,"na")</f>
        <v>3.1105495431156038</v>
      </c>
      <c r="H12" s="86">
        <f>IFERROR('7f'!H12/'7f'!L12*100,"na")</f>
        <v>204.96932124933167</v>
      </c>
      <c r="I12" s="87">
        <f>IFERROR('7f'!I12/'7f'!M12*100,"na")</f>
        <v>132.86504406414298</v>
      </c>
      <c r="J12" s="85">
        <f>IFERROR('7f'!J12/'7f'!J12*100, "na")</f>
        <v>100</v>
      </c>
      <c r="K12" s="86">
        <f>IFERROR('7f'!K12/'7f'!K12*100, "na")</f>
        <v>100</v>
      </c>
      <c r="L12" s="86">
        <f>IFERROR('7f'!L12/'7f'!L12*100, "na")</f>
        <v>100</v>
      </c>
      <c r="M12" s="87">
        <f>IFERROR('7f'!M12/'7f'!M12*100, "na")</f>
        <v>100</v>
      </c>
    </row>
    <row r="13" spans="1:13">
      <c r="A13" s="185">
        <v>1988</v>
      </c>
      <c r="B13" s="85" t="str">
        <f>IFERROR('7f'!B13/'7f'!J13*100,"na")</f>
        <v>na</v>
      </c>
      <c r="C13" s="86" t="str">
        <f>IFERROR('7f'!C13/'7f'!K13*100,"na")</f>
        <v>na</v>
      </c>
      <c r="D13" s="86" t="str">
        <f>IFERROR('7f'!D13/'7f'!L13*100,"na")</f>
        <v>na</v>
      </c>
      <c r="E13" s="87" t="str">
        <f>IFERROR('7f'!E13/'7f'!M13*100,"na")</f>
        <v>na</v>
      </c>
      <c r="F13" s="85">
        <f>IFERROR('7f'!F13/'7f'!J13*100,"na")</f>
        <v>8.4323969978809803</v>
      </c>
      <c r="G13" s="86">
        <f>IFERROR('7f'!G13/'7f'!K13*100,"na")</f>
        <v>5.3663396041914364</v>
      </c>
      <c r="H13" s="86">
        <f>IFERROR('7f'!H13/'7f'!L13*100,"na")</f>
        <v>223.08885533169183</v>
      </c>
      <c r="I13" s="87">
        <f>IFERROR('7f'!I13/'7f'!M13*100,"na")</f>
        <v>143.43608915597864</v>
      </c>
      <c r="J13" s="85">
        <f>IFERROR('7f'!J13/'7f'!J13*100, "na")</f>
        <v>100</v>
      </c>
      <c r="K13" s="86">
        <f>IFERROR('7f'!K13/'7f'!K13*100, "na")</f>
        <v>100</v>
      </c>
      <c r="L13" s="86">
        <f>IFERROR('7f'!L13/'7f'!L13*100, "na")</f>
        <v>100</v>
      </c>
      <c r="M13" s="87">
        <f>IFERROR('7f'!M13/'7f'!M13*100, "na")</f>
        <v>100</v>
      </c>
    </row>
    <row r="14" spans="1:13">
      <c r="A14" s="185">
        <v>1989</v>
      </c>
      <c r="B14" s="85" t="str">
        <f>IFERROR('7f'!B14/'7f'!J14*100,"na")</f>
        <v>na</v>
      </c>
      <c r="C14" s="86" t="str">
        <f>IFERROR('7f'!C14/'7f'!K14*100,"na")</f>
        <v>na</v>
      </c>
      <c r="D14" s="86" t="str">
        <f>IFERROR('7f'!D14/'7f'!L14*100,"na")</f>
        <v>na</v>
      </c>
      <c r="E14" s="87" t="str">
        <f>IFERROR('7f'!E14/'7f'!M14*100,"na")</f>
        <v>na</v>
      </c>
      <c r="F14" s="85">
        <f>IFERROR('7f'!F14/'7f'!J14*100,"na")</f>
        <v>16.611045289059067</v>
      </c>
      <c r="G14" s="86">
        <f>IFERROR('7f'!G14/'7f'!K14*100,"na")</f>
        <v>12.74053429307116</v>
      </c>
      <c r="H14" s="86">
        <f>IFERROR('7f'!H14/'7f'!L14*100,"na")</f>
        <v>238.68410544841058</v>
      </c>
      <c r="I14" s="87">
        <f>IFERROR('7f'!I14/'7f'!M14*100,"na")</f>
        <v>153.41994879012702</v>
      </c>
      <c r="J14" s="85">
        <f>IFERROR('7f'!J14/'7f'!J14*100, "na")</f>
        <v>100</v>
      </c>
      <c r="K14" s="86">
        <f>IFERROR('7f'!K14/'7f'!K14*100, "na")</f>
        <v>100</v>
      </c>
      <c r="L14" s="86">
        <f>IFERROR('7f'!L14/'7f'!L14*100, "na")</f>
        <v>100</v>
      </c>
      <c r="M14" s="87">
        <f>IFERROR('7f'!M14/'7f'!M14*100, "na")</f>
        <v>100</v>
      </c>
    </row>
    <row r="15" spans="1:13">
      <c r="A15" s="185">
        <v>1990</v>
      </c>
      <c r="B15" s="85">
        <f>IFERROR('7f'!B15/'7f'!J15*100,"na")</f>
        <v>54.571057062563298</v>
      </c>
      <c r="C15" s="86">
        <f>IFERROR('7f'!C15/'7f'!K15*100,"na")</f>
        <v>79.568040549553146</v>
      </c>
      <c r="D15" s="86">
        <f>IFERROR('7f'!D15/'7f'!L15*100,"na")</f>
        <v>205.12371094081644</v>
      </c>
      <c r="E15" s="87">
        <f>IFERROR('7f'!E15/'7f'!M15*100,"na")</f>
        <v>151.67582663950699</v>
      </c>
      <c r="F15" s="85">
        <f>IFERROR('7f'!F15/'7f'!J15*100,"na")</f>
        <v>27.32166830417076</v>
      </c>
      <c r="G15" s="86">
        <f>IFERROR('7f'!G15/'7f'!K15*100,"na")</f>
        <v>23.65199324763018</v>
      </c>
      <c r="H15" s="86">
        <f>IFERROR('7f'!H15/'7f'!L15*100,"na")</f>
        <v>240.43183975644416</v>
      </c>
      <c r="I15" s="87">
        <f>IFERROR('7f'!I15/'7f'!M15*100,"na")</f>
        <v>157.37226104885067</v>
      </c>
      <c r="J15" s="85">
        <f>IFERROR('7f'!J15/'7f'!J15*100, "na")</f>
        <v>100</v>
      </c>
      <c r="K15" s="86">
        <f>IFERROR('7f'!K15/'7f'!K15*100, "na")</f>
        <v>100</v>
      </c>
      <c r="L15" s="86">
        <f>IFERROR('7f'!L15/'7f'!L15*100, "na")</f>
        <v>100</v>
      </c>
      <c r="M15" s="87">
        <f>IFERROR('7f'!M15/'7f'!M15*100, "na")</f>
        <v>100</v>
      </c>
    </row>
    <row r="16" spans="1:13">
      <c r="A16" s="185">
        <v>1991</v>
      </c>
      <c r="B16" s="85">
        <f>IFERROR('7f'!B16/'7f'!J16*100,"na")</f>
        <v>56.652438544730543</v>
      </c>
      <c r="C16" s="86">
        <f>IFERROR('7f'!C16/'7f'!K16*100,"na")</f>
        <v>87.939144185271317</v>
      </c>
      <c r="D16" s="86">
        <f>IFERROR('7f'!D16/'7f'!L16*100,"na")</f>
        <v>224.62984019514448</v>
      </c>
      <c r="E16" s="87">
        <f>IFERROR('7f'!E16/'7f'!M16*100,"na")</f>
        <v>166.40152688446332</v>
      </c>
      <c r="F16" s="85">
        <f>IFERROR('7f'!F16/'7f'!J16*100,"na")</f>
        <v>37.147845505336058</v>
      </c>
      <c r="G16" s="86">
        <f>IFERROR('7f'!G16/'7f'!K16*100,"na")</f>
        <v>34.733539387226656</v>
      </c>
      <c r="H16" s="86">
        <f>IFERROR('7f'!H16/'7f'!L16*100,"na")</f>
        <v>235.23952295207323</v>
      </c>
      <c r="I16" s="87">
        <f>IFERROR('7f'!I16/'7f'!M16*100,"na")</f>
        <v>158.59671938487332</v>
      </c>
      <c r="J16" s="85">
        <f>IFERROR('7f'!J16/'7f'!J16*100, "na")</f>
        <v>100</v>
      </c>
      <c r="K16" s="86">
        <f>IFERROR('7f'!K16/'7f'!K16*100, "na")</f>
        <v>100</v>
      </c>
      <c r="L16" s="86">
        <f>IFERROR('7f'!L16/'7f'!L16*100, "na")</f>
        <v>100</v>
      </c>
      <c r="M16" s="87">
        <f>IFERROR('7f'!M16/'7f'!M16*100, "na")</f>
        <v>100</v>
      </c>
    </row>
    <row r="17" spans="1:13">
      <c r="A17" s="185">
        <v>1992</v>
      </c>
      <c r="B17" s="85">
        <f>IFERROR('7f'!B17/'7f'!J17*100,"na")</f>
        <v>62.604306398749841</v>
      </c>
      <c r="C17" s="86">
        <f>IFERROR('7f'!C17/'7f'!K17*100,"na")</f>
        <v>96.866450524071766</v>
      </c>
      <c r="D17" s="86">
        <f>IFERROR('7f'!D17/'7f'!L17*100,"na")</f>
        <v>326.41550867029395</v>
      </c>
      <c r="E17" s="87">
        <f>IFERROR('7f'!E17/'7f'!M17*100,"na")</f>
        <v>231.28320310162854</v>
      </c>
      <c r="F17" s="85">
        <f>IFERROR('7f'!F17/'7f'!J17*100,"na")</f>
        <v>53.83457993324113</v>
      </c>
      <c r="G17" s="86">
        <f>IFERROR('7f'!G17/'7f'!K17*100,"na")</f>
        <v>48.800111617523967</v>
      </c>
      <c r="H17" s="86">
        <f>IFERROR('7f'!H17/'7f'!L17*100,"na")</f>
        <v>219.47525259770865</v>
      </c>
      <c r="I17" s="87">
        <f>IFERROR('7f'!I17/'7f'!M17*100,"na")</f>
        <v>154.02196590460557</v>
      </c>
      <c r="J17" s="85">
        <f>IFERROR('7f'!J17/'7f'!J17*100, "na")</f>
        <v>100</v>
      </c>
      <c r="K17" s="86">
        <f>IFERROR('7f'!K17/'7f'!K17*100, "na")</f>
        <v>100</v>
      </c>
      <c r="L17" s="86">
        <f>IFERROR('7f'!L17/'7f'!L17*100, "na")</f>
        <v>100</v>
      </c>
      <c r="M17" s="87">
        <f>IFERROR('7f'!M17/'7f'!M17*100, "na")</f>
        <v>100</v>
      </c>
    </row>
    <row r="18" spans="1:13">
      <c r="A18" s="185">
        <v>1993</v>
      </c>
      <c r="B18" s="85">
        <f>IFERROR('7f'!B18/'7f'!J18*100,"na")</f>
        <v>73.347886102598807</v>
      </c>
      <c r="C18" s="86">
        <f>IFERROR('7f'!C18/'7f'!K18*100,"na")</f>
        <v>112.40310982481694</v>
      </c>
      <c r="D18" s="86">
        <f>IFERROR('7f'!D18/'7f'!L18*100,"na")</f>
        <v>406.03385440677567</v>
      </c>
      <c r="E18" s="87">
        <f>IFERROR('7f'!E18/'7f'!M18*100,"na")</f>
        <v>282.26351647965726</v>
      </c>
      <c r="F18" s="85">
        <f>IFERROR('7f'!F18/'7f'!J18*100,"na")</f>
        <v>108.54624899410868</v>
      </c>
      <c r="G18" s="86">
        <f>IFERROR('7f'!G18/'7f'!K18*100,"na")</f>
        <v>113.2242828251719</v>
      </c>
      <c r="H18" s="86">
        <f>IFERROR('7f'!H18/'7f'!L18*100,"na")</f>
        <v>221.15845817132563</v>
      </c>
      <c r="I18" s="87">
        <f>IFERROR('7f'!I18/'7f'!M18*100,"na")</f>
        <v>177.30230511819545</v>
      </c>
      <c r="J18" s="85">
        <f>IFERROR('7f'!J18/'7f'!J18*100, "na")</f>
        <v>100</v>
      </c>
      <c r="K18" s="86">
        <f>IFERROR('7f'!K18/'7f'!K18*100, "na")</f>
        <v>100</v>
      </c>
      <c r="L18" s="86">
        <f>IFERROR('7f'!L18/'7f'!L18*100, "na")</f>
        <v>100</v>
      </c>
      <c r="M18" s="87">
        <f>IFERROR('7f'!M18/'7f'!M18*100, "na")</f>
        <v>100</v>
      </c>
    </row>
    <row r="19" spans="1:13">
      <c r="A19" s="185">
        <v>1994</v>
      </c>
      <c r="B19" s="85">
        <f>IFERROR('7f'!B19/'7f'!J19*100,"na")</f>
        <v>89.363800807037634</v>
      </c>
      <c r="C19" s="86">
        <f>IFERROR('7f'!C19/'7f'!K19*100,"na")</f>
        <v>144.07734667965866</v>
      </c>
      <c r="D19" s="86">
        <f>IFERROR('7f'!D19/'7f'!L19*100,"na")</f>
        <v>521.68787273689497</v>
      </c>
      <c r="E19" s="87">
        <f>IFERROR('7f'!E19/'7f'!M19*100,"na")</f>
        <v>358.2920187793427</v>
      </c>
      <c r="F19" s="85">
        <f>IFERROR('7f'!F19/'7f'!J19*100,"na")</f>
        <v>160.04896112026637</v>
      </c>
      <c r="G19" s="86">
        <f>IFERROR('7f'!G19/'7f'!K19*100,"na")</f>
        <v>170.98417217584324</v>
      </c>
      <c r="H19" s="86">
        <f>IFERROR('7f'!H19/'7f'!L19*100,"na")</f>
        <v>229.17048171803697</v>
      </c>
      <c r="I19" s="87">
        <f>IFERROR('7f'!I19/'7f'!M19*100,"na")</f>
        <v>203.56624040920715</v>
      </c>
      <c r="J19" s="85">
        <f>IFERROR('7f'!J19/'7f'!J19*100, "na")</f>
        <v>100</v>
      </c>
      <c r="K19" s="86">
        <f>IFERROR('7f'!K19/'7f'!K19*100, "na")</f>
        <v>100</v>
      </c>
      <c r="L19" s="86">
        <f>IFERROR('7f'!L19/'7f'!L19*100, "na")</f>
        <v>100</v>
      </c>
      <c r="M19" s="87">
        <f>IFERROR('7f'!M19/'7f'!M19*100, "na")</f>
        <v>100</v>
      </c>
    </row>
    <row r="20" spans="1:13">
      <c r="A20" s="185">
        <v>1995</v>
      </c>
      <c r="B20" s="85">
        <f>IFERROR('7f'!B20/'7f'!J20*100,"na")</f>
        <v>130.73713965778589</v>
      </c>
      <c r="C20" s="86">
        <f>IFERROR('7f'!C20/'7f'!K20*100,"na")</f>
        <v>206.45733152884534</v>
      </c>
      <c r="D20" s="86">
        <f>IFERROR('7f'!D20/'7f'!L20*100,"na")</f>
        <v>767.88517086304978</v>
      </c>
      <c r="E20" s="87">
        <f>IFERROR('7f'!E20/'7f'!M20*100,"na")</f>
        <v>520.1670722847623</v>
      </c>
      <c r="F20" s="85">
        <f>IFERROR('7f'!F20/'7f'!J20*100,"na")</f>
        <v>180.03150787696927</v>
      </c>
      <c r="G20" s="86">
        <f>IFERROR('7f'!G20/'7f'!K20*100,"na")</f>
        <v>185.375131434536</v>
      </c>
      <c r="H20" s="86">
        <f>IFERROR('7f'!H20/'7f'!L20*100,"na")</f>
        <v>225.57215993695027</v>
      </c>
      <c r="I20" s="87">
        <f>IFERROR('7f'!I20/'7f'!M20*100,"na")</f>
        <v>207.84952629134725</v>
      </c>
      <c r="J20" s="85">
        <f>IFERROR('7f'!J20/'7f'!J20*100, "na")</f>
        <v>100</v>
      </c>
      <c r="K20" s="86">
        <f>IFERROR('7f'!K20/'7f'!K20*100, "na")</f>
        <v>100</v>
      </c>
      <c r="L20" s="86">
        <f>IFERROR('7f'!L20/'7f'!L20*100, "na")</f>
        <v>100</v>
      </c>
      <c r="M20" s="87">
        <f>IFERROR('7f'!M20/'7f'!M20*100, "na")</f>
        <v>100</v>
      </c>
    </row>
    <row r="21" spans="1:13">
      <c r="A21" s="185">
        <v>1996</v>
      </c>
      <c r="B21" s="85">
        <f>IFERROR('7f'!B21/'7f'!J21*100,"na")</f>
        <v>164.78033580979888</v>
      </c>
      <c r="C21" s="86">
        <f>IFERROR('7f'!C21/'7f'!K21*100,"na")</f>
        <v>259.0903977133766</v>
      </c>
      <c r="D21" s="86">
        <f>IFERROR('7f'!D21/'7f'!L21*100,"na")</f>
        <v>1005.7750679559961</v>
      </c>
      <c r="E21" s="87">
        <f>IFERROR('7f'!E21/'7f'!M21*100,"na")</f>
        <v>676.80212136395141</v>
      </c>
      <c r="F21" s="85">
        <f>IFERROR('7f'!F21/'7f'!J21*100,"na")</f>
        <v>180.42598754159059</v>
      </c>
      <c r="G21" s="86">
        <f>IFERROR('7f'!G21/'7f'!K21*100,"na")</f>
        <v>187.16267214135777</v>
      </c>
      <c r="H21" s="86">
        <f>IFERROR('7f'!H21/'7f'!L21*100,"na")</f>
        <v>223.56964366391546</v>
      </c>
      <c r="I21" s="87">
        <f>IFERROR('7f'!I21/'7f'!M21*100,"na")</f>
        <v>207.16328632795299</v>
      </c>
      <c r="J21" s="85">
        <f>IFERROR('7f'!J21/'7f'!J21*100, "na")</f>
        <v>100</v>
      </c>
      <c r="K21" s="86">
        <f>IFERROR('7f'!K21/'7f'!K21*100, "na")</f>
        <v>100</v>
      </c>
      <c r="L21" s="86">
        <f>IFERROR('7f'!L21/'7f'!L21*100, "na")</f>
        <v>100</v>
      </c>
      <c r="M21" s="87">
        <f>IFERROR('7f'!M21/'7f'!M21*100, "na")</f>
        <v>100</v>
      </c>
    </row>
    <row r="22" spans="1:13">
      <c r="A22" s="185">
        <v>1997</v>
      </c>
      <c r="B22" s="85">
        <f>IFERROR('7f'!B22/'7f'!J22*100,"na")</f>
        <v>219.04103283379771</v>
      </c>
      <c r="C22" s="86">
        <f>IFERROR('7f'!C22/'7f'!K22*100,"na")</f>
        <v>321.72608856088561</v>
      </c>
      <c r="D22" s="86">
        <f>IFERROR('7f'!D22/'7f'!L22*100,"na")</f>
        <v>1273.7546369866297</v>
      </c>
      <c r="E22" s="87">
        <f>IFERROR('7f'!E22/'7f'!M22*100,"na")</f>
        <v>840.99832499570221</v>
      </c>
      <c r="F22" s="85">
        <f>IFERROR('7f'!F22/'7f'!J22*100,"na")</f>
        <v>163.4598300858805</v>
      </c>
      <c r="G22" s="86">
        <f>IFERROR('7f'!G22/'7f'!K22*100,"na")</f>
        <v>171.33658371040724</v>
      </c>
      <c r="H22" s="86">
        <f>IFERROR('7f'!H22/'7f'!L22*100,"na")</f>
        <v>212.80652053828524</v>
      </c>
      <c r="I22" s="87">
        <f>IFERROR('7f'!I22/'7f'!M22*100,"na")</f>
        <v>193.36942791270536</v>
      </c>
      <c r="J22" s="85">
        <f>IFERROR('7f'!J22/'7f'!J22*100, "na")</f>
        <v>100</v>
      </c>
      <c r="K22" s="86">
        <f>IFERROR('7f'!K22/'7f'!K22*100, "na")</f>
        <v>100</v>
      </c>
      <c r="L22" s="86">
        <f>IFERROR('7f'!L22/'7f'!L22*100, "na")</f>
        <v>100</v>
      </c>
      <c r="M22" s="87">
        <f>IFERROR('7f'!M22/'7f'!M22*100, "na")</f>
        <v>100</v>
      </c>
    </row>
    <row r="23" spans="1:13">
      <c r="A23" s="185">
        <v>1998</v>
      </c>
      <c r="B23" s="85">
        <f>IFERROR('7f'!B23/'7f'!J23*100,"na")</f>
        <v>232.07916479784254</v>
      </c>
      <c r="C23" s="86">
        <f>IFERROR('7f'!C23/'7f'!K23*100,"na")</f>
        <v>315.52630804978776</v>
      </c>
      <c r="D23" s="86">
        <f>IFERROR('7f'!D23/'7f'!L23*100,"na")</f>
        <v>1406.0119533281973</v>
      </c>
      <c r="E23" s="87">
        <f>IFERROR('7f'!E23/'7f'!M23*100,"na")</f>
        <v>892.7719755932236</v>
      </c>
      <c r="F23" s="85">
        <f>IFERROR('7f'!F23/'7f'!J23*100,"na")</f>
        <v>161.1818377425044</v>
      </c>
      <c r="G23" s="86">
        <f>IFERROR('7f'!G23/'7f'!K23*100,"na")</f>
        <v>164.80005417513152</v>
      </c>
      <c r="H23" s="86">
        <f>IFERROR('7f'!H23/'7f'!L23*100,"na")</f>
        <v>199.68474840421121</v>
      </c>
      <c r="I23" s="87">
        <f>IFERROR('7f'!I23/'7f'!M23*100,"na")</f>
        <v>183.10493720588676</v>
      </c>
      <c r="J23" s="85">
        <f>IFERROR('7f'!J23/'7f'!J23*100, "na")</f>
        <v>100</v>
      </c>
      <c r="K23" s="86">
        <f>IFERROR('7f'!K23/'7f'!K23*100, "na")</f>
        <v>100</v>
      </c>
      <c r="L23" s="86">
        <f>IFERROR('7f'!L23/'7f'!L23*100, "na")</f>
        <v>100</v>
      </c>
      <c r="M23" s="87">
        <f>IFERROR('7f'!M23/'7f'!M23*100, "na")</f>
        <v>100</v>
      </c>
    </row>
    <row r="24" spans="1:13">
      <c r="A24" s="185">
        <v>1999</v>
      </c>
      <c r="B24" s="85">
        <f>IFERROR('7f'!B24/'7f'!J24*100,"na")</f>
        <v>188.84801404648047</v>
      </c>
      <c r="C24" s="86">
        <f>IFERROR('7f'!C24/'7f'!K24*100,"na")</f>
        <v>251.91236072882512</v>
      </c>
      <c r="D24" s="86">
        <f>IFERROR('7f'!D24/'7f'!L24*100,"na")</f>
        <v>1336.6863206399171</v>
      </c>
      <c r="E24" s="87">
        <f>IFERROR('7f'!E24/'7f'!M24*100,"na")</f>
        <v>794.11789616813167</v>
      </c>
      <c r="F24" s="85">
        <f>IFERROR('7f'!F24/'7f'!J24*100,"na")</f>
        <v>145.52642842107727</v>
      </c>
      <c r="G24" s="86">
        <f>IFERROR('7f'!G24/'7f'!K24*100,"na")</f>
        <v>151.8143566909641</v>
      </c>
      <c r="H24" s="86">
        <f>IFERROR('7f'!H24/'7f'!L24*100,"na")</f>
        <v>186.81425737835249</v>
      </c>
      <c r="I24" s="87">
        <f>IFERROR('7f'!I24/'7f'!M24*100,"na")</f>
        <v>168.55587866979747</v>
      </c>
      <c r="J24" s="85">
        <f>IFERROR('7f'!J24/'7f'!J24*100, "na")</f>
        <v>100</v>
      </c>
      <c r="K24" s="86">
        <f>IFERROR('7f'!K24/'7f'!K24*100, "na")</f>
        <v>100</v>
      </c>
      <c r="L24" s="86">
        <f>IFERROR('7f'!L24/'7f'!L24*100, "na")</f>
        <v>100</v>
      </c>
      <c r="M24" s="87">
        <f>IFERROR('7f'!M24/'7f'!M24*100, "na")</f>
        <v>100</v>
      </c>
    </row>
    <row r="25" spans="1:13">
      <c r="A25" s="185">
        <v>2000</v>
      </c>
      <c r="B25" s="85">
        <f>IFERROR('7f'!B25/'7f'!J25*100,"na")</f>
        <v>178.32761145131565</v>
      </c>
      <c r="C25" s="86">
        <f>IFERROR('7f'!C25/'7f'!K25*100,"na")</f>
        <v>236.93784527405253</v>
      </c>
      <c r="D25" s="86">
        <f>IFERROR('7f'!D25/'7f'!L25*100,"na")</f>
        <v>1293.8355459597462</v>
      </c>
      <c r="E25" s="87">
        <f>IFERROR('7f'!E25/'7f'!M25*100,"na")</f>
        <v>751.48116824718556</v>
      </c>
      <c r="F25" s="85">
        <f>IFERROR('7f'!F25/'7f'!J25*100,"na")</f>
        <v>105.23861608209515</v>
      </c>
      <c r="G25" s="86">
        <f>IFERROR('7f'!G25/'7f'!K25*100,"na")</f>
        <v>107.43700699120575</v>
      </c>
      <c r="H25" s="86">
        <f>IFERROR('7f'!H25/'7f'!L25*100,"na")</f>
        <v>158.85674454635895</v>
      </c>
      <c r="I25" s="87">
        <f>IFERROR('7f'!I25/'7f'!M25*100,"na")</f>
        <v>132.58479646584121</v>
      </c>
      <c r="J25" s="85">
        <f>IFERROR('7f'!J25/'7f'!J25*100, "na")</f>
        <v>100</v>
      </c>
      <c r="K25" s="86">
        <f>IFERROR('7f'!K25/'7f'!K25*100, "na")</f>
        <v>100</v>
      </c>
      <c r="L25" s="86">
        <f>IFERROR('7f'!L25/'7f'!L25*100, "na")</f>
        <v>100</v>
      </c>
      <c r="M25" s="87">
        <f>IFERROR('7f'!M25/'7f'!M25*100, "na")</f>
        <v>100</v>
      </c>
    </row>
    <row r="26" spans="1:13">
      <c r="A26" s="185">
        <v>2001</v>
      </c>
      <c r="B26" s="85">
        <f>IFERROR('7f'!B26/'7f'!J26*100,"na")</f>
        <v>169.05063731977432</v>
      </c>
      <c r="C26" s="86">
        <f>IFERROR('7f'!C26/'7f'!K26*100,"na")</f>
        <v>220.02968329137187</v>
      </c>
      <c r="D26" s="86">
        <f>IFERROR('7f'!D26/'7f'!L26*100,"na")</f>
        <v>1278.2764020614109</v>
      </c>
      <c r="E26" s="87">
        <f>IFERROR('7f'!E26/'7f'!M26*100,"na")</f>
        <v>743.22896926362478</v>
      </c>
      <c r="F26" s="85">
        <f>IFERROR('7f'!F26/'7f'!J26*100,"na")</f>
        <v>77.515211348471155</v>
      </c>
      <c r="G26" s="86">
        <f>IFERROR('7f'!G26/'7f'!K26*100,"na")</f>
        <v>76.040008364330717</v>
      </c>
      <c r="H26" s="86">
        <f>IFERROR('7f'!H26/'7f'!L26*100,"na")</f>
        <v>141.03131703896153</v>
      </c>
      <c r="I26" s="87">
        <f>IFERROR('7f'!I26/'7f'!M26*100,"na")</f>
        <v>108.9075491594254</v>
      </c>
      <c r="J26" s="85">
        <f>IFERROR('7f'!J26/'7f'!J26*100, "na")</f>
        <v>100</v>
      </c>
      <c r="K26" s="86">
        <f>IFERROR('7f'!K26/'7f'!K26*100, "na")</f>
        <v>100</v>
      </c>
      <c r="L26" s="86">
        <f>IFERROR('7f'!L26/'7f'!L26*100, "na")</f>
        <v>100</v>
      </c>
      <c r="M26" s="87">
        <f>IFERROR('7f'!M26/'7f'!M26*100, "na")</f>
        <v>100</v>
      </c>
    </row>
    <row r="27" spans="1:13">
      <c r="A27" s="185">
        <v>2002</v>
      </c>
      <c r="B27" s="85">
        <f>IFERROR('7f'!B27/'7f'!J27*100,"na")</f>
        <v>129.19064457466155</v>
      </c>
      <c r="C27" s="86">
        <f>IFERROR('7f'!C27/'7f'!K27*100,"na")</f>
        <v>157.31246221782536</v>
      </c>
      <c r="D27" s="86">
        <f>IFERROR('7f'!D27/'7f'!L27*100,"na")</f>
        <v>1211.9630757014972</v>
      </c>
      <c r="E27" s="87">
        <f>IFERROR('7f'!E27/'7f'!M27*100,"na")</f>
        <v>679.51784410480275</v>
      </c>
      <c r="F27" s="85">
        <f>IFERROR('7f'!F27/'7f'!J27*100,"na")</f>
        <v>59.057462564438268</v>
      </c>
      <c r="G27" s="86">
        <f>IFERROR('7f'!G27/'7f'!K27*100,"na")</f>
        <v>55.349277949348604</v>
      </c>
      <c r="H27" s="86">
        <f>IFERROR('7f'!H27/'7f'!L27*100,"na")</f>
        <v>133.00829305407086</v>
      </c>
      <c r="I27" s="87">
        <f>IFERROR('7f'!I27/'7f'!M27*100,"na")</f>
        <v>94.697927976011556</v>
      </c>
      <c r="J27" s="85">
        <f>IFERROR('7f'!J27/'7f'!J27*100, "na")</f>
        <v>100</v>
      </c>
      <c r="K27" s="86">
        <f>IFERROR('7f'!K27/'7f'!K27*100, "na")</f>
        <v>100</v>
      </c>
      <c r="L27" s="86">
        <f>IFERROR('7f'!L27/'7f'!L27*100, "na")</f>
        <v>100</v>
      </c>
      <c r="M27" s="87">
        <f>IFERROR('7f'!M27/'7f'!M27*100, "na")</f>
        <v>100</v>
      </c>
    </row>
    <row r="28" spans="1:13">
      <c r="A28" s="185">
        <v>2003</v>
      </c>
      <c r="B28" s="85">
        <f>IFERROR('7f'!B28/'7f'!J28*100,"na")</f>
        <v>98.108555452552892</v>
      </c>
      <c r="C28" s="86">
        <f>IFERROR('7f'!C28/'7f'!K28*100,"na")</f>
        <v>115.04908041746992</v>
      </c>
      <c r="D28" s="86">
        <f>IFERROR('7f'!D28/'7f'!L28*100,"na")</f>
        <v>1143.4769821581042</v>
      </c>
      <c r="E28" s="87">
        <f>IFERROR('7f'!E28/'7f'!M28*100,"na")</f>
        <v>614.17608181087974</v>
      </c>
      <c r="F28" s="85">
        <f>IFERROR('7f'!F28/'7f'!J28*100,"na")</f>
        <v>49.216200703463095</v>
      </c>
      <c r="G28" s="86">
        <f>IFERROR('7f'!G28/'7f'!K28*100,"na")</f>
        <v>42.880918537736498</v>
      </c>
      <c r="H28" s="86">
        <f>IFERROR('7f'!H28/'7f'!L28*100,"na")</f>
        <v>125.52812273944383</v>
      </c>
      <c r="I28" s="87">
        <f>IFERROR('7f'!I28/'7f'!M28*100,"na")</f>
        <v>84.185552196371532</v>
      </c>
      <c r="J28" s="85">
        <f>IFERROR('7f'!J28/'7f'!J28*100, "na")</f>
        <v>100</v>
      </c>
      <c r="K28" s="86">
        <f>IFERROR('7f'!K28/'7f'!K28*100, "na")</f>
        <v>100</v>
      </c>
      <c r="L28" s="86">
        <f>IFERROR('7f'!L28/'7f'!L28*100, "na")</f>
        <v>100</v>
      </c>
      <c r="M28" s="87">
        <f>IFERROR('7f'!M28/'7f'!M28*100, "na")</f>
        <v>100</v>
      </c>
    </row>
    <row r="29" spans="1:13">
      <c r="A29" s="185">
        <v>2004</v>
      </c>
      <c r="B29" s="85">
        <f>IFERROR('7f'!B29/'7f'!J29*100,"na")</f>
        <v>74.565317439360228</v>
      </c>
      <c r="C29" s="86">
        <f>IFERROR('7f'!C29/'7f'!K29*100,"na")</f>
        <v>84.610535696200543</v>
      </c>
      <c r="D29" s="86">
        <f>IFERROR('7f'!D29/'7f'!L29*100,"na")</f>
        <v>1051.6295327682585</v>
      </c>
      <c r="E29" s="87">
        <f>IFERROR('7f'!E29/'7f'!M29*100,"na")</f>
        <v>547.29447674337075</v>
      </c>
      <c r="F29" s="85">
        <f>IFERROR('7f'!F29/'7f'!J29*100,"na")</f>
        <v>41.669897526992763</v>
      </c>
      <c r="G29" s="86">
        <f>IFERROR('7f'!G29/'7f'!K29*100,"na")</f>
        <v>33.885286485279046</v>
      </c>
      <c r="H29" s="86">
        <f>IFERROR('7f'!H29/'7f'!L29*100,"na")</f>
        <v>115.57532126581992</v>
      </c>
      <c r="I29" s="87">
        <f>IFERROR('7f'!I29/'7f'!M29*100,"na")</f>
        <v>74.275301665764076</v>
      </c>
      <c r="J29" s="85">
        <f>IFERROR('7f'!J29/'7f'!J29*100, "na")</f>
        <v>100</v>
      </c>
      <c r="K29" s="86">
        <f>IFERROR('7f'!K29/'7f'!K29*100, "na")</f>
        <v>100</v>
      </c>
      <c r="L29" s="86">
        <f>IFERROR('7f'!L29/'7f'!L29*100, "na")</f>
        <v>100</v>
      </c>
      <c r="M29" s="87">
        <f>IFERROR('7f'!M29/'7f'!M29*100, "na")</f>
        <v>100</v>
      </c>
    </row>
    <row r="30" spans="1:13">
      <c r="A30" s="185">
        <v>2005</v>
      </c>
      <c r="B30" s="85">
        <f>IFERROR('7f'!B30/'7f'!J30*100,"na")</f>
        <v>58.665559135897496</v>
      </c>
      <c r="C30" s="86">
        <f>IFERROR('7f'!C30/'7f'!K30*100,"na")</f>
        <v>63.99049509480075</v>
      </c>
      <c r="D30" s="86">
        <f>IFERROR('7f'!D30/'7f'!L30*100,"na")</f>
        <v>973.85135425448425</v>
      </c>
      <c r="E30" s="87">
        <f>IFERROR('7f'!E30/'7f'!M30*100,"na")</f>
        <v>496.8470847830842</v>
      </c>
      <c r="F30" s="85">
        <f>IFERROR('7f'!F30/'7f'!J30*100,"na")</f>
        <v>38.098124239875375</v>
      </c>
      <c r="G30" s="86">
        <f>IFERROR('7f'!G30/'7f'!K30*100,"na")</f>
        <v>29.269345894726307</v>
      </c>
      <c r="H30" s="86">
        <f>IFERROR('7f'!H30/'7f'!L30*100,"na")</f>
        <v>110.51895939660837</v>
      </c>
      <c r="I30" s="87">
        <f>IFERROR('7f'!I30/'7f'!M30*100,"na")</f>
        <v>69.239492577274703</v>
      </c>
      <c r="J30" s="85">
        <f>IFERROR('7f'!J30/'7f'!J30*100, "na")</f>
        <v>100</v>
      </c>
      <c r="K30" s="86">
        <f>IFERROR('7f'!K30/'7f'!K30*100, "na")</f>
        <v>100</v>
      </c>
      <c r="L30" s="86">
        <f>IFERROR('7f'!L30/'7f'!L30*100, "na")</f>
        <v>100</v>
      </c>
      <c r="M30" s="87">
        <f>IFERROR('7f'!M30/'7f'!M30*100, "na")</f>
        <v>100</v>
      </c>
    </row>
    <row r="31" spans="1:13">
      <c r="A31" s="185">
        <v>2006</v>
      </c>
      <c r="B31" s="85">
        <f>IFERROR('7f'!B31/'7f'!J31*100,"na")</f>
        <v>47.328226580052878</v>
      </c>
      <c r="C31" s="86">
        <f>IFERROR('7f'!C31/'7f'!K31*100,"na")</f>
        <v>50.383832939989027</v>
      </c>
      <c r="D31" s="86">
        <f>IFERROR('7f'!D31/'7f'!L31*100,"na")</f>
        <v>891.55937456644483</v>
      </c>
      <c r="E31" s="87">
        <f>IFERROR('7f'!E31/'7f'!M31*100,"na")</f>
        <v>457.18917932842487</v>
      </c>
      <c r="F31" s="85">
        <f>IFERROR('7f'!F31/'7f'!J31*100,"na")</f>
        <v>37.914909378106408</v>
      </c>
      <c r="G31" s="86">
        <f>IFERROR('7f'!G31/'7f'!K31*100,"na")</f>
        <v>27.5420384579181</v>
      </c>
      <c r="H31" s="86">
        <f>IFERROR('7f'!H31/'7f'!L31*100,"na")</f>
        <v>107.1318761073038</v>
      </c>
      <c r="I31" s="87">
        <f>IFERROR('7f'!I31/'7f'!M31*100,"na")</f>
        <v>67.472455401382959</v>
      </c>
      <c r="J31" s="85">
        <f>IFERROR('7f'!J31/'7f'!J31*100, "na")</f>
        <v>100</v>
      </c>
      <c r="K31" s="86">
        <f>IFERROR('7f'!K31/'7f'!K31*100, "na")</f>
        <v>100</v>
      </c>
      <c r="L31" s="86">
        <f>IFERROR('7f'!L31/'7f'!L31*100, "na")</f>
        <v>100</v>
      </c>
      <c r="M31" s="87">
        <f>IFERROR('7f'!M31/'7f'!M31*100, "na")</f>
        <v>100</v>
      </c>
    </row>
    <row r="32" spans="1:13">
      <c r="A32" s="185">
        <v>2007</v>
      </c>
      <c r="B32" s="85">
        <f>IFERROR('7f'!B32/'7f'!J32*100,"na")</f>
        <v>46.526740466731312</v>
      </c>
      <c r="C32" s="86">
        <f>IFERROR('7f'!C32/'7f'!K32*100,"na")</f>
        <v>45.827838934767811</v>
      </c>
      <c r="D32" s="86">
        <f>IFERROR('7f'!D32/'7f'!L32*100,"na")</f>
        <v>797.48811291041852</v>
      </c>
      <c r="E32" s="87">
        <f>IFERROR('7f'!E32/'7f'!M32*100,"na")</f>
        <v>391.71292783742928</v>
      </c>
      <c r="F32" s="85">
        <f>IFERROR('7f'!F32/'7f'!J32*100,"na")</f>
        <v>43.318295151574993</v>
      </c>
      <c r="G32" s="86">
        <f>IFERROR('7f'!G32/'7f'!K32*100,"na")</f>
        <v>28.820110830081724</v>
      </c>
      <c r="H32" s="86">
        <f>IFERROR('7f'!H32/'7f'!L32*100,"na")</f>
        <v>104.56184467358275</v>
      </c>
      <c r="I32" s="87">
        <f>IFERROR('7f'!I32/'7f'!M32*100,"na")</f>
        <v>65.664233390173649</v>
      </c>
      <c r="J32" s="85">
        <f>IFERROR('7f'!J32/'7f'!J32*100, "na")</f>
        <v>100</v>
      </c>
      <c r="K32" s="86">
        <f>IFERROR('7f'!K32/'7f'!K32*100, "na")</f>
        <v>100</v>
      </c>
      <c r="L32" s="86">
        <f>IFERROR('7f'!L32/'7f'!L32*100, "na")</f>
        <v>100</v>
      </c>
      <c r="M32" s="87">
        <f>IFERROR('7f'!M32/'7f'!M32*100, "na")</f>
        <v>100</v>
      </c>
    </row>
    <row r="33" spans="1:13">
      <c r="A33" s="185">
        <v>2008</v>
      </c>
      <c r="B33" s="85">
        <f>IFERROR('7f'!B33/'7f'!J33*100,"na")</f>
        <v>47.540568437239436</v>
      </c>
      <c r="C33" s="86">
        <f>IFERROR('7f'!C33/'7f'!K33*100,"na")</f>
        <v>42.315470080399024</v>
      </c>
      <c r="D33" s="86">
        <f>IFERROR('7f'!D33/'7f'!L33*100,"na")</f>
        <v>721.43001252113993</v>
      </c>
      <c r="E33" s="87">
        <f>IFERROR('7f'!E33/'7f'!M33*100,"na")</f>
        <v>350.2091173920071</v>
      </c>
      <c r="F33" s="85">
        <f>IFERROR('7f'!F33/'7f'!J33*100,"na")</f>
        <v>51.661333946289687</v>
      </c>
      <c r="G33" s="86">
        <f>IFERROR('7f'!G33/'7f'!K33*100,"na")</f>
        <v>30.92620544012949</v>
      </c>
      <c r="H33" s="86">
        <f>IFERROR('7f'!H33/'7f'!L33*100,"na")</f>
        <v>106.38165763799516</v>
      </c>
      <c r="I33" s="87">
        <f>IFERROR('7f'!I33/'7f'!M33*100,"na")</f>
        <v>67.875146877552467</v>
      </c>
      <c r="J33" s="85">
        <f>IFERROR('7f'!J33/'7f'!J33*100, "na")</f>
        <v>100</v>
      </c>
      <c r="K33" s="86">
        <f>IFERROR('7f'!K33/'7f'!K33*100, "na")</f>
        <v>100</v>
      </c>
      <c r="L33" s="86">
        <f>IFERROR('7f'!L33/'7f'!L33*100, "na")</f>
        <v>100</v>
      </c>
      <c r="M33" s="87">
        <f>IFERROR('7f'!M33/'7f'!M33*100, "na")</f>
        <v>100</v>
      </c>
    </row>
    <row r="34" spans="1:13">
      <c r="A34" s="57">
        <f>A33+1</f>
        <v>2009</v>
      </c>
      <c r="B34" s="85">
        <f>IFERROR('7f'!B34/'7f'!J34*100,"na")</f>
        <v>46.470585472173163</v>
      </c>
      <c r="C34" s="86">
        <f>IFERROR('7f'!C34/'7f'!K34*100,"na")</f>
        <v>37.927186825071821</v>
      </c>
      <c r="D34" s="86">
        <f>IFERROR('7f'!D34/'7f'!L34*100,"na")</f>
        <v>664.56557861205556</v>
      </c>
      <c r="E34" s="87">
        <f>IFERROR('7f'!E34/'7f'!M34*100,"na")</f>
        <v>317.08059895139274</v>
      </c>
      <c r="F34" s="85">
        <f>IFERROR('7f'!F34/'7f'!J34*100,"na")</f>
        <v>53.625811979436499</v>
      </c>
      <c r="G34" s="86">
        <f>IFERROR('7f'!G34/'7f'!K34*100,"na")</f>
        <v>28.709403768173381</v>
      </c>
      <c r="H34" s="86">
        <f>IFERROR('7f'!H34/'7f'!L34*100,"na")</f>
        <v>105.4331789672549</v>
      </c>
      <c r="I34" s="87">
        <f>IFERROR('7f'!I34/'7f'!M34*100,"na")</f>
        <v>66.0790712279735</v>
      </c>
      <c r="J34" s="85">
        <f>IFERROR('7f'!J34/'7f'!J34*100, "na")</f>
        <v>100</v>
      </c>
      <c r="K34" s="86">
        <f>IFERROR('7f'!K34/'7f'!K34*100, "na")</f>
        <v>100</v>
      </c>
      <c r="L34" s="86">
        <f>IFERROR('7f'!L34/'7f'!L34*100, "na")</f>
        <v>100</v>
      </c>
      <c r="M34" s="87">
        <f>IFERROR('7f'!M34/'7f'!M34*100, "na")</f>
        <v>100</v>
      </c>
    </row>
    <row r="35" spans="1:13">
      <c r="A35" s="58">
        <f t="shared" ref="A35" si="0">A34+1</f>
        <v>2010</v>
      </c>
      <c r="B35" s="88">
        <f>IFERROR('7f'!B35/'7f'!J35*100,"na")</f>
        <v>44.659267051609106</v>
      </c>
      <c r="C35" s="89">
        <f>IFERROR('7f'!C35/'7f'!K35*100,"na")</f>
        <v>34.743066717065709</v>
      </c>
      <c r="D35" s="89">
        <f>IFERROR('7f'!D35/'7f'!L35*100,"na")</f>
        <v>600.99963221457267</v>
      </c>
      <c r="E35" s="90">
        <f>IFERROR('7f'!E35/'7f'!M35*100,"na")</f>
        <v>272.82961178424449</v>
      </c>
      <c r="F35" s="88">
        <f>IFERROR('7f'!F35/'7f'!J35*100,"na")</f>
        <v>55.558555053083211</v>
      </c>
      <c r="G35" s="89">
        <f>IFERROR('7f'!G35/'7f'!K35*100,"na")</f>
        <v>27.826642222514923</v>
      </c>
      <c r="H35" s="89">
        <f>IFERROR('7f'!H35/'7f'!L35*100,"na")</f>
        <v>104.88567745141523</v>
      </c>
      <c r="I35" s="90">
        <f>IFERROR('7f'!I35/'7f'!M35*100,"na")</f>
        <v>64.114528619328013</v>
      </c>
      <c r="J35" s="88">
        <f>IFERROR('7f'!J35/'7f'!J35*100, "na")</f>
        <v>100</v>
      </c>
      <c r="K35" s="89">
        <f>IFERROR('7f'!K35/'7f'!K35*100, "na")</f>
        <v>100</v>
      </c>
      <c r="L35" s="89">
        <f>IFERROR('7f'!L35/'7f'!L35*100, "na")</f>
        <v>100</v>
      </c>
      <c r="M35" s="90">
        <f>IFERROR('7f'!M35/'7f'!M35*100,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406" t="s">
        <v>52</v>
      </c>
      <c r="B37" s="407"/>
      <c r="C37" s="407"/>
      <c r="D37" s="407"/>
      <c r="E37" s="407"/>
      <c r="F37" s="407"/>
      <c r="G37" s="407"/>
      <c r="H37" s="407"/>
      <c r="I37" s="407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>
        <f t="shared" si="1"/>
        <v>0.26186473020899381</v>
      </c>
      <c r="G38" s="83">
        <f>IFERROR((POWER(G15/G6,1/($A15-$A6))-1)*100, "na")</f>
        <v>9.8404120754451263</v>
      </c>
      <c r="H38" s="83">
        <f t="shared" si="1"/>
        <v>8.28631243158895</v>
      </c>
      <c r="I38" s="84">
        <f t="shared" si="1"/>
        <v>6.5258425741429038</v>
      </c>
    </row>
    <row r="39" spans="1:13">
      <c r="A39" s="28" t="s">
        <v>71</v>
      </c>
      <c r="B39" s="37">
        <f>IFERROR((POWER(B$25/B15,1/($A$25-$A$15))-1)*100,"na")</f>
        <v>12.570766343519857</v>
      </c>
      <c r="C39" s="86">
        <f t="shared" ref="C39:I39" si="2">IFERROR((POWER(C$25/C15,1/($A$25-$A$15))-1)*100,"na")</f>
        <v>11.529454270938434</v>
      </c>
      <c r="D39" s="86">
        <f t="shared" si="2"/>
        <v>20.222656842675633</v>
      </c>
      <c r="E39" s="87">
        <f t="shared" si="2"/>
        <v>17.354615032276111</v>
      </c>
      <c r="F39" s="85">
        <f t="shared" si="2"/>
        <v>14.437086233216757</v>
      </c>
      <c r="G39" s="86">
        <f t="shared" si="2"/>
        <v>16.339881064758032</v>
      </c>
      <c r="H39" s="86">
        <f t="shared" si="2"/>
        <v>-4.0596346718688832</v>
      </c>
      <c r="I39" s="87">
        <f t="shared" si="2"/>
        <v>-1.6993127412756492</v>
      </c>
    </row>
    <row r="40" spans="1:13">
      <c r="A40" s="28" t="s">
        <v>69</v>
      </c>
      <c r="B40" s="37">
        <f>IFERROR((POWER(B$35/B25,1/($A$35-$A$25))-1)*100,"na")</f>
        <v>-12.929848553638667</v>
      </c>
      <c r="C40" s="86">
        <f t="shared" ref="C40:I40" si="3">IFERROR((POWER(C$35/C25,1/($A$35-$A$25))-1)*100,"na")</f>
        <v>-17.467809571141167</v>
      </c>
      <c r="D40" s="86">
        <f t="shared" si="3"/>
        <v>-7.3811225973759109</v>
      </c>
      <c r="E40" s="87">
        <f t="shared" si="3"/>
        <v>-9.6356060336735041</v>
      </c>
      <c r="F40" s="85">
        <f t="shared" si="3"/>
        <v>-6.188175723791578</v>
      </c>
      <c r="G40" s="86">
        <f t="shared" si="3"/>
        <v>-12.636366091959028</v>
      </c>
      <c r="H40" s="86">
        <f t="shared" si="3"/>
        <v>-4.066331336375006</v>
      </c>
      <c r="I40" s="87">
        <f t="shared" si="3"/>
        <v>-7.0078534434060309</v>
      </c>
    </row>
    <row r="41" spans="1:13">
      <c r="A41" s="29" t="s">
        <v>70</v>
      </c>
      <c r="B41" s="39" t="str">
        <f>IFERROR((POWER(B35/B5,1/($A$32-#REF!))-1)*100, "na")</f>
        <v>na</v>
      </c>
      <c r="C41" s="89" t="str">
        <f>IFERROR((POWER(C35/C5,1/($A$32-#REF!))-1)*100, "na")</f>
        <v>na</v>
      </c>
      <c r="D41" s="89" t="str">
        <f>IFERROR((POWER(D35/D5,1/($A$32-#REF!))-1)*100, "na")</f>
        <v>na</v>
      </c>
      <c r="E41" s="90" t="str">
        <f>IFERROR((POWER(E35/E5,1/($A$32-#REF!))-1)*100, "na")</f>
        <v>na</v>
      </c>
      <c r="F41" s="88" t="str">
        <f>IFERROR((POWER(F35/F5,1/($A$32-#REF!))-1)*100, "na")</f>
        <v>na</v>
      </c>
      <c r="G41" s="89" t="str">
        <f>IFERROR((POWER(G35/G5,1/($A$32-#REF!))-1)*100, "na")</f>
        <v>na</v>
      </c>
      <c r="H41" s="89" t="str">
        <f>IFERROR((POWER(H35/H5,1/($A$32-#REF!))-1)*100, "na")</f>
        <v>na</v>
      </c>
      <c r="I41" s="90" t="str">
        <f>IFERROR((POWER(I35/I5,1/($A$32-#REF!))-1)*100, "na")</f>
        <v>na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</row>
    <row r="43" spans="1:13">
      <c r="A43" s="1" t="s">
        <v>231</v>
      </c>
    </row>
  </sheetData>
  <mergeCells count="5">
    <mergeCell ref="A1:F2"/>
    <mergeCell ref="B4:E4"/>
    <mergeCell ref="F4:I4"/>
    <mergeCell ref="A37:I37"/>
    <mergeCell ref="J4:M4"/>
  </mergeCells>
  <pageMargins left="0.7" right="0.7" top="0.75" bottom="0.75" header="0.3" footer="0.3"/>
  <pageSetup scale="71" orientation="landscape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80"/>
  <dimension ref="A1:M42"/>
  <sheetViews>
    <sheetView zoomScaleNormal="100" workbookViewId="0">
      <selection activeCell="A50" sqref="A50"/>
    </sheetView>
  </sheetViews>
  <sheetFormatPr defaultRowHeight="15"/>
  <cols>
    <col min="1" max="1" width="9.85546875" style="1" customWidth="1"/>
    <col min="2" max="2" width="11.28515625" style="1" customWidth="1"/>
    <col min="3" max="3" width="11.42578125" style="1" customWidth="1"/>
    <col min="4" max="5" width="18.42578125" style="1" customWidth="1"/>
    <col min="6" max="6" width="11.85546875" style="1" customWidth="1"/>
    <col min="7" max="7" width="9.140625" style="1"/>
    <col min="8" max="9" width="19.28515625" style="1" customWidth="1"/>
    <col min="10" max="10" width="11.7109375" style="1" customWidth="1"/>
    <col min="11" max="11" width="9.140625" style="1"/>
    <col min="12" max="12" width="20" style="1" customWidth="1"/>
    <col min="13" max="16384" width="9.140625" style="1"/>
  </cols>
  <sheetData>
    <row r="1" spans="1:13">
      <c r="A1" s="2" t="s">
        <v>110</v>
      </c>
    </row>
    <row r="3" spans="1:13">
      <c r="B3" s="378" t="s">
        <v>3</v>
      </c>
      <c r="C3" s="379"/>
      <c r="D3" s="379"/>
      <c r="E3" s="380"/>
      <c r="F3" s="378" t="s">
        <v>4</v>
      </c>
      <c r="G3" s="379"/>
      <c r="H3" s="379"/>
      <c r="I3" s="380"/>
      <c r="J3" s="378" t="s">
        <v>38</v>
      </c>
      <c r="K3" s="379"/>
      <c r="L3" s="379"/>
      <c r="M3" s="380"/>
    </row>
    <row r="4" spans="1:13" ht="30">
      <c r="B4" s="59" t="s">
        <v>0</v>
      </c>
      <c r="C4" s="60" t="s">
        <v>1</v>
      </c>
      <c r="D4" s="60" t="s">
        <v>2</v>
      </c>
      <c r="E4" s="51" t="s">
        <v>88</v>
      </c>
      <c r="F4" s="59" t="s">
        <v>0</v>
      </c>
      <c r="G4" s="60" t="s">
        <v>1</v>
      </c>
      <c r="H4" s="60" t="s">
        <v>2</v>
      </c>
      <c r="I4" s="51" t="s">
        <v>88</v>
      </c>
      <c r="J4" s="59" t="s">
        <v>39</v>
      </c>
      <c r="K4" s="60" t="s">
        <v>41</v>
      </c>
      <c r="L4" s="60" t="s">
        <v>40</v>
      </c>
      <c r="M4" s="51" t="s">
        <v>88</v>
      </c>
    </row>
    <row r="5" spans="1:13">
      <c r="A5" s="15">
        <v>1981</v>
      </c>
      <c r="B5" s="67">
        <f>'5a'!B6/'7a'!B6</f>
        <v>0.48749999999999999</v>
      </c>
      <c r="C5" s="105">
        <f>'5a'!C6/'7a'!C6</f>
        <v>0.42124542124542125</v>
      </c>
      <c r="D5" s="105">
        <f>'5a'!D6/'7a'!D6</f>
        <v>9.7122302158273388E-2</v>
      </c>
      <c r="E5" s="109">
        <f>'5a'!E6/'7a'!E6</f>
        <v>0.26753975678203928</v>
      </c>
      <c r="F5" s="67">
        <f>'5a'!E6/'7a'!E6</f>
        <v>0.26753975678203928</v>
      </c>
      <c r="G5" s="105">
        <f>'5a'!F6/'7a'!F6</f>
        <v>0.42857142857142855</v>
      </c>
      <c r="H5" s="105">
        <f>'5a'!G6/'7a'!G6</f>
        <v>0.26666666666666666</v>
      </c>
      <c r="I5" s="109">
        <f>'5a'!I6/'7a'!I6</f>
        <v>0.26459854014598538</v>
      </c>
      <c r="J5" s="67">
        <f>'5a'!H6/'7a'!H6</f>
        <v>0.25560975609756098</v>
      </c>
      <c r="K5" s="105">
        <f>'5a'!I6/'7a'!I6</f>
        <v>0.26459854014598538</v>
      </c>
      <c r="L5" s="105">
        <f>'5a'!J6/'7a'!J6</f>
        <v>0.52293577981651373</v>
      </c>
      <c r="M5" s="109">
        <f>'5a'!M6/'7a'!M6</f>
        <v>0.29264475743348983</v>
      </c>
    </row>
    <row r="6" spans="1:13">
      <c r="A6" s="16">
        <v>1982</v>
      </c>
      <c r="B6" s="106">
        <f>'5a'!B7/'7a'!B7</f>
        <v>4.1666666666666664E-2</v>
      </c>
      <c r="C6" s="104">
        <f>'5a'!C7/'7a'!C7</f>
        <v>9.5959595959595953E-2</v>
      </c>
      <c r="D6" s="104">
        <f>'5a'!D7/'7a'!D7</f>
        <v>9.8418277680140595E-2</v>
      </c>
      <c r="E6" s="110">
        <f>'5a'!E7/'7a'!E7</f>
        <v>8.7700534759358295E-2</v>
      </c>
      <c r="F6" s="106">
        <f>'5a'!E7/'7a'!E7</f>
        <v>8.7700534759358295E-2</v>
      </c>
      <c r="G6" s="104">
        <f>'5a'!F7/'7a'!F7</f>
        <v>0.13333333333333333</v>
      </c>
      <c r="H6" s="104">
        <f>'5a'!G7/'7a'!G7</f>
        <v>0.27272727272727271</v>
      </c>
      <c r="I6" s="110">
        <f>'5a'!I7/'7a'!I7</f>
        <v>0.19706840390879479</v>
      </c>
      <c r="J6" s="106">
        <f>'5a'!H7/'7a'!H7</f>
        <v>0.19880546075085323</v>
      </c>
      <c r="K6" s="104">
        <f>'5a'!I7/'7a'!I7</f>
        <v>0.19706840390879479</v>
      </c>
      <c r="L6" s="104">
        <f>'5a'!J7/'7a'!J7</f>
        <v>0.4921875</v>
      </c>
      <c r="M6" s="110">
        <f>'5a'!M7/'7a'!M7</f>
        <v>0.28244972577696525</v>
      </c>
    </row>
    <row r="7" spans="1:13">
      <c r="A7" s="16">
        <v>1983</v>
      </c>
      <c r="B7" s="106">
        <f>'5a'!B8/'7a'!B8</f>
        <v>0.22222222222222221</v>
      </c>
      <c r="C7" s="104">
        <f>'5a'!C8/'7a'!C8</f>
        <v>0.19230769230769232</v>
      </c>
      <c r="D7" s="104">
        <f>'5a'!D8/'7a'!D8</f>
        <v>0.24260355029585798</v>
      </c>
      <c r="E7" s="110">
        <f>'5a'!E8/'7a'!E8</f>
        <v>0.23182297154899895</v>
      </c>
      <c r="F7" s="106">
        <f>'5a'!E8/'7a'!E8</f>
        <v>0.23182297154899895</v>
      </c>
      <c r="G7" s="104">
        <f>'5a'!F8/'7a'!F8</f>
        <v>0.14285714285714285</v>
      </c>
      <c r="H7" s="104">
        <f>'5a'!G8/'7a'!G8</f>
        <v>0.1111111111111111</v>
      </c>
      <c r="I7" s="110">
        <f>'5a'!I8/'7a'!I8</f>
        <v>0.15728604471858135</v>
      </c>
      <c r="J7" s="106">
        <f>'5a'!H8/'7a'!H8</f>
        <v>0.15793650793650793</v>
      </c>
      <c r="K7" s="104">
        <f>'5a'!I8/'7a'!I8</f>
        <v>0.15728604471858135</v>
      </c>
      <c r="L7" s="104">
        <f>'5a'!J8/'7a'!J8</f>
        <v>0.55581395348837215</v>
      </c>
      <c r="M7" s="110">
        <f>'5a'!M8/'7a'!M8</f>
        <v>0.28842975206611571</v>
      </c>
    </row>
    <row r="8" spans="1:13">
      <c r="A8" s="16">
        <v>1984</v>
      </c>
      <c r="B8" s="106">
        <f>'5a'!B9/'7a'!B9</f>
        <v>0.57377049180327866</v>
      </c>
      <c r="C8" s="104">
        <f>'5a'!C9/'7a'!C9</f>
        <v>0.39610389610389612</v>
      </c>
      <c r="D8" s="104">
        <f>'5a'!D9/'7a'!D9</f>
        <v>0.4254302103250478</v>
      </c>
      <c r="E8" s="110">
        <f>'5a'!E9/'7a'!E9</f>
        <v>0.43570347957639938</v>
      </c>
      <c r="F8" s="106">
        <f>'5a'!E9/'7a'!E9</f>
        <v>0.43570347957639938</v>
      </c>
      <c r="G8" s="104">
        <f>'5a'!F9/'7a'!F9</f>
        <v>0.23529411764705882</v>
      </c>
      <c r="H8" s="104">
        <f>'5a'!G9/'7a'!G9</f>
        <v>0.14285714285714285</v>
      </c>
      <c r="I8" s="110">
        <f>'5a'!I9/'7a'!I9</f>
        <v>0.2165991902834008</v>
      </c>
      <c r="J8" s="106">
        <f>'5a'!H9/'7a'!H9</f>
        <v>0.2167352537722908</v>
      </c>
      <c r="K8" s="104">
        <f>'5a'!I9/'7a'!I9</f>
        <v>0.2165991902834008</v>
      </c>
      <c r="L8" s="104">
        <f>'5a'!J9/'7a'!J9</f>
        <v>0.5862708719851577</v>
      </c>
      <c r="M8" s="110">
        <f>'5a'!M9/'7a'!M9</f>
        <v>0.31013342949873784</v>
      </c>
    </row>
    <row r="9" spans="1:13">
      <c r="A9" s="16">
        <v>1985</v>
      </c>
      <c r="B9" s="106">
        <f>'5a'!B10/'7a'!B10</f>
        <v>0.58940397350993379</v>
      </c>
      <c r="C9" s="104">
        <f>'5a'!C10/'7a'!C10</f>
        <v>0.49704142011834318</v>
      </c>
      <c r="D9" s="104">
        <f>'5a'!D10/'7a'!D10</f>
        <v>0.34079422382671481</v>
      </c>
      <c r="E9" s="110">
        <f>'5a'!E10/'7a'!E10</f>
        <v>0.3782991202346041</v>
      </c>
      <c r="F9" s="106">
        <f>'5a'!E10/'7a'!E10</f>
        <v>0.3782991202346041</v>
      </c>
      <c r="G9" s="104">
        <f>'5a'!F10/'7a'!F10</f>
        <v>0.42857142857142855</v>
      </c>
      <c r="H9" s="104">
        <f>'5a'!G10/'7a'!G10</f>
        <v>0.33333333333333331</v>
      </c>
      <c r="I9" s="110">
        <f>'5a'!I10/'7a'!I10</f>
        <v>0.20548780487804877</v>
      </c>
      <c r="J9" s="106">
        <f>'5a'!H10/'7a'!H10</f>
        <v>0.20308641975308642</v>
      </c>
      <c r="K9" s="104">
        <f>'5a'!I10/'7a'!I10</f>
        <v>0.20548780487804877</v>
      </c>
      <c r="L9" s="104">
        <f>'5a'!J10/'7a'!J10</f>
        <v>0.52821316614420066</v>
      </c>
      <c r="M9" s="110">
        <f>'5a'!M10/'7a'!M10</f>
        <v>0.30612244897959184</v>
      </c>
    </row>
    <row r="10" spans="1:13">
      <c r="A10" s="16">
        <v>1986</v>
      </c>
      <c r="B10" s="106">
        <f>'5a'!B11/'7a'!B11</f>
        <v>0.66834170854271358</v>
      </c>
      <c r="C10" s="104">
        <f>'5a'!C11/'7a'!C11</f>
        <v>0.59624413145539901</v>
      </c>
      <c r="D10" s="104">
        <f>'5a'!D11/'7a'!D11</f>
        <v>0.36720796228391828</v>
      </c>
      <c r="E10" s="110">
        <f>'5a'!E11/'7a'!E11</f>
        <v>0.4140456699698406</v>
      </c>
      <c r="F10" s="106">
        <f>'5a'!E11/'7a'!E11</f>
        <v>0.4140456699698406</v>
      </c>
      <c r="G10" s="104">
        <f>'5a'!F11/'7a'!F11</f>
        <v>0.45454545454545453</v>
      </c>
      <c r="H10" s="104">
        <f>'5a'!G11/'7a'!G11</f>
        <v>0.33333333333333331</v>
      </c>
      <c r="I10" s="110">
        <f>'5a'!I11/'7a'!I11</f>
        <v>0.14023668639053255</v>
      </c>
      <c r="J10" s="106">
        <f>'5a'!H11/'7a'!H11</f>
        <v>0.13747758517632994</v>
      </c>
      <c r="K10" s="104">
        <f>'5a'!I11/'7a'!I11</f>
        <v>0.14023668639053255</v>
      </c>
      <c r="L10" s="104">
        <f>'5a'!J11/'7a'!J11</f>
        <v>0.48973607038123168</v>
      </c>
      <c r="M10" s="110">
        <f>'5a'!M11/'7a'!M11</f>
        <v>0.29318589360430364</v>
      </c>
    </row>
    <row r="11" spans="1:13">
      <c r="A11" s="16">
        <v>1987</v>
      </c>
      <c r="B11" s="106">
        <f>'5a'!B12/'7a'!B12</f>
        <v>0.39593908629441626</v>
      </c>
      <c r="C11" s="104">
        <f>'5a'!C12/'7a'!C12</f>
        <v>0.38235294117647056</v>
      </c>
      <c r="D11" s="104">
        <f>'5a'!D12/'7a'!D12</f>
        <v>0.12378017462763226</v>
      </c>
      <c r="E11" s="110">
        <f>'5a'!E12/'7a'!E12</f>
        <v>0.1690800681431005</v>
      </c>
      <c r="F11" s="106">
        <f>'5a'!E12/'7a'!E12</f>
        <v>0.1690800681431005</v>
      </c>
      <c r="G11" s="104">
        <f>'5a'!F12/'7a'!F12</f>
        <v>0.5</v>
      </c>
      <c r="H11" s="104">
        <f>'5a'!G12/'7a'!G12</f>
        <v>0.5</v>
      </c>
      <c r="I11" s="110">
        <f>'5a'!I12/'7a'!I12</f>
        <v>0.12303206997084548</v>
      </c>
      <c r="J11" s="106">
        <f>'5a'!H12/'7a'!H12</f>
        <v>0.11948204826368453</v>
      </c>
      <c r="K11" s="104">
        <f>'5a'!I12/'7a'!I12</f>
        <v>0.12303206997084548</v>
      </c>
      <c r="L11" s="104">
        <f>'5a'!J12/'7a'!J12</f>
        <v>0.47105263157894739</v>
      </c>
      <c r="M11" s="110">
        <f>'5a'!M12/'7a'!M12</f>
        <v>0.28516588977241569</v>
      </c>
    </row>
    <row r="12" spans="1:13">
      <c r="A12" s="16">
        <v>1988</v>
      </c>
      <c r="B12" s="106">
        <f>'5a'!B13/'7a'!B13</f>
        <v>0.48878923766816146</v>
      </c>
      <c r="C12" s="104">
        <f>'5a'!C13/'7a'!C13</f>
        <v>0.5423728813559322</v>
      </c>
      <c r="D12" s="104">
        <f>'5a'!D13/'7a'!D13</f>
        <v>0.23433242506811988</v>
      </c>
      <c r="E12" s="110">
        <f>'5a'!E13/'7a'!E13</f>
        <v>0.2829763246899662</v>
      </c>
      <c r="F12" s="106">
        <f>'5a'!E13/'7a'!E13</f>
        <v>0.2829763246899662</v>
      </c>
      <c r="G12" s="104">
        <f>'5a'!F13/'7a'!F13</f>
        <v>0.78260869565217395</v>
      </c>
      <c r="H12" s="104">
        <f>'5a'!G13/'7a'!G13</f>
        <v>0.81818181818181823</v>
      </c>
      <c r="I12" s="110">
        <f>'5a'!I13/'7a'!I13</f>
        <v>0.20182992465016147</v>
      </c>
      <c r="J12" s="106">
        <f>'5a'!H13/'7a'!H13</f>
        <v>0.19078947368421054</v>
      </c>
      <c r="K12" s="104">
        <f>'5a'!I13/'7a'!I13</f>
        <v>0.20182992465016147</v>
      </c>
      <c r="L12" s="104">
        <f>'5a'!J13/'7a'!J13</f>
        <v>0.46060606060606063</v>
      </c>
      <c r="M12" s="110">
        <f>'5a'!M13/'7a'!M13</f>
        <v>0.29581419091373151</v>
      </c>
    </row>
    <row r="13" spans="1:13">
      <c r="A13" s="16">
        <v>1989</v>
      </c>
      <c r="B13" s="106">
        <f>'5a'!B14/'7a'!B14</f>
        <v>0.53100775193798455</v>
      </c>
      <c r="C13" s="104">
        <f>'5a'!C14/'7a'!C14</f>
        <v>0.61486486486486491</v>
      </c>
      <c r="D13" s="104">
        <f>'5a'!D14/'7a'!D14</f>
        <v>0.28316610925306579</v>
      </c>
      <c r="E13" s="110">
        <f>'5a'!E14/'7a'!E14</f>
        <v>0.33312788906009244</v>
      </c>
      <c r="F13" s="106">
        <f>'5a'!E14/'7a'!E14</f>
        <v>0.33312788906009244</v>
      </c>
      <c r="G13" s="104">
        <f>'5a'!F14/'7a'!F14</f>
        <v>0.78723404255319152</v>
      </c>
      <c r="H13" s="104">
        <f>'5a'!G14/'7a'!G14</f>
        <v>1</v>
      </c>
      <c r="I13" s="110">
        <f>'5a'!I14/'7a'!I14</f>
        <v>0.21108949416342412</v>
      </c>
      <c r="J13" s="106">
        <f>'5a'!H14/'7a'!H14</f>
        <v>0.18585858585858586</v>
      </c>
      <c r="K13" s="104">
        <f>'5a'!I14/'7a'!I14</f>
        <v>0.21108949416342412</v>
      </c>
      <c r="L13" s="104">
        <f>'5a'!J14/'7a'!J14</f>
        <v>0.48156424581005586</v>
      </c>
      <c r="M13" s="110">
        <f>'5a'!M14/'7a'!M14</f>
        <v>0.30337343713139897</v>
      </c>
    </row>
    <row r="14" spans="1:13">
      <c r="A14" s="16">
        <v>1990</v>
      </c>
      <c r="B14" s="106">
        <f>'5a'!B15/'7a'!B15</f>
        <v>0.50714285714285712</v>
      </c>
      <c r="C14" s="104">
        <f>'5a'!C15/'7a'!C15</f>
        <v>0.61323155216284986</v>
      </c>
      <c r="D14" s="104">
        <f>'5a'!D15/'7a'!D15</f>
        <v>0.28819762122598352</v>
      </c>
      <c r="E14" s="110">
        <f>'5a'!E15/'7a'!E15</f>
        <v>0.33603238866396762</v>
      </c>
      <c r="F14" s="106">
        <f>'5a'!E15/'7a'!E15</f>
        <v>0.33603238866396762</v>
      </c>
      <c r="G14" s="104">
        <f>'5a'!F15/'7a'!F15</f>
        <v>0.69444444444444442</v>
      </c>
      <c r="H14" s="104">
        <f>'5a'!G15/'7a'!G15</f>
        <v>0.85</v>
      </c>
      <c r="I14" s="110">
        <f>'5a'!I15/'7a'!I15</f>
        <v>0.15764482431149099</v>
      </c>
      <c r="J14" s="106">
        <f>'5a'!H15/'7a'!H15</f>
        <v>0.11702127659574468</v>
      </c>
      <c r="K14" s="104">
        <f>'5a'!I15/'7a'!I15</f>
        <v>0.15764482431149099</v>
      </c>
      <c r="L14" s="104">
        <f>'5a'!J15/'7a'!J15</f>
        <v>0.43714609286523215</v>
      </c>
      <c r="M14" s="110">
        <f>'5a'!M15/'7a'!M15</f>
        <v>0.29304192685102587</v>
      </c>
    </row>
    <row r="15" spans="1:13">
      <c r="A15" s="16">
        <v>1991</v>
      </c>
      <c r="B15" s="106">
        <f>'5a'!B16/'7a'!B16</f>
        <v>0.50179211469534046</v>
      </c>
      <c r="C15" s="104">
        <f>'5a'!C16/'7a'!C16</f>
        <v>0.61776859504132231</v>
      </c>
      <c r="D15" s="104">
        <f>'5a'!D16/'7a'!D16</f>
        <v>0.23673687016795522</v>
      </c>
      <c r="E15" s="110">
        <f>'5a'!E16/'7a'!E16</f>
        <v>0.29397430217102349</v>
      </c>
      <c r="F15" s="106">
        <f>'5a'!E16/'7a'!E16</f>
        <v>0.29397430217102349</v>
      </c>
      <c r="G15" s="104">
        <f>'5a'!F16/'7a'!F16</f>
        <v>0.651685393258427</v>
      </c>
      <c r="H15" s="104">
        <f>'5a'!G16/'7a'!G16</f>
        <v>0.80645161290322576</v>
      </c>
      <c r="I15" s="110">
        <f>'5a'!I16/'7a'!I16</f>
        <v>0.14285714285714285</v>
      </c>
      <c r="J15" s="106">
        <f>'5a'!H16/'7a'!H16</f>
        <v>8.6865515436944013E-2</v>
      </c>
      <c r="K15" s="104">
        <f>'5a'!I16/'7a'!I16</f>
        <v>0.14285714285714285</v>
      </c>
      <c r="L15" s="104">
        <f>'5a'!J16/'7a'!J16</f>
        <v>0.44774346793349168</v>
      </c>
      <c r="M15" s="110">
        <f>'5a'!M16/'7a'!M16</f>
        <v>0.29128934885726604</v>
      </c>
    </row>
    <row r="16" spans="1:13">
      <c r="A16" s="16">
        <v>1992</v>
      </c>
      <c r="B16" s="106">
        <f>'5a'!B17/'7a'!B17</f>
        <v>0.57947019867549665</v>
      </c>
      <c r="C16" s="104">
        <f>'5a'!C17/'7a'!C17</f>
        <v>0.58591065292096223</v>
      </c>
      <c r="D16" s="104">
        <f>'5a'!D17/'7a'!D17</f>
        <v>0.43178141290670502</v>
      </c>
      <c r="E16" s="110">
        <f>'5a'!E17/'7a'!E17</f>
        <v>0.45261361873739725</v>
      </c>
      <c r="F16" s="106">
        <f>'5a'!E17/'7a'!E17</f>
        <v>0.45261361873739725</v>
      </c>
      <c r="G16" s="104">
        <f>'5a'!F17/'7a'!F17</f>
        <v>0.75</v>
      </c>
      <c r="H16" s="104">
        <f>'5a'!G17/'7a'!G17</f>
        <v>0.73571428571428577</v>
      </c>
      <c r="I16" s="110">
        <f>'5a'!I17/'7a'!I17</f>
        <v>0.14780487804878048</v>
      </c>
      <c r="J16" s="106">
        <f>'5a'!H17/'7a'!H17</f>
        <v>5.9910414333706606E-2</v>
      </c>
      <c r="K16" s="104">
        <f>'5a'!I17/'7a'!I17</f>
        <v>0.14780487804878048</v>
      </c>
      <c r="L16" s="104">
        <f>'5a'!J17/'7a'!J17</f>
        <v>0.52215568862275452</v>
      </c>
      <c r="M16" s="110">
        <f>'5a'!M17/'7a'!M17</f>
        <v>0.30611398963730568</v>
      </c>
    </row>
    <row r="17" spans="1:13">
      <c r="A17" s="16">
        <v>1993</v>
      </c>
      <c r="B17" s="106">
        <f>'5a'!B18/'7a'!B18</f>
        <v>0.6151685393258427</v>
      </c>
      <c r="C17" s="104">
        <f>'5a'!C18/'7a'!C18</f>
        <v>0.60893098782138022</v>
      </c>
      <c r="D17" s="104">
        <f>'5a'!D18/'7a'!D18</f>
        <v>0.31587982832618028</v>
      </c>
      <c r="E17" s="110">
        <f>'5a'!E18/'7a'!E18</f>
        <v>0.35584415584415585</v>
      </c>
      <c r="F17" s="106">
        <f>'5a'!E18/'7a'!E18</f>
        <v>0.35584415584415585</v>
      </c>
      <c r="G17" s="104">
        <f>'5a'!F18/'7a'!F18</f>
        <v>0.89473684210526316</v>
      </c>
      <c r="H17" s="104">
        <f>'5a'!G18/'7a'!G18</f>
        <v>0.94269340974212035</v>
      </c>
      <c r="I17" s="110">
        <f>'5a'!I18/'7a'!I18</f>
        <v>0.32381352372952543</v>
      </c>
      <c r="J17" s="106">
        <f>'5a'!H18/'7a'!H18</f>
        <v>0.12380952380952381</v>
      </c>
      <c r="K17" s="104">
        <f>'5a'!I18/'7a'!I18</f>
        <v>0.32381352372952543</v>
      </c>
      <c r="L17" s="104">
        <f>'5a'!J18/'7a'!J18</f>
        <v>0.55040556199304747</v>
      </c>
      <c r="M17" s="110">
        <f>'5a'!M18/'7a'!M18</f>
        <v>0.31513842528961322</v>
      </c>
    </row>
    <row r="18" spans="1:13">
      <c r="A18" s="16">
        <v>1994</v>
      </c>
      <c r="B18" s="106">
        <f>'5a'!B19/'7a'!B19</f>
        <v>0.65068493150684936</v>
      </c>
      <c r="C18" s="104">
        <f>'5a'!C19/'7a'!C19</f>
        <v>0.64198782961460443</v>
      </c>
      <c r="D18" s="104">
        <f>'5a'!D19/'7a'!D19</f>
        <v>0.3462706716166048</v>
      </c>
      <c r="E18" s="110">
        <f>'5a'!E19/'7a'!E19</f>
        <v>0.38747212256375446</v>
      </c>
      <c r="F18" s="106">
        <f>'5a'!E19/'7a'!E19</f>
        <v>0.38747212256375446</v>
      </c>
      <c r="G18" s="104">
        <f>'5a'!F19/'7a'!F19</f>
        <v>0.76944444444444449</v>
      </c>
      <c r="H18" s="104">
        <f>'5a'!G19/'7a'!G19</f>
        <v>0.75791433891992555</v>
      </c>
      <c r="I18" s="110">
        <f>'5a'!I19/'7a'!I19</f>
        <v>0.35477872815172928</v>
      </c>
      <c r="J18" s="106">
        <f>'5a'!H19/'7a'!H19</f>
        <v>0.15066964285714285</v>
      </c>
      <c r="K18" s="104">
        <f>'5a'!I19/'7a'!I19</f>
        <v>0.35477872815172928</v>
      </c>
      <c r="L18" s="104">
        <f>'5a'!J19/'7a'!J19</f>
        <v>0.56970362239297478</v>
      </c>
      <c r="M18" s="110">
        <f>'5a'!M19/'7a'!M19</f>
        <v>0.33084112149532713</v>
      </c>
    </row>
    <row r="19" spans="1:13">
      <c r="A19" s="16">
        <v>1995</v>
      </c>
      <c r="B19" s="106">
        <f>'5a'!B20/'7a'!B20</f>
        <v>0.85333333333333339</v>
      </c>
      <c r="C19" s="104">
        <f>'5a'!C20/'7a'!C20</f>
        <v>0.71655629139072852</v>
      </c>
      <c r="D19" s="104">
        <f>'5a'!D20/'7a'!D20</f>
        <v>0.4558261521168977</v>
      </c>
      <c r="E19" s="110">
        <f>'5a'!E20/'7a'!E20</f>
        <v>0.49845460399227304</v>
      </c>
      <c r="F19" s="106">
        <f>'5a'!E20/'7a'!E20</f>
        <v>0.49845460399227304</v>
      </c>
      <c r="G19" s="104">
        <f>'5a'!F20/'7a'!F20</f>
        <v>0.74940898345153661</v>
      </c>
      <c r="H19" s="104">
        <f>'5a'!G20/'7a'!G20</f>
        <v>0.57860615883306321</v>
      </c>
      <c r="I19" s="110">
        <f>'5a'!I20/'7a'!I20</f>
        <v>0.32754957507082155</v>
      </c>
      <c r="J19" s="106">
        <f>'5a'!H20/'7a'!H20</f>
        <v>0.14069506726457398</v>
      </c>
      <c r="K19" s="104">
        <f>'5a'!I20/'7a'!I20</f>
        <v>0.32754957507082155</v>
      </c>
      <c r="L19" s="104">
        <f>'5a'!J20/'7a'!J20</f>
        <v>0.66228513650151666</v>
      </c>
      <c r="M19" s="110">
        <f>'5a'!M20/'7a'!M20</f>
        <v>0.35600629480678442</v>
      </c>
    </row>
    <row r="20" spans="1:13">
      <c r="A20" s="16">
        <v>1996</v>
      </c>
      <c r="B20" s="106">
        <f>'5a'!B21/'7a'!B21</f>
        <v>0.80998914223669927</v>
      </c>
      <c r="C20" s="104">
        <f>'5a'!C21/'7a'!C21</f>
        <v>0.69006685768863418</v>
      </c>
      <c r="D20" s="104">
        <f>'5a'!D21/'7a'!D21</f>
        <v>0.40380682711971055</v>
      </c>
      <c r="E20" s="110">
        <f>'5a'!E21/'7a'!E21</f>
        <v>0.44788553835008604</v>
      </c>
      <c r="F20" s="106">
        <f>'5a'!E21/'7a'!E21</f>
        <v>0.44788553835008604</v>
      </c>
      <c r="G20" s="104">
        <f>'5a'!F21/'7a'!F21</f>
        <v>0.69444444444444442</v>
      </c>
      <c r="H20" s="104">
        <f>'5a'!G21/'7a'!G21</f>
        <v>0.5478395061728395</v>
      </c>
      <c r="I20" s="110">
        <f>'5a'!I21/'7a'!I21</f>
        <v>0.31215469613259667</v>
      </c>
      <c r="J20" s="106">
        <f>'5a'!H21/'7a'!H21</f>
        <v>0.13711453744493393</v>
      </c>
      <c r="K20" s="104">
        <f>'5a'!I21/'7a'!I21</f>
        <v>0.31215469613259667</v>
      </c>
      <c r="L20" s="104">
        <f>'5a'!J21/'7a'!J21</f>
        <v>0.67699530516431927</v>
      </c>
      <c r="M20" s="110">
        <f>'5a'!M21/'7a'!M21</f>
        <v>0.36732068189128336</v>
      </c>
    </row>
    <row r="21" spans="1:13">
      <c r="A21" s="16">
        <v>1997</v>
      </c>
      <c r="B21" s="106">
        <f>'5a'!B22/'7a'!B22</f>
        <v>0.83161004431314622</v>
      </c>
      <c r="C21" s="104">
        <f>'5a'!C22/'7a'!C22</f>
        <v>0.72076215505913277</v>
      </c>
      <c r="D21" s="104">
        <f>'5a'!D22/'7a'!D22</f>
        <v>0.39368429219847151</v>
      </c>
      <c r="E21" s="110">
        <f>'5a'!E22/'7a'!E22</f>
        <v>0.44632974316487156</v>
      </c>
      <c r="F21" s="106">
        <f>'5a'!E22/'7a'!E22</f>
        <v>0.44632974316487156</v>
      </c>
      <c r="G21" s="104">
        <f>'5a'!F22/'7a'!F22</f>
        <v>0.64320388349514568</v>
      </c>
      <c r="H21" s="104">
        <f>'5a'!G22/'7a'!G22</f>
        <v>0.52344931921331317</v>
      </c>
      <c r="I21" s="110">
        <f>'5a'!I22/'7a'!I22</f>
        <v>0.28879462707670556</v>
      </c>
      <c r="J21" s="106">
        <f>'5a'!H22/'7a'!H22</f>
        <v>0.11731207289293849</v>
      </c>
      <c r="K21" s="104">
        <f>'5a'!I22/'7a'!I22</f>
        <v>0.28879462707670556</v>
      </c>
      <c r="L21" s="104">
        <f>'5a'!J22/'7a'!J22</f>
        <v>0.68877551020408168</v>
      </c>
      <c r="M21" s="110">
        <f>'5a'!M22/'7a'!M22</f>
        <v>0.39334895985936125</v>
      </c>
    </row>
    <row r="22" spans="1:13">
      <c r="A22" s="16">
        <v>1998</v>
      </c>
      <c r="B22" s="106">
        <f>'5a'!B23/'7a'!B23</f>
        <v>0.71842783505154639</v>
      </c>
      <c r="C22" s="104">
        <f>'5a'!C23/'7a'!C23</f>
        <v>0.57838745800671898</v>
      </c>
      <c r="D22" s="104">
        <f>'5a'!D23/'7a'!D23</f>
        <v>0.30530560554555758</v>
      </c>
      <c r="E22" s="110">
        <f>'5a'!E23/'7a'!E23</f>
        <v>0.35132365499573015</v>
      </c>
      <c r="F22" s="106">
        <f>'5a'!E23/'7a'!E23</f>
        <v>0.35132365499573015</v>
      </c>
      <c r="G22" s="104">
        <f>'5a'!F23/'7a'!F23</f>
        <v>0.74477958236658937</v>
      </c>
      <c r="H22" s="104">
        <f>'5a'!G23/'7a'!G23</f>
        <v>0.58176943699731909</v>
      </c>
      <c r="I22" s="110">
        <f>'5a'!I23/'7a'!I23</f>
        <v>0.34987851440472056</v>
      </c>
      <c r="J22" s="106">
        <f>'5a'!H23/'7a'!H23</f>
        <v>0.14847417840375587</v>
      </c>
      <c r="K22" s="104">
        <f>'5a'!I23/'7a'!I23</f>
        <v>0.34987851440472056</v>
      </c>
      <c r="L22" s="104">
        <f>'5a'!J23/'7a'!J23</f>
        <v>0.69126984126984126</v>
      </c>
      <c r="M22" s="110">
        <f>'5a'!M23/'7a'!M23</f>
        <v>0.40490963042891825</v>
      </c>
    </row>
    <row r="23" spans="1:13">
      <c r="A23" s="16">
        <v>1999</v>
      </c>
      <c r="B23" s="106">
        <f>'5a'!B24/'7a'!B24</f>
        <v>0.48391332895600786</v>
      </c>
      <c r="C23" s="104">
        <f>'5a'!C24/'7a'!C24</f>
        <v>0.43584748121347061</v>
      </c>
      <c r="D23" s="104">
        <f>'5a'!D24/'7a'!D24</f>
        <v>0.19730999420812151</v>
      </c>
      <c r="E23" s="110">
        <f>'5a'!E24/'7a'!E24</f>
        <v>0.23304967674200144</v>
      </c>
      <c r="F23" s="106">
        <f>'5a'!E24/'7a'!E24</f>
        <v>0.23304967674200144</v>
      </c>
      <c r="G23" s="104">
        <f>'5a'!F24/'7a'!F24</f>
        <v>0.60917030567685593</v>
      </c>
      <c r="H23" s="104">
        <f>'5a'!G24/'7a'!G24</f>
        <v>0.56568047337278105</v>
      </c>
      <c r="I23" s="110">
        <f>'5a'!I24/'7a'!I24</f>
        <v>0.34322881921280851</v>
      </c>
      <c r="J23" s="106">
        <f>'5a'!H24/'7a'!H24</f>
        <v>0.16047197640117994</v>
      </c>
      <c r="K23" s="104">
        <f>'5a'!I24/'7a'!I24</f>
        <v>0.34322881921280851</v>
      </c>
      <c r="L23" s="104">
        <f>'5a'!J24/'7a'!J24</f>
        <v>0.64280936454849502</v>
      </c>
      <c r="M23" s="110">
        <f>'5a'!M24/'7a'!M24</f>
        <v>0.41673570836785417</v>
      </c>
    </row>
    <row r="24" spans="1:13">
      <c r="A24" s="16">
        <v>2000</v>
      </c>
      <c r="B24" s="106">
        <f>'5a'!B25/'7a'!B25</f>
        <v>0.5590504451038576</v>
      </c>
      <c r="C24" s="104">
        <f>'5a'!C25/'7a'!C25</f>
        <v>0.5373241116145957</v>
      </c>
      <c r="D24" s="104">
        <f>'5a'!D25/'7a'!D25</f>
        <v>0.24787829801974481</v>
      </c>
      <c r="E24" s="110">
        <f>'5a'!E25/'7a'!E25</f>
        <v>0.29076999012833171</v>
      </c>
      <c r="F24" s="106">
        <f>'5a'!E25/'7a'!E25</f>
        <v>0.29076999012833171</v>
      </c>
      <c r="G24" s="104">
        <f>'5a'!F25/'7a'!F25</f>
        <v>0.36799999999999999</v>
      </c>
      <c r="H24" s="104">
        <f>'5a'!G25/'7a'!G25</f>
        <v>0.32914923291492332</v>
      </c>
      <c r="I24" s="110">
        <f>'5a'!I25/'7a'!I25</f>
        <v>0.19770029673590506</v>
      </c>
      <c r="J24" s="106">
        <f>'5a'!H25/'7a'!H25</f>
        <v>9.9127182044887782E-2</v>
      </c>
      <c r="K24" s="104">
        <f>'5a'!I25/'7a'!I25</f>
        <v>0.19770029673590506</v>
      </c>
      <c r="L24" s="104">
        <f>'5a'!J25/'7a'!J25</f>
        <v>0.59578207381370829</v>
      </c>
      <c r="M24" s="110">
        <f>'5a'!M25/'7a'!M25</f>
        <v>0.42038805050816136</v>
      </c>
    </row>
    <row r="25" spans="1:13">
      <c r="A25" s="16">
        <v>2001</v>
      </c>
      <c r="B25" s="106">
        <f>'5a'!B26/'7a'!B26</f>
        <v>0.45549057829759582</v>
      </c>
      <c r="C25" s="104">
        <f>'5a'!C26/'7a'!C26</f>
        <v>0.46639943409573215</v>
      </c>
      <c r="D25" s="104">
        <f>'5a'!D26/'7a'!D26</f>
        <v>0.20059593778190865</v>
      </c>
      <c r="E25" s="110">
        <f>'5a'!E26/'7a'!E26</f>
        <v>0.23646750548853898</v>
      </c>
      <c r="F25" s="106">
        <f>'5a'!E26/'7a'!E26</f>
        <v>0.23646750548853898</v>
      </c>
      <c r="G25" s="104">
        <f>'5a'!F26/'7a'!F26</f>
        <v>0.28076923076923077</v>
      </c>
      <c r="H25" s="104">
        <f>'5a'!G26/'7a'!G26</f>
        <v>0.24629629629629629</v>
      </c>
      <c r="I25" s="110">
        <f>'5a'!I26/'7a'!I26</f>
        <v>0.14123305640577175</v>
      </c>
      <c r="J25" s="106">
        <f>'5a'!H26/'7a'!H26</f>
        <v>7.868190988567586E-2</v>
      </c>
      <c r="K25" s="104">
        <f>'5a'!I26/'7a'!I26</f>
        <v>0.14123305640577175</v>
      </c>
      <c r="L25" s="104">
        <f>'5a'!J26/'7a'!J26</f>
        <v>0.52319902319902323</v>
      </c>
      <c r="M25" s="110">
        <f>'5a'!M26/'7a'!M26</f>
        <v>0.37191613846903948</v>
      </c>
    </row>
    <row r="26" spans="1:13">
      <c r="A26" s="16">
        <v>2002</v>
      </c>
      <c r="B26" s="106">
        <f>'5a'!B27/'7a'!B27</f>
        <v>0.15448658649398705</v>
      </c>
      <c r="C26" s="104">
        <f>'5a'!C27/'7a'!C27</f>
        <v>0.11758691206543967</v>
      </c>
      <c r="D26" s="104">
        <f>'5a'!D27/'7a'!D27</f>
        <v>3.7395485590027873E-2</v>
      </c>
      <c r="E26" s="110">
        <f>'5a'!E27/'7a'!E27</f>
        <v>4.7264495718103969E-2</v>
      </c>
      <c r="F26" s="106">
        <f>'5a'!E27/'7a'!E27</f>
        <v>4.7264495718103969E-2</v>
      </c>
      <c r="G26" s="104">
        <f>'5a'!F27/'7a'!F27</f>
        <v>0.25654450261780104</v>
      </c>
      <c r="H26" s="104">
        <f>'5a'!G27/'7a'!G27</f>
        <v>0.23558897243107768</v>
      </c>
      <c r="I26" s="110">
        <f>'5a'!I27/'7a'!I27</f>
        <v>0.12911392405063291</v>
      </c>
      <c r="J26" s="106">
        <f>'5a'!H27/'7a'!H27</f>
        <v>8.0866425992779781E-2</v>
      </c>
      <c r="K26" s="104">
        <f>'5a'!I27/'7a'!I27</f>
        <v>0.12911392405063291</v>
      </c>
      <c r="L26" s="104">
        <f>'5a'!J27/'7a'!J27</f>
        <v>0.47957920792079206</v>
      </c>
      <c r="M26" s="110">
        <f>'5a'!M27/'7a'!M27</f>
        <v>0.33029459744746187</v>
      </c>
    </row>
    <row r="27" spans="1:13">
      <c r="A27" s="16">
        <v>2003</v>
      </c>
      <c r="B27" s="106">
        <f>'5a'!B28/'7a'!B28</f>
        <v>0.17958656330749354</v>
      </c>
      <c r="C27" s="104">
        <f>'5a'!C28/'7a'!C28</f>
        <v>0.145933014354067</v>
      </c>
      <c r="D27" s="104">
        <f>'5a'!D28/'7a'!D28</f>
        <v>3.9212232243517477E-2</v>
      </c>
      <c r="E27" s="110">
        <f>'5a'!E28/'7a'!E28</f>
        <v>4.9827188940092165E-2</v>
      </c>
      <c r="F27" s="106">
        <f>'5a'!E28/'7a'!E28</f>
        <v>4.9827188940092165E-2</v>
      </c>
      <c r="G27" s="104">
        <f>'5a'!F28/'7a'!F28</f>
        <v>0.35625000000000001</v>
      </c>
      <c r="H27" s="104">
        <f>'5a'!G28/'7a'!G28</f>
        <v>0.35202492211838005</v>
      </c>
      <c r="I27" s="110">
        <f>'5a'!I28/'7a'!I28</f>
        <v>0.17280453257790368</v>
      </c>
      <c r="J27" s="106">
        <f>'5a'!H28/'7a'!H28</f>
        <v>0.10514018691588785</v>
      </c>
      <c r="K27" s="104">
        <f>'5a'!I28/'7a'!I28</f>
        <v>0.17280453257790368</v>
      </c>
      <c r="L27" s="104">
        <f>'5a'!J28/'7a'!J28</f>
        <v>0.46571957998764668</v>
      </c>
      <c r="M27" s="110">
        <f>'5a'!M28/'7a'!M28</f>
        <v>0.33339718417776076</v>
      </c>
    </row>
    <row r="28" spans="1:13">
      <c r="A28" s="16">
        <v>2004</v>
      </c>
      <c r="B28" s="106">
        <f>'5a'!B29/'7a'!B29</f>
        <v>0.21869488536155202</v>
      </c>
      <c r="C28" s="104">
        <f>'5a'!C29/'7a'!C29</f>
        <v>0.18777848504137493</v>
      </c>
      <c r="D28" s="104">
        <f>'5a'!D29/'7a'!D29</f>
        <v>3.8569010980361286E-2</v>
      </c>
      <c r="E28" s="110">
        <f>'5a'!E29/'7a'!E29</f>
        <v>5.0785929502305149E-2</v>
      </c>
      <c r="F28" s="106">
        <f>'5a'!E29/'7a'!E29</f>
        <v>5.0785929502305149E-2</v>
      </c>
      <c r="G28" s="104">
        <f>'5a'!F29/'7a'!F29</f>
        <v>0.38848920863309355</v>
      </c>
      <c r="H28" s="104">
        <f>'5a'!G29/'7a'!G29</f>
        <v>0.41666666666666669</v>
      </c>
      <c r="I28" s="110">
        <f>'5a'!I29/'7a'!I29</f>
        <v>0.1798780487804878</v>
      </c>
      <c r="J28" s="106">
        <f>'5a'!H29/'7a'!H29</f>
        <v>0.10285714285714286</v>
      </c>
      <c r="K28" s="104">
        <f>'5a'!I29/'7a'!I29</f>
        <v>0.1798780487804878</v>
      </c>
      <c r="L28" s="104">
        <f>'5a'!J29/'7a'!J29</f>
        <v>0.47997535428219346</v>
      </c>
      <c r="M28" s="110">
        <f>'5a'!M29/'7a'!M29</f>
        <v>0.34161779763566974</v>
      </c>
    </row>
    <row r="29" spans="1:13">
      <c r="A29" s="16">
        <v>2005</v>
      </c>
      <c r="B29" s="106">
        <f>'5a'!B30/'7a'!B30</f>
        <v>0.23728813559322035</v>
      </c>
      <c r="C29" s="104">
        <f>'5a'!C30/'7a'!C30</f>
        <v>0.21134868421052633</v>
      </c>
      <c r="D29" s="104">
        <f>'5a'!D30/'7a'!D30</f>
        <v>3.4169156814343252E-2</v>
      </c>
      <c r="E29" s="110">
        <f>'5a'!E30/'7a'!E30</f>
        <v>4.6278317152103558E-2</v>
      </c>
      <c r="F29" s="106">
        <f>'5a'!E30/'7a'!E30</f>
        <v>4.6278317152103558E-2</v>
      </c>
      <c r="G29" s="104">
        <f>'5a'!F30/'7a'!F30</f>
        <v>0.4344262295081967</v>
      </c>
      <c r="H29" s="104">
        <f>'5a'!G30/'7a'!G30</f>
        <v>0.4743083003952569</v>
      </c>
      <c r="I29" s="110">
        <f>'5a'!I30/'7a'!I30</f>
        <v>0.18825781748564135</v>
      </c>
      <c r="J29" s="106">
        <f>'5a'!H30/'7a'!H30</f>
        <v>0.10234899328859061</v>
      </c>
      <c r="K29" s="104">
        <f>'5a'!I30/'7a'!I30</f>
        <v>0.18825781748564135</v>
      </c>
      <c r="L29" s="104">
        <f>'5a'!J30/'7a'!J30</f>
        <v>0.48696757787666878</v>
      </c>
      <c r="M29" s="110">
        <f>'5a'!M30/'7a'!M30</f>
        <v>0.33983988486102368</v>
      </c>
    </row>
    <row r="30" spans="1:13">
      <c r="A30" s="16">
        <v>2006</v>
      </c>
      <c r="B30" s="106">
        <f>'5a'!B31/'7a'!B31</f>
        <v>0.29754601226993865</v>
      </c>
      <c r="C30" s="104">
        <f>'5a'!C31/'7a'!C31</f>
        <v>0.24821246169560776</v>
      </c>
      <c r="D30" s="104">
        <f>'5a'!D31/'7a'!D31</f>
        <v>3.269903265361733E-2</v>
      </c>
      <c r="E30" s="110">
        <f>'5a'!E31/'7a'!E31</f>
        <v>4.5446750128622877E-2</v>
      </c>
      <c r="F30" s="106">
        <f>'5a'!E31/'7a'!E31</f>
        <v>4.5446750128622877E-2</v>
      </c>
      <c r="G30" s="104">
        <f>'5a'!F31/'7a'!F31</f>
        <v>0.54918032786885251</v>
      </c>
      <c r="H30" s="104">
        <f>'5a'!G31/'7a'!G31</f>
        <v>0.54400000000000004</v>
      </c>
      <c r="I30" s="110">
        <f>'5a'!I31/'7a'!I31</f>
        <v>0.21144278606965175</v>
      </c>
      <c r="J30" s="106">
        <f>'5a'!H31/'7a'!H31</f>
        <v>0.11084142394822007</v>
      </c>
      <c r="K30" s="104">
        <f>'5a'!I31/'7a'!I31</f>
        <v>0.21144278606965175</v>
      </c>
      <c r="L30" s="104">
        <f>'5a'!J31/'7a'!J31</f>
        <v>0.51053283767038415</v>
      </c>
      <c r="M30" s="110">
        <f>'5a'!M31/'7a'!M31</f>
        <v>0.33746026434666221</v>
      </c>
    </row>
    <row r="31" spans="1:13">
      <c r="A31" s="16">
        <v>2007</v>
      </c>
      <c r="B31" s="106">
        <f>'5a'!B32/'7a'!B32</f>
        <v>0.49696969696969695</v>
      </c>
      <c r="C31" s="104">
        <f>'5a'!C32/'7a'!C32</f>
        <v>0.43400211193241817</v>
      </c>
      <c r="D31" s="104">
        <f>'5a'!D32/'7a'!D32</f>
        <v>6.8508404475316823E-2</v>
      </c>
      <c r="E31" s="110">
        <f>'5a'!E32/'7a'!E32</f>
        <v>9.2719507350019867E-2</v>
      </c>
      <c r="F31" s="106">
        <f>'5a'!E32/'7a'!E32</f>
        <v>9.2719507350019867E-2</v>
      </c>
      <c r="G31" s="104">
        <f>'5a'!F32/'7a'!F32</f>
        <v>0.62328767123287676</v>
      </c>
      <c r="H31" s="104">
        <f>'5a'!G32/'7a'!G32</f>
        <v>0.66077738515901063</v>
      </c>
      <c r="I31" s="110">
        <f>'5a'!I32/'7a'!I32</f>
        <v>0.29800498753117205</v>
      </c>
      <c r="J31" s="106">
        <f>'5a'!H32/'7a'!H32</f>
        <v>0.1702127659574468</v>
      </c>
      <c r="K31" s="104">
        <f>'5a'!I32/'7a'!I32</f>
        <v>0.29800498753117205</v>
      </c>
      <c r="L31" s="104">
        <f>'5a'!J32/'7a'!J32</f>
        <v>0.5078125</v>
      </c>
      <c r="M31" s="110">
        <f>'5a'!M32/'7a'!M32</f>
        <v>0.35563847429519069</v>
      </c>
    </row>
    <row r="32" spans="1:13">
      <c r="A32" s="16">
        <v>2008</v>
      </c>
      <c r="B32" s="106">
        <f>'5a'!B33/'7a'!B33</f>
        <v>0.49421965317919075</v>
      </c>
      <c r="C32" s="104">
        <f>'5a'!C33/'7a'!C33</f>
        <v>0.46838156484458737</v>
      </c>
      <c r="D32" s="104">
        <f>'5a'!D33/'7a'!D33</f>
        <v>6.8272862538628826E-2</v>
      </c>
      <c r="E32" s="110">
        <f>'5a'!E33/'7a'!E33</f>
        <v>9.6037967258571957E-2</v>
      </c>
      <c r="F32" s="106">
        <f>'5a'!E33/'7a'!E33</f>
        <v>9.6037967258571957E-2</v>
      </c>
      <c r="G32" s="104">
        <f>'5a'!F33/'7a'!F33</f>
        <v>0.61016949152542377</v>
      </c>
      <c r="H32" s="104">
        <f>'5a'!G33/'7a'!G33</f>
        <v>0.68224299065420557</v>
      </c>
      <c r="I32" s="110">
        <f>'5a'!I33/'7a'!I33</f>
        <v>0.31092928112215079</v>
      </c>
      <c r="J32" s="106">
        <f>'5a'!H33/'7a'!H33</f>
        <v>0.16900247320692499</v>
      </c>
      <c r="K32" s="104">
        <f>'5a'!I33/'7a'!I33</f>
        <v>0.31092928112215079</v>
      </c>
      <c r="L32" s="104">
        <f>'5a'!J33/'7a'!J33</f>
        <v>0.48613569321533923</v>
      </c>
      <c r="M32" s="110">
        <f>'5a'!M33/'7a'!M33</f>
        <v>0.34351695934568199</v>
      </c>
    </row>
    <row r="33" spans="1:13">
      <c r="A33" s="16">
        <v>2009</v>
      </c>
      <c r="B33" s="106">
        <f>'5a'!B34/'7a'!B34</f>
        <v>0.40729483282674772</v>
      </c>
      <c r="C33" s="104">
        <f>'5a'!C34/'7a'!C34</f>
        <v>0.42638398115429915</v>
      </c>
      <c r="D33" s="104">
        <f>'5a'!D34/'7a'!D34</f>
        <v>5.7380723663144409E-2</v>
      </c>
      <c r="E33" s="110">
        <f>'5a'!E34/'7a'!E34</f>
        <v>8.2891681057583516E-2</v>
      </c>
      <c r="F33" s="106">
        <f>'5a'!E34/'7a'!E34</f>
        <v>8.2891681057583516E-2</v>
      </c>
      <c r="G33" s="104">
        <f>'5a'!F34/'7a'!F34</f>
        <v>0.46927374301675978</v>
      </c>
      <c r="H33" s="104">
        <f>'5a'!G34/'7a'!G34</f>
        <v>0.57425742574257421</v>
      </c>
      <c r="I33" s="110">
        <f>'5a'!I34/'7a'!I34</f>
        <v>0.24727272727272728</v>
      </c>
      <c r="J33" s="106">
        <f>'5a'!H34/'7a'!H34</f>
        <v>0.12842465753424659</v>
      </c>
      <c r="K33" s="104">
        <f>'5a'!I34/'7a'!I34</f>
        <v>0.24727272727272728</v>
      </c>
      <c r="L33" s="104">
        <f>'5a'!J34/'7a'!J34</f>
        <v>0.44263285024154592</v>
      </c>
      <c r="M33" s="110">
        <f>'5a'!M34/'7a'!M34</f>
        <v>0.3260413303196642</v>
      </c>
    </row>
    <row r="34" spans="1:13">
      <c r="A34" s="17">
        <v>2010</v>
      </c>
      <c r="B34" s="107">
        <f>'5a'!B35/'7a'!B35</f>
        <v>0.47277936962750716</v>
      </c>
      <c r="C34" s="108">
        <f>'5a'!C35/'7a'!C35</f>
        <v>0.4606741573033708</v>
      </c>
      <c r="D34" s="108">
        <f>'5a'!D35/'7a'!D35</f>
        <v>7.2833758822646047E-2</v>
      </c>
      <c r="E34" s="111">
        <f>'5a'!E35/'7a'!E35</f>
        <v>0.10395355266795687</v>
      </c>
      <c r="F34" s="107">
        <f>'5a'!E35/'7a'!E35</f>
        <v>0.10395355266795687</v>
      </c>
      <c r="G34" s="108">
        <f>'5a'!F35/'7a'!F35</f>
        <v>0.51243781094527363</v>
      </c>
      <c r="H34" s="108">
        <f>'5a'!G35/'7a'!G35</f>
        <v>0.59595959595959591</v>
      </c>
      <c r="I34" s="111">
        <f>'5a'!I35/'7a'!I35</f>
        <v>0.28081321473951715</v>
      </c>
      <c r="J34" s="107">
        <f>'5a'!H35/'7a'!H35</f>
        <v>0.15055762081784388</v>
      </c>
      <c r="K34" s="108">
        <f>'5a'!I35/'7a'!I35</f>
        <v>0.28081321473951715</v>
      </c>
      <c r="L34" s="108">
        <f>'5a'!J35/'7a'!J35</f>
        <v>0.50359712230215825</v>
      </c>
      <c r="M34" s="111">
        <f>'5a'!M35/'7a'!M35</f>
        <v>0.35287881259174686</v>
      </c>
    </row>
    <row r="36" spans="1:13">
      <c r="A36" s="389" t="s">
        <v>77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0"/>
    </row>
    <row r="37" spans="1:13">
      <c r="A37" s="28" t="s">
        <v>53</v>
      </c>
      <c r="B37" s="106">
        <f>B14-B5</f>
        <v>1.9642857142857129E-2</v>
      </c>
      <c r="C37" s="104">
        <f t="shared" ref="C37:L37" si="0">C14-C5</f>
        <v>0.19198613091742861</v>
      </c>
      <c r="D37" s="104">
        <f t="shared" si="0"/>
        <v>0.19107531906771014</v>
      </c>
      <c r="E37" s="110">
        <f t="shared" ref="E37" si="1">E14-E5</f>
        <v>6.8492631881928334E-2</v>
      </c>
      <c r="F37" s="67">
        <f t="shared" si="0"/>
        <v>6.8492631881928334E-2</v>
      </c>
      <c r="G37" s="105">
        <f t="shared" si="0"/>
        <v>0.26587301587301587</v>
      </c>
      <c r="H37" s="105">
        <f t="shared" si="0"/>
        <v>0.58333333333333326</v>
      </c>
      <c r="I37" s="109">
        <f t="shared" ref="I37" si="2">I14-I5</f>
        <v>-0.1069537158344944</v>
      </c>
      <c r="J37" s="67">
        <f t="shared" si="0"/>
        <v>-0.1385884795018163</v>
      </c>
      <c r="K37" s="105">
        <f t="shared" si="0"/>
        <v>-0.1069537158344944</v>
      </c>
      <c r="L37" s="105">
        <f t="shared" si="0"/>
        <v>-8.5789686951281585E-2</v>
      </c>
      <c r="M37" s="109">
        <f t="shared" ref="M37" si="3">M14-M5</f>
        <v>3.971694175360363E-4</v>
      </c>
    </row>
    <row r="38" spans="1:13">
      <c r="A38" s="28" t="s">
        <v>71</v>
      </c>
      <c r="B38" s="106">
        <f>B24-B14</f>
        <v>5.1907587961000479E-2</v>
      </c>
      <c r="C38" s="104">
        <f t="shared" ref="C38:L38" si="4">C24-C14</f>
        <v>-7.5907440548254157E-2</v>
      </c>
      <c r="D38" s="104">
        <f t="shared" si="4"/>
        <v>-4.0319323206238711E-2</v>
      </c>
      <c r="E38" s="110">
        <f t="shared" ref="E38" si="5">E24-E14</f>
        <v>-4.5262398535635906E-2</v>
      </c>
      <c r="F38" s="106">
        <f t="shared" si="4"/>
        <v>-4.5262398535635906E-2</v>
      </c>
      <c r="G38" s="104">
        <f>G24-G14</f>
        <v>-0.32644444444444443</v>
      </c>
      <c r="H38" s="104">
        <f t="shared" si="4"/>
        <v>-0.5208507670850766</v>
      </c>
      <c r="I38" s="110">
        <f t="shared" ref="I38" si="6">I24-I14</f>
        <v>4.0055472424414068E-2</v>
      </c>
      <c r="J38" s="106">
        <f t="shared" si="4"/>
        <v>-1.7894094550856901E-2</v>
      </c>
      <c r="K38" s="104">
        <f t="shared" si="4"/>
        <v>4.0055472424414068E-2</v>
      </c>
      <c r="L38" s="104">
        <f t="shared" si="4"/>
        <v>0.15863598094847614</v>
      </c>
      <c r="M38" s="110">
        <f t="shared" ref="M38" si="7">M24-M14</f>
        <v>0.12734612365713549</v>
      </c>
    </row>
    <row r="39" spans="1:13">
      <c r="A39" s="28" t="s">
        <v>69</v>
      </c>
      <c r="B39" s="106">
        <f>B34-B24</f>
        <v>-8.6271075476350434E-2</v>
      </c>
      <c r="C39" s="104">
        <f t="shared" ref="C39:L39" si="8">C34-C24</f>
        <v>-7.6649954311224899E-2</v>
      </c>
      <c r="D39" s="104">
        <f t="shared" si="8"/>
        <v>-0.17504453919709878</v>
      </c>
      <c r="E39" s="110">
        <f t="shared" ref="E39" si="9">E34-E24</f>
        <v>-0.18681643746037485</v>
      </c>
      <c r="F39" s="106">
        <f t="shared" si="8"/>
        <v>-0.18681643746037485</v>
      </c>
      <c r="G39" s="104">
        <f t="shared" si="8"/>
        <v>0.14443781094527364</v>
      </c>
      <c r="H39" s="104">
        <f t="shared" si="8"/>
        <v>0.26681036304467259</v>
      </c>
      <c r="I39" s="110">
        <f t="shared" ref="I39" si="10">I34-I24</f>
        <v>8.3112918003612091E-2</v>
      </c>
      <c r="J39" s="106">
        <f t="shared" si="8"/>
        <v>5.1430438772956097E-2</v>
      </c>
      <c r="K39" s="104">
        <f t="shared" si="8"/>
        <v>8.3112918003612091E-2</v>
      </c>
      <c r="L39" s="104">
        <f t="shared" si="8"/>
        <v>-9.218495151155004E-2</v>
      </c>
      <c r="M39" s="110">
        <f t="shared" ref="M39" si="11">M34-M24</f>
        <v>-6.75092379164145E-2</v>
      </c>
    </row>
    <row r="40" spans="1:13">
      <c r="A40" s="29" t="s">
        <v>70</v>
      </c>
      <c r="B40" s="107">
        <f>B34-B5</f>
        <v>-1.4720630372492827E-2</v>
      </c>
      <c r="C40" s="108">
        <f t="shared" ref="C40:L40" si="12">C34-C5</f>
        <v>3.9428736057949554E-2</v>
      </c>
      <c r="D40" s="108">
        <f t="shared" si="12"/>
        <v>-2.4288543335627341E-2</v>
      </c>
      <c r="E40" s="111">
        <f t="shared" ref="E40" si="13">E34-E5</f>
        <v>-0.16358620411408242</v>
      </c>
      <c r="F40" s="107">
        <f t="shared" si="12"/>
        <v>-0.16358620411408242</v>
      </c>
      <c r="G40" s="108">
        <f t="shared" si="12"/>
        <v>8.3866382373845083E-2</v>
      </c>
      <c r="H40" s="108">
        <f t="shared" si="12"/>
        <v>0.32929292929292925</v>
      </c>
      <c r="I40" s="111">
        <f t="shared" ref="I40" si="14">I34-I5</f>
        <v>1.6214674593531764E-2</v>
      </c>
      <c r="J40" s="107">
        <f t="shared" si="12"/>
        <v>-0.1050521352797171</v>
      </c>
      <c r="K40" s="108">
        <f t="shared" si="12"/>
        <v>1.6214674593531764E-2</v>
      </c>
      <c r="L40" s="108">
        <f t="shared" si="12"/>
        <v>-1.9338657514355484E-2</v>
      </c>
      <c r="M40" s="111">
        <f t="shared" ref="M40" si="15">M34-M5</f>
        <v>6.0234055158257027E-2</v>
      </c>
    </row>
    <row r="42" spans="1:13" ht="21.75" customHeight="1">
      <c r="A42" s="204" t="s">
        <v>232</v>
      </c>
    </row>
  </sheetData>
  <mergeCells count="4">
    <mergeCell ref="J3:M3"/>
    <mergeCell ref="F3:I3"/>
    <mergeCell ref="B3:E3"/>
    <mergeCell ref="A36:M36"/>
  </mergeCells>
  <pageMargins left="0.7" right="0.7" top="0.75" bottom="0.75" header="0.3" footer="0.3"/>
  <pageSetup scale="68" orientation="landscape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81"/>
  <dimension ref="A1:G43"/>
  <sheetViews>
    <sheetView zoomScaleNormal="100" workbookViewId="0">
      <selection sqref="A1:E1"/>
    </sheetView>
  </sheetViews>
  <sheetFormatPr defaultRowHeight="15"/>
  <cols>
    <col min="1" max="1" width="11.5703125" style="1" customWidth="1"/>
    <col min="2" max="2" width="13.5703125" style="1" customWidth="1"/>
    <col min="3" max="3" width="14.85546875" style="1" customWidth="1"/>
    <col min="4" max="4" width="11.5703125" style="1" customWidth="1"/>
    <col min="5" max="5" width="13.140625" style="1" customWidth="1"/>
    <col min="6" max="6" width="25.28515625" style="1" customWidth="1"/>
    <col min="7" max="7" width="13.140625" style="1" customWidth="1"/>
    <col min="8" max="16384" width="9.140625" style="1"/>
  </cols>
  <sheetData>
    <row r="1" spans="1:7" ht="45" customHeight="1">
      <c r="A1" s="387" t="s">
        <v>265</v>
      </c>
      <c r="B1" s="387"/>
      <c r="C1" s="387"/>
      <c r="D1" s="387"/>
      <c r="E1" s="387"/>
    </row>
    <row r="3" spans="1:7">
      <c r="E3" s="389" t="s">
        <v>76</v>
      </c>
      <c r="F3" s="391"/>
      <c r="G3" s="390"/>
    </row>
    <row r="4" spans="1:7" ht="30">
      <c r="A4" s="133" t="s">
        <v>47</v>
      </c>
      <c r="B4" s="134" t="s">
        <v>50</v>
      </c>
      <c r="C4" s="134" t="s">
        <v>51</v>
      </c>
      <c r="D4" s="245" t="s">
        <v>42</v>
      </c>
      <c r="E4" s="134" t="s">
        <v>50</v>
      </c>
      <c r="F4" s="134" t="s">
        <v>51</v>
      </c>
      <c r="G4" s="245" t="s">
        <v>42</v>
      </c>
    </row>
    <row r="5" spans="1:7">
      <c r="A5" s="130" t="s">
        <v>6</v>
      </c>
      <c r="B5" s="158">
        <v>54600</v>
      </c>
      <c r="C5" s="160">
        <v>204300</v>
      </c>
      <c r="D5" s="23">
        <v>7851600</v>
      </c>
      <c r="E5" s="236">
        <f>B5/$D5*100</f>
        <v>0.69539966376279994</v>
      </c>
      <c r="F5" s="214">
        <f t="shared" ref="F5:F34" si="0">C5/$D5*100</f>
        <v>2.6020174232003668</v>
      </c>
      <c r="G5" s="84">
        <f t="shared" ref="G5:G34" si="1">D5/$D5*100</f>
        <v>100</v>
      </c>
    </row>
    <row r="6" spans="1:7">
      <c r="A6" s="131" t="s">
        <v>7</v>
      </c>
      <c r="B6" s="161">
        <v>57600</v>
      </c>
      <c r="C6" s="163">
        <v>216800</v>
      </c>
      <c r="D6" s="24">
        <v>8281700.0000000009</v>
      </c>
      <c r="E6" s="216">
        <f t="shared" ref="E6:E34" si="2">B6/$D6*100</f>
        <v>0.6955093760942801</v>
      </c>
      <c r="F6" s="143">
        <f t="shared" si="0"/>
        <v>2.6178200127993043</v>
      </c>
      <c r="G6" s="87">
        <f t="shared" si="1"/>
        <v>100</v>
      </c>
    </row>
    <row r="7" spans="1:7">
      <c r="A7" s="131" t="s">
        <v>8</v>
      </c>
      <c r="B7" s="161">
        <v>60300</v>
      </c>
      <c r="C7" s="163">
        <v>224600</v>
      </c>
      <c r="D7" s="24">
        <v>8573300</v>
      </c>
      <c r="E7" s="216">
        <f t="shared" si="2"/>
        <v>0.70334643602813385</v>
      </c>
      <c r="F7" s="143">
        <f t="shared" si="0"/>
        <v>2.6197613521047902</v>
      </c>
      <c r="G7" s="87">
        <f t="shared" si="1"/>
        <v>100</v>
      </c>
    </row>
    <row r="8" spans="1:7">
      <c r="A8" s="131" t="s">
        <v>9</v>
      </c>
      <c r="B8" s="161">
        <v>62800</v>
      </c>
      <c r="C8" s="163">
        <v>229500</v>
      </c>
      <c r="D8" s="24">
        <v>9072500</v>
      </c>
      <c r="E8" s="216">
        <f t="shared" si="2"/>
        <v>0.69220170845963069</v>
      </c>
      <c r="F8" s="143">
        <f t="shared" si="0"/>
        <v>2.5296224855332046</v>
      </c>
      <c r="G8" s="87">
        <f t="shared" si="1"/>
        <v>100</v>
      </c>
    </row>
    <row r="9" spans="1:7">
      <c r="A9" s="131" t="s">
        <v>10</v>
      </c>
      <c r="B9" s="161">
        <v>65700</v>
      </c>
      <c r="C9" s="163">
        <v>226500</v>
      </c>
      <c r="D9" s="24">
        <v>9570400</v>
      </c>
      <c r="E9" s="216">
        <f t="shared" si="2"/>
        <v>0.68649168268828886</v>
      </c>
      <c r="F9" s="143">
        <f t="shared" si="0"/>
        <v>2.3666722394048314</v>
      </c>
      <c r="G9" s="87">
        <f t="shared" si="1"/>
        <v>100</v>
      </c>
    </row>
    <row r="10" spans="1:7">
      <c r="A10" s="131" t="s">
        <v>11</v>
      </c>
      <c r="B10" s="161">
        <v>68300</v>
      </c>
      <c r="C10" s="163">
        <v>220700</v>
      </c>
      <c r="D10" s="24">
        <v>10172900</v>
      </c>
      <c r="E10" s="216">
        <f t="shared" si="2"/>
        <v>0.67139163856913964</v>
      </c>
      <c r="F10" s="143">
        <f t="shared" si="0"/>
        <v>2.1694895260938374</v>
      </c>
      <c r="G10" s="87">
        <f t="shared" si="1"/>
        <v>100</v>
      </c>
    </row>
    <row r="11" spans="1:7">
      <c r="A11" s="131" t="s">
        <v>12</v>
      </c>
      <c r="B11" s="161">
        <v>69400</v>
      </c>
      <c r="C11" s="163">
        <v>227200</v>
      </c>
      <c r="D11" s="24">
        <v>10774800</v>
      </c>
      <c r="E11" s="216">
        <f t="shared" si="2"/>
        <v>0.64409548205071088</v>
      </c>
      <c r="F11" s="143">
        <f t="shared" si="0"/>
        <v>2.1086238259642869</v>
      </c>
      <c r="G11" s="87">
        <f t="shared" si="1"/>
        <v>100</v>
      </c>
    </row>
    <row r="12" spans="1:7">
      <c r="A12" s="131" t="s">
        <v>13</v>
      </c>
      <c r="B12" s="161">
        <v>73300</v>
      </c>
      <c r="C12" s="163">
        <v>229700</v>
      </c>
      <c r="D12" s="24">
        <v>11455300</v>
      </c>
      <c r="E12" s="216">
        <f t="shared" si="2"/>
        <v>0.63987848419508875</v>
      </c>
      <c r="F12" s="143">
        <f t="shared" si="0"/>
        <v>2.0051853727095752</v>
      </c>
      <c r="G12" s="87">
        <f t="shared" si="1"/>
        <v>100</v>
      </c>
    </row>
    <row r="13" spans="1:7">
      <c r="A13" s="131" t="s">
        <v>14</v>
      </c>
      <c r="B13" s="161">
        <v>77100</v>
      </c>
      <c r="C13" s="163">
        <v>235100</v>
      </c>
      <c r="D13" s="24">
        <v>12113900</v>
      </c>
      <c r="E13" s="216">
        <f t="shared" si="2"/>
        <v>0.63645894385788226</v>
      </c>
      <c r="F13" s="143">
        <f t="shared" si="0"/>
        <v>1.9407457548766291</v>
      </c>
      <c r="G13" s="87">
        <f t="shared" si="1"/>
        <v>100</v>
      </c>
    </row>
    <row r="14" spans="1:7">
      <c r="A14" s="131" t="s">
        <v>15</v>
      </c>
      <c r="B14" s="161">
        <v>81700</v>
      </c>
      <c r="C14" s="163">
        <v>236200</v>
      </c>
      <c r="D14" s="24">
        <v>12670500</v>
      </c>
      <c r="E14" s="216">
        <f t="shared" si="2"/>
        <v>0.6448048616865949</v>
      </c>
      <c r="F14" s="143">
        <f t="shared" si="0"/>
        <v>1.8641726845822975</v>
      </c>
      <c r="G14" s="87">
        <f t="shared" si="1"/>
        <v>100</v>
      </c>
    </row>
    <row r="15" spans="1:7">
      <c r="A15" s="131" t="s">
        <v>16</v>
      </c>
      <c r="B15" s="161">
        <v>86200</v>
      </c>
      <c r="C15" s="163">
        <v>235700</v>
      </c>
      <c r="D15" s="24">
        <v>12937200</v>
      </c>
      <c r="E15" s="216">
        <f t="shared" si="2"/>
        <v>0.66629564357047899</v>
      </c>
      <c r="F15" s="143">
        <f t="shared" si="0"/>
        <v>1.8218779952385369</v>
      </c>
      <c r="G15" s="87">
        <f t="shared" si="1"/>
        <v>100</v>
      </c>
    </row>
    <row r="16" spans="1:7">
      <c r="A16" s="131" t="s">
        <v>17</v>
      </c>
      <c r="B16" s="161">
        <v>95100</v>
      </c>
      <c r="C16" s="163">
        <v>239600</v>
      </c>
      <c r="D16" s="24">
        <v>13487900</v>
      </c>
      <c r="E16" s="216">
        <f t="shared" si="2"/>
        <v>0.70507640181199449</v>
      </c>
      <c r="F16" s="143">
        <f t="shared" si="0"/>
        <v>1.776407001831271</v>
      </c>
      <c r="G16" s="87">
        <f t="shared" si="1"/>
        <v>100</v>
      </c>
    </row>
    <row r="17" spans="1:7">
      <c r="A17" s="131" t="s">
        <v>18</v>
      </c>
      <c r="B17" s="161">
        <v>100900</v>
      </c>
      <c r="C17" s="163">
        <v>253300</v>
      </c>
      <c r="D17" s="24">
        <v>14204100</v>
      </c>
      <c r="E17" s="216">
        <f t="shared" si="2"/>
        <v>0.71035827683556163</v>
      </c>
      <c r="F17" s="143">
        <f t="shared" si="0"/>
        <v>1.783287923909294</v>
      </c>
      <c r="G17" s="87">
        <f t="shared" si="1"/>
        <v>100</v>
      </c>
    </row>
    <row r="18" spans="1:7">
      <c r="A18" s="131" t="s">
        <v>19</v>
      </c>
      <c r="B18" s="161">
        <v>105600</v>
      </c>
      <c r="C18" s="163">
        <v>256899.99999999997</v>
      </c>
      <c r="D18" s="24">
        <v>15080900</v>
      </c>
      <c r="E18" s="216">
        <f t="shared" si="2"/>
        <v>0.70022346146450154</v>
      </c>
      <c r="F18" s="143">
        <f t="shared" si="0"/>
        <v>1.7034792353241517</v>
      </c>
      <c r="G18" s="87">
        <f t="shared" si="1"/>
        <v>100</v>
      </c>
    </row>
    <row r="19" spans="1:7">
      <c r="A19" s="131" t="s">
        <v>20</v>
      </c>
      <c r="B19" s="161">
        <v>115400</v>
      </c>
      <c r="C19" s="163">
        <v>262600</v>
      </c>
      <c r="D19" s="24">
        <v>15810600</v>
      </c>
      <c r="E19" s="216">
        <f t="shared" si="2"/>
        <v>0.72989007374799186</v>
      </c>
      <c r="F19" s="143">
        <f t="shared" si="0"/>
        <v>1.6609110343693474</v>
      </c>
      <c r="G19" s="87">
        <f t="shared" si="1"/>
        <v>100</v>
      </c>
    </row>
    <row r="20" spans="1:7">
      <c r="A20" s="131" t="s">
        <v>21</v>
      </c>
      <c r="B20" s="161">
        <v>125900</v>
      </c>
      <c r="C20" s="163">
        <v>270100</v>
      </c>
      <c r="D20" s="24">
        <v>16624900.000000002</v>
      </c>
      <c r="E20" s="216">
        <f t="shared" si="2"/>
        <v>0.75729778825737293</v>
      </c>
      <c r="F20" s="143">
        <f t="shared" si="0"/>
        <v>1.6246714265950468</v>
      </c>
      <c r="G20" s="87">
        <f t="shared" si="1"/>
        <v>100</v>
      </c>
    </row>
    <row r="21" spans="1:7">
      <c r="A21" s="131" t="s">
        <v>22</v>
      </c>
      <c r="B21" s="161">
        <v>138300</v>
      </c>
      <c r="C21" s="163">
        <v>269900</v>
      </c>
      <c r="D21" s="24">
        <v>17542600</v>
      </c>
      <c r="E21" s="216">
        <f t="shared" si="2"/>
        <v>0.78836660472221909</v>
      </c>
      <c r="F21" s="143">
        <f t="shared" si="0"/>
        <v>1.5385404672055454</v>
      </c>
      <c r="G21" s="87">
        <f t="shared" si="1"/>
        <v>100</v>
      </c>
    </row>
    <row r="22" spans="1:7">
      <c r="A22" s="131" t="s">
        <v>23</v>
      </c>
      <c r="B22" s="161">
        <v>153100</v>
      </c>
      <c r="C22" s="163">
        <v>275500</v>
      </c>
      <c r="D22" s="24">
        <v>18618100</v>
      </c>
      <c r="E22" s="216">
        <f t="shared" si="2"/>
        <v>0.82231806682744224</v>
      </c>
      <c r="F22" s="143">
        <f t="shared" si="0"/>
        <v>1.4797428309011122</v>
      </c>
      <c r="G22" s="87">
        <f t="shared" si="1"/>
        <v>100</v>
      </c>
    </row>
    <row r="23" spans="1:7">
      <c r="A23" s="131" t="s">
        <v>24</v>
      </c>
      <c r="B23" s="161">
        <v>165700</v>
      </c>
      <c r="C23" s="163">
        <v>278500</v>
      </c>
      <c r="D23" s="24">
        <v>19857600</v>
      </c>
      <c r="E23" s="216">
        <f t="shared" si="2"/>
        <v>0.83444122149705902</v>
      </c>
      <c r="F23" s="143">
        <f t="shared" si="0"/>
        <v>1.4024856981709772</v>
      </c>
      <c r="G23" s="87">
        <f t="shared" si="1"/>
        <v>100</v>
      </c>
    </row>
    <row r="24" spans="1:7">
      <c r="A24" s="131" t="s">
        <v>25</v>
      </c>
      <c r="B24" s="161">
        <v>184300</v>
      </c>
      <c r="C24" s="163">
        <v>284100</v>
      </c>
      <c r="D24" s="24">
        <v>21230400</v>
      </c>
      <c r="E24" s="216">
        <f t="shared" si="2"/>
        <v>0.8680948074459266</v>
      </c>
      <c r="F24" s="143">
        <f t="shared" si="0"/>
        <v>1.3381754465295048</v>
      </c>
      <c r="G24" s="87">
        <f t="shared" si="1"/>
        <v>100</v>
      </c>
    </row>
    <row r="25" spans="1:7">
      <c r="A25" s="131" t="s">
        <v>26</v>
      </c>
      <c r="B25" s="161">
        <v>199400</v>
      </c>
      <c r="C25" s="163">
        <v>292800</v>
      </c>
      <c r="D25" s="24">
        <v>22575000</v>
      </c>
      <c r="E25" s="216">
        <f t="shared" si="2"/>
        <v>0.88327796234772982</v>
      </c>
      <c r="F25" s="143">
        <f t="shared" si="0"/>
        <v>1.2970099667774087</v>
      </c>
      <c r="G25" s="87">
        <f t="shared" si="1"/>
        <v>100</v>
      </c>
    </row>
    <row r="26" spans="1:7">
      <c r="A26" s="131" t="s">
        <v>27</v>
      </c>
      <c r="B26" s="161">
        <v>199400</v>
      </c>
      <c r="C26" s="163">
        <v>295800</v>
      </c>
      <c r="D26" s="24">
        <v>23739400</v>
      </c>
      <c r="E26" s="216">
        <f t="shared" si="2"/>
        <v>0.8399538320260832</v>
      </c>
      <c r="F26" s="143">
        <f t="shared" si="0"/>
        <v>1.2460298069875397</v>
      </c>
      <c r="G26" s="87">
        <f t="shared" si="1"/>
        <v>100</v>
      </c>
    </row>
    <row r="27" spans="1:7">
      <c r="A27" s="131" t="s">
        <v>28</v>
      </c>
      <c r="B27" s="161">
        <v>199400</v>
      </c>
      <c r="C27" s="163">
        <v>302500</v>
      </c>
      <c r="D27" s="24">
        <v>25170600</v>
      </c>
      <c r="E27" s="216">
        <f t="shared" si="2"/>
        <v>0.79219406768213707</v>
      </c>
      <c r="F27" s="143">
        <f t="shared" si="0"/>
        <v>1.2017989241416573</v>
      </c>
      <c r="G27" s="87">
        <f t="shared" si="1"/>
        <v>100</v>
      </c>
    </row>
    <row r="28" spans="1:7">
      <c r="A28" s="131" t="s">
        <v>29</v>
      </c>
      <c r="B28" s="161">
        <v>205600</v>
      </c>
      <c r="C28" s="163">
        <v>307500</v>
      </c>
      <c r="D28" s="24">
        <v>27735500</v>
      </c>
      <c r="E28" s="216">
        <f t="shared" si="2"/>
        <v>0.741288240702349</v>
      </c>
      <c r="F28" s="143">
        <f t="shared" si="0"/>
        <v>1.1086874222566747</v>
      </c>
      <c r="G28" s="87">
        <f t="shared" si="1"/>
        <v>100</v>
      </c>
    </row>
    <row r="29" spans="1:7">
      <c r="A29" s="131" t="s">
        <v>30</v>
      </c>
      <c r="B29" s="161">
        <v>208600</v>
      </c>
      <c r="C29" s="163">
        <v>315500</v>
      </c>
      <c r="D29" s="24">
        <v>30593200</v>
      </c>
      <c r="E29" s="216">
        <f t="shared" si="2"/>
        <v>0.68185086882052215</v>
      </c>
      <c r="F29" s="143">
        <f t="shared" si="0"/>
        <v>1.0312749238392844</v>
      </c>
      <c r="G29" s="87">
        <f t="shared" si="1"/>
        <v>100</v>
      </c>
    </row>
    <row r="30" spans="1:7">
      <c r="A30" s="131" t="s">
        <v>31</v>
      </c>
      <c r="B30" s="161">
        <v>211600</v>
      </c>
      <c r="C30" s="163">
        <v>325400</v>
      </c>
      <c r="D30" s="24">
        <v>32956600</v>
      </c>
      <c r="E30" s="216">
        <f t="shared" si="2"/>
        <v>0.64205652282092207</v>
      </c>
      <c r="F30" s="143">
        <f t="shared" si="0"/>
        <v>0.98735913292026489</v>
      </c>
      <c r="G30" s="87">
        <f t="shared" si="1"/>
        <v>100</v>
      </c>
    </row>
    <row r="31" spans="1:7">
      <c r="A31" s="131" t="s">
        <v>32</v>
      </c>
      <c r="B31" s="161">
        <v>215100</v>
      </c>
      <c r="C31" s="163">
        <v>336700</v>
      </c>
      <c r="D31" s="24">
        <v>34080800</v>
      </c>
      <c r="E31" s="216">
        <f t="shared" si="2"/>
        <v>0.63114715617004291</v>
      </c>
      <c r="F31" s="143">
        <f t="shared" si="0"/>
        <v>0.98794629234055542</v>
      </c>
      <c r="G31" s="87">
        <f t="shared" si="1"/>
        <v>100</v>
      </c>
    </row>
    <row r="32" spans="1:7">
      <c r="A32" s="131" t="s">
        <v>33</v>
      </c>
      <c r="B32" s="161">
        <v>225600</v>
      </c>
      <c r="C32" s="163">
        <v>350800</v>
      </c>
      <c r="D32" s="24">
        <v>34869300</v>
      </c>
      <c r="E32" s="216">
        <f t="shared" si="2"/>
        <v>0.64698746461787304</v>
      </c>
      <c r="F32" s="143">
        <f t="shared" si="0"/>
        <v>1.0060425646628983</v>
      </c>
      <c r="G32" s="87">
        <f t="shared" si="1"/>
        <v>100</v>
      </c>
    </row>
    <row r="33" spans="1:7">
      <c r="A33" s="131" t="s">
        <v>34</v>
      </c>
      <c r="B33" s="161">
        <v>215800</v>
      </c>
      <c r="C33" s="163">
        <v>354800</v>
      </c>
      <c r="D33" s="24">
        <v>33886900</v>
      </c>
      <c r="E33" s="216">
        <f t="shared" si="2"/>
        <v>0.63682425952211619</v>
      </c>
      <c r="F33" s="143">
        <f t="shared" si="0"/>
        <v>1.0470122672773254</v>
      </c>
      <c r="G33" s="87">
        <f t="shared" si="1"/>
        <v>100</v>
      </c>
    </row>
    <row r="34" spans="1:7">
      <c r="A34" s="132" t="s">
        <v>35</v>
      </c>
      <c r="B34" s="164">
        <v>214000</v>
      </c>
      <c r="C34" s="166">
        <v>362700</v>
      </c>
      <c r="D34" s="25">
        <v>34200800</v>
      </c>
      <c r="E34" s="234">
        <f t="shared" si="2"/>
        <v>0.62571635751210497</v>
      </c>
      <c r="F34" s="215">
        <f t="shared" si="0"/>
        <v>1.0605015087366376</v>
      </c>
      <c r="G34" s="90">
        <f t="shared" si="1"/>
        <v>100</v>
      </c>
    </row>
    <row r="35" spans="1:7">
      <c r="A35" s="129"/>
      <c r="B35" s="129"/>
      <c r="C35" s="129"/>
      <c r="D35" s="129"/>
    </row>
    <row r="36" spans="1:7">
      <c r="A36" s="389" t="s">
        <v>52</v>
      </c>
      <c r="B36" s="408"/>
      <c r="C36" s="408"/>
      <c r="D36" s="409"/>
      <c r="E36" s="389" t="s">
        <v>77</v>
      </c>
      <c r="F36" s="391"/>
      <c r="G36" s="390"/>
    </row>
    <row r="37" spans="1:7">
      <c r="A37" s="27" t="s">
        <v>53</v>
      </c>
      <c r="B37" s="82">
        <f>(POWER(B14/B5,1/($A$14-$A$5))-1)*100</f>
        <v>4.579777293269971</v>
      </c>
      <c r="C37" s="83">
        <f t="shared" ref="C37:D37" si="3">(POWER(C14/C5,1/($A$14-$A$5))-1)*100</f>
        <v>1.6251689801662916</v>
      </c>
      <c r="D37" s="83">
        <f t="shared" si="3"/>
        <v>5.4612326136514566</v>
      </c>
      <c r="E37" s="236">
        <f>E14-E5</f>
        <v>-5.0594802076205037E-2</v>
      </c>
      <c r="F37" s="214">
        <f>F14-F5</f>
        <v>-0.73784473861806932</v>
      </c>
      <c r="G37" s="205"/>
    </row>
    <row r="38" spans="1:7">
      <c r="A38" s="28" t="s">
        <v>71</v>
      </c>
      <c r="B38" s="37">
        <f>(POWER(B24/B14,1/($A$24-$A$14))-1)*100</f>
        <v>8.475167115049608</v>
      </c>
      <c r="C38" s="34">
        <f t="shared" ref="C38:D38" si="4">(POWER(C24/C14,1/($A$24-$A$14))-1)*100</f>
        <v>1.8636265903473781</v>
      </c>
      <c r="D38" s="34">
        <f t="shared" si="4"/>
        <v>5.2971077480693296</v>
      </c>
      <c r="E38" s="216">
        <f>E24-E14</f>
        <v>0.2232899457593317</v>
      </c>
      <c r="F38" s="143">
        <f>F24-F14</f>
        <v>-0.52599723805279264</v>
      </c>
      <c r="G38" s="206"/>
    </row>
    <row r="39" spans="1:7">
      <c r="A39" s="28" t="s">
        <v>69</v>
      </c>
      <c r="B39" s="37">
        <f>(POWER(B34/B24,1/($A$34-$A$24))-1)*100</f>
        <v>1.5053291477926445</v>
      </c>
      <c r="C39" s="34">
        <f t="shared" ref="C39:D39" si="5">(POWER(C34/C24,1/($A$34-$A$24))-1)*100</f>
        <v>2.4725708938147184</v>
      </c>
      <c r="D39" s="34">
        <f t="shared" si="5"/>
        <v>4.8836539164482273</v>
      </c>
      <c r="E39" s="216">
        <f>E34-E24</f>
        <v>-0.24237844993382163</v>
      </c>
      <c r="F39" s="143">
        <f>F34-F24</f>
        <v>-0.2776739377928672</v>
      </c>
      <c r="G39" s="206"/>
    </row>
    <row r="40" spans="1:7">
      <c r="A40" s="29" t="s">
        <v>70</v>
      </c>
      <c r="B40" s="39">
        <f>(POWER(B34/B5,1/($A$34-$A$5))-1)*100</f>
        <v>4.8228349425099903</v>
      </c>
      <c r="C40" s="40">
        <f t="shared" ref="C40:D40" si="6">(POWER(C34/C5,1/($A$34-$A$5))-1)*100</f>
        <v>1.9989812462378964</v>
      </c>
      <c r="D40" s="40">
        <f t="shared" si="6"/>
        <v>5.205192610701781</v>
      </c>
      <c r="E40" s="234">
        <f>E34-E5</f>
        <v>-6.9683306250694965E-2</v>
      </c>
      <c r="F40" s="215">
        <f>F34-F5</f>
        <v>-1.5415159144637292</v>
      </c>
      <c r="G40" s="210"/>
    </row>
    <row r="41" spans="1:7">
      <c r="A41" s="129"/>
      <c r="B41" s="129"/>
      <c r="C41" s="129"/>
      <c r="D41" s="129"/>
    </row>
    <row r="42" spans="1:7">
      <c r="A42" s="1" t="s">
        <v>43</v>
      </c>
      <c r="B42" s="129"/>
      <c r="C42" s="129"/>
      <c r="D42" s="129"/>
    </row>
    <row r="43" spans="1:7">
      <c r="A43" s="211" t="s">
        <v>73</v>
      </c>
      <c r="B43" s="129"/>
      <c r="C43" s="129"/>
      <c r="D43" s="129"/>
    </row>
  </sheetData>
  <mergeCells count="4">
    <mergeCell ref="A36:D36"/>
    <mergeCell ref="A1:E1"/>
    <mergeCell ref="E3:G3"/>
    <mergeCell ref="E36:G36"/>
  </mergeCells>
  <hyperlinks>
    <hyperlink ref="A43" r:id="rId1"/>
  </hyperlinks>
  <pageMargins left="0.7" right="0.7" top="0.75" bottom="0.75" header="0.3" footer="0.3"/>
  <pageSetup scale="88" orientation="portrait" horizontalDpi="0" verticalDpi="0" r:id="rId2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82"/>
  <dimension ref="A1:M43"/>
  <sheetViews>
    <sheetView view="pageBreakPreview" zoomScale="60" zoomScaleNormal="100" workbookViewId="0">
      <selection activeCell="A43" sqref="A43"/>
    </sheetView>
  </sheetViews>
  <sheetFormatPr defaultRowHeight="15"/>
  <cols>
    <col min="1" max="1" width="10.85546875" customWidth="1"/>
    <col min="2" max="2" width="12.42578125" customWidth="1"/>
    <col min="4" max="4" width="17.28515625" customWidth="1"/>
    <col min="6" max="6" width="10.42578125" customWidth="1"/>
    <col min="8" max="8" width="19.85546875" customWidth="1"/>
    <col min="10" max="10" width="10.85546875" customWidth="1"/>
    <col min="12" max="12" width="17.7109375" customWidth="1"/>
  </cols>
  <sheetData>
    <row r="1" spans="1:13">
      <c r="A1" s="398" t="s">
        <v>152</v>
      </c>
      <c r="B1" s="398"/>
      <c r="C1" s="398"/>
      <c r="D1" s="398"/>
      <c r="E1" s="398"/>
      <c r="F1" s="398"/>
      <c r="G1" s="398"/>
      <c r="H1" s="398"/>
      <c r="I1" s="1"/>
      <c r="J1" s="1"/>
      <c r="K1" s="1"/>
      <c r="L1" s="1"/>
      <c r="M1" s="1"/>
    </row>
    <row r="2" spans="1:13">
      <c r="A2" s="398"/>
      <c r="B2" s="398"/>
      <c r="C2" s="398"/>
      <c r="D2" s="398"/>
      <c r="E2" s="398"/>
      <c r="F2" s="398"/>
      <c r="G2" s="398"/>
      <c r="H2" s="398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IFERROR('7a'!B6/'5k'!$B6*1000,"na")</f>
        <v>na</v>
      </c>
      <c r="C6" s="214" t="str">
        <f>IFERROR('7a'!C6/'5k'!$B6*1000,"na")</f>
        <v>na</v>
      </c>
      <c r="D6" s="214" t="str">
        <f>IFERROR('7a'!D6/'5k'!$B6*1000,"na")</f>
        <v>na</v>
      </c>
      <c r="E6" s="237" t="str">
        <f>IFERROR('7a'!E6/'5k'!$B6*1000,"na")</f>
        <v>na</v>
      </c>
      <c r="F6" s="236" t="str">
        <f>IFERROR('7a'!F6/'5k'!$C6*1000,"na")</f>
        <v>na</v>
      </c>
      <c r="G6" s="214" t="str">
        <f>IFERROR('7a'!G6/'5k'!$C6*1000,"na")</f>
        <v>na</v>
      </c>
      <c r="H6" s="214" t="str">
        <f>IFERROR('7a'!H6/'5k'!$C6*1000,"na")</f>
        <v>na</v>
      </c>
      <c r="I6" s="237" t="str">
        <f>IFERROR('7a'!I6/'5k'!$C6*1000,"na")</f>
        <v>na</v>
      </c>
      <c r="J6" s="236" t="str">
        <f>IFERROR('7a'!J6/'5k'!$D6*1000,"na")</f>
        <v>na</v>
      </c>
      <c r="K6" s="214" t="str">
        <f>IFERROR('7a'!K6/'5k'!$D6*1000,"na")</f>
        <v>na</v>
      </c>
      <c r="L6" s="214" t="str">
        <f>IFERROR('7a'!L6/'5k'!$D6*1000,"na")</f>
        <v>na</v>
      </c>
      <c r="M6" s="237" t="str">
        <f>IFERROR('7a'!M6/'5k'!$D6*1000,"na")</f>
        <v>na</v>
      </c>
    </row>
    <row r="7" spans="1:13">
      <c r="A7" s="185">
        <v>1982</v>
      </c>
      <c r="B7" s="216" t="str">
        <f>IFERROR('7a'!B7/'5k'!$B7*1000,"na")</f>
        <v>na</v>
      </c>
      <c r="C7" s="143" t="str">
        <f>IFERROR('7a'!C7/'5k'!$B7*1000,"na")</f>
        <v>na</v>
      </c>
      <c r="D7" s="143" t="str">
        <f>IFERROR('7a'!D7/'5k'!$B7*1000,"na")</f>
        <v>na</v>
      </c>
      <c r="E7" s="217" t="str">
        <f>IFERROR('7a'!E7/'5k'!$B7*1000,"na")</f>
        <v>na</v>
      </c>
      <c r="F7" s="216" t="str">
        <f>IFERROR('7a'!F7/'5k'!$C7*1000,"na")</f>
        <v>na</v>
      </c>
      <c r="G7" s="143" t="str">
        <f>IFERROR('7a'!G7/'5k'!$C7*1000,"na")</f>
        <v>na</v>
      </c>
      <c r="H7" s="143" t="str">
        <f>IFERROR('7a'!H7/'5k'!$C7*1000,"na")</f>
        <v>na</v>
      </c>
      <c r="I7" s="217" t="str">
        <f>IFERROR('7a'!I7/'5k'!$C7*1000,"na")</f>
        <v>na</v>
      </c>
      <c r="J7" s="216" t="str">
        <f>IFERROR('7a'!J7/'5k'!$D7*1000,"na")</f>
        <v>na</v>
      </c>
      <c r="K7" s="143" t="str">
        <f>IFERROR('7a'!K7/'5k'!$D7*1000,"na")</f>
        <v>na</v>
      </c>
      <c r="L7" s="143" t="str">
        <f>IFERROR('7a'!L7/'5k'!$D7*1000,"na")</f>
        <v>na</v>
      </c>
      <c r="M7" s="217" t="str">
        <f>IFERROR('7a'!M7/'5k'!$D7*1000,"na")</f>
        <v>na</v>
      </c>
    </row>
    <row r="8" spans="1:13">
      <c r="A8" s="185">
        <v>1983</v>
      </c>
      <c r="B8" s="216" t="str">
        <f>IFERROR('7a'!B8/'5k'!$B8*1000,"na")</f>
        <v>na</v>
      </c>
      <c r="C8" s="143" t="str">
        <f>IFERROR('7a'!C8/'5k'!$B8*1000,"na")</f>
        <v>na</v>
      </c>
      <c r="D8" s="143" t="str">
        <f>IFERROR('7a'!D8/'5k'!$B8*1000,"na")</f>
        <v>na</v>
      </c>
      <c r="E8" s="217" t="str">
        <f>IFERROR('7a'!E8/'5k'!$B8*1000,"na")</f>
        <v>na</v>
      </c>
      <c r="F8" s="216" t="str">
        <f>IFERROR('7a'!F8/'5k'!$C8*1000,"na")</f>
        <v>na</v>
      </c>
      <c r="G8" s="143" t="str">
        <f>IFERROR('7a'!G8/'5k'!$C8*1000,"na")</f>
        <v>na</v>
      </c>
      <c r="H8" s="143" t="str">
        <f>IFERROR('7a'!H8/'5k'!$C8*1000,"na")</f>
        <v>na</v>
      </c>
      <c r="I8" s="217" t="str">
        <f>IFERROR('7a'!I8/'5k'!$C8*1000,"na")</f>
        <v>na</v>
      </c>
      <c r="J8" s="216" t="str">
        <f>IFERROR('7a'!J8/'5k'!$D8*1000,"na")</f>
        <v>na</v>
      </c>
      <c r="K8" s="143" t="str">
        <f>IFERROR('7a'!K8/'5k'!$D8*1000,"na")</f>
        <v>na</v>
      </c>
      <c r="L8" s="143" t="str">
        <f>IFERROR('7a'!L8/'5k'!$D8*1000,"na")</f>
        <v>na</v>
      </c>
      <c r="M8" s="217" t="str">
        <f>IFERROR('7a'!M8/'5k'!$D8*1000,"na")</f>
        <v>na</v>
      </c>
    </row>
    <row r="9" spans="1:13">
      <c r="A9" s="185">
        <v>1984</v>
      </c>
      <c r="B9" s="216" t="str">
        <f>IFERROR('7a'!B9/'5k'!$B9*1000,"na")</f>
        <v>na</v>
      </c>
      <c r="C9" s="143" t="str">
        <f>IFERROR('7a'!C9/'5k'!$B9*1000,"na")</f>
        <v>na</v>
      </c>
      <c r="D9" s="143" t="str">
        <f>IFERROR('7a'!D9/'5k'!$B9*1000,"na")</f>
        <v>na</v>
      </c>
      <c r="E9" s="217" t="str">
        <f>IFERROR('7a'!E9/'5k'!$B9*1000,"na")</f>
        <v>na</v>
      </c>
      <c r="F9" s="216" t="str">
        <f>IFERROR('7a'!F9/'5k'!$C9*1000,"na")</f>
        <v>na</v>
      </c>
      <c r="G9" s="143" t="str">
        <f>IFERROR('7a'!G9/'5k'!$C9*1000,"na")</f>
        <v>na</v>
      </c>
      <c r="H9" s="143" t="str">
        <f>IFERROR('7a'!H9/'5k'!$C9*1000,"na")</f>
        <v>na</v>
      </c>
      <c r="I9" s="217" t="str">
        <f>IFERROR('7a'!I9/'5k'!$C9*1000,"na")</f>
        <v>na</v>
      </c>
      <c r="J9" s="216" t="str">
        <f>IFERROR('7a'!J9/'5k'!$D9*1000,"na")</f>
        <v>na</v>
      </c>
      <c r="K9" s="143" t="str">
        <f>IFERROR('7a'!K9/'5k'!$D9*1000,"na")</f>
        <v>na</v>
      </c>
      <c r="L9" s="143" t="str">
        <f>IFERROR('7a'!L9/'5k'!$D9*1000,"na")</f>
        <v>na</v>
      </c>
      <c r="M9" s="217" t="str">
        <f>IFERROR('7a'!M9/'5k'!$D9*1000,"na")</f>
        <v>na</v>
      </c>
    </row>
    <row r="10" spans="1:13">
      <c r="A10" s="185">
        <v>1985</v>
      </c>
      <c r="B10" s="216" t="str">
        <f>IFERROR('7a'!B10/'5k'!$B10*1000,"na")</f>
        <v>na</v>
      </c>
      <c r="C10" s="143" t="str">
        <f>IFERROR('7a'!C10/'5k'!$B10*1000,"na")</f>
        <v>na</v>
      </c>
      <c r="D10" s="143" t="str">
        <f>IFERROR('7a'!D10/'5k'!$B10*1000,"na")</f>
        <v>na</v>
      </c>
      <c r="E10" s="217" t="str">
        <f>IFERROR('7a'!E10/'5k'!$B10*1000,"na")</f>
        <v>na</v>
      </c>
      <c r="F10" s="216" t="str">
        <f>IFERROR('7a'!F10/'5k'!$C10*1000,"na")</f>
        <v>na</v>
      </c>
      <c r="G10" s="143" t="str">
        <f>IFERROR('7a'!G10/'5k'!$C10*1000,"na")</f>
        <v>na</v>
      </c>
      <c r="H10" s="143" t="str">
        <f>IFERROR('7a'!H10/'5k'!$C10*1000,"na")</f>
        <v>na</v>
      </c>
      <c r="I10" s="217" t="str">
        <f>IFERROR('7a'!I10/'5k'!$C10*1000,"na")</f>
        <v>na</v>
      </c>
      <c r="J10" s="216" t="str">
        <f>IFERROR('7a'!J10/'5k'!$D10*1000,"na")</f>
        <v>na</v>
      </c>
      <c r="K10" s="143" t="str">
        <f>IFERROR('7a'!K10/'5k'!$D10*1000,"na")</f>
        <v>na</v>
      </c>
      <c r="L10" s="143" t="str">
        <f>IFERROR('7a'!L10/'5k'!$D10*1000,"na")</f>
        <v>na</v>
      </c>
      <c r="M10" s="217" t="str">
        <f>IFERROR('7a'!M10/'5k'!$D10*1000,"na")</f>
        <v>na</v>
      </c>
    </row>
    <row r="11" spans="1:13">
      <c r="A11" s="185">
        <v>1986</v>
      </c>
      <c r="B11" s="216" t="str">
        <f>IFERROR('7a'!B11/'5k'!$B11*1000,"na")</f>
        <v>na</v>
      </c>
      <c r="C11" s="143" t="str">
        <f>IFERROR('7a'!C11/'5k'!$B11*1000,"na")</f>
        <v>na</v>
      </c>
      <c r="D11" s="143" t="str">
        <f>IFERROR('7a'!D11/'5k'!$B11*1000,"na")</f>
        <v>na</v>
      </c>
      <c r="E11" s="217" t="str">
        <f>IFERROR('7a'!E11/'5k'!$B11*1000,"na")</f>
        <v>na</v>
      </c>
      <c r="F11" s="216" t="str">
        <f>IFERROR('7a'!F11/'5k'!$C11*1000,"na")</f>
        <v>na</v>
      </c>
      <c r="G11" s="143" t="str">
        <f>IFERROR('7a'!G11/'5k'!$C11*1000,"na")</f>
        <v>na</v>
      </c>
      <c r="H11" s="143" t="str">
        <f>IFERROR('7a'!H11/'5k'!$C11*1000,"na")</f>
        <v>na</v>
      </c>
      <c r="I11" s="217" t="str">
        <f>IFERROR('7a'!I11/'5k'!$C11*1000,"na")</f>
        <v>na</v>
      </c>
      <c r="J11" s="216" t="str">
        <f>IFERROR('7a'!J11/'5k'!$D11*1000,"na")</f>
        <v>na</v>
      </c>
      <c r="K11" s="143" t="str">
        <f>IFERROR('7a'!K11/'5k'!$D11*1000,"na")</f>
        <v>na</v>
      </c>
      <c r="L11" s="143" t="str">
        <f>IFERROR('7a'!L11/'5k'!$D11*1000,"na")</f>
        <v>na</v>
      </c>
      <c r="M11" s="217" t="str">
        <f>IFERROR('7a'!M11/'5k'!$D11*1000,"na")</f>
        <v>na</v>
      </c>
    </row>
    <row r="12" spans="1:13">
      <c r="A12" s="185">
        <v>1987</v>
      </c>
      <c r="B12" s="216" t="str">
        <f>IFERROR('7a'!B12/'5k'!$B12*1000,"na")</f>
        <v>na</v>
      </c>
      <c r="C12" s="143" t="str">
        <f>IFERROR('7a'!C12/'5k'!$B12*1000,"na")</f>
        <v>na</v>
      </c>
      <c r="D12" s="143" t="str">
        <f>IFERROR('7a'!D12/'5k'!$B12*1000,"na")</f>
        <v>na</v>
      </c>
      <c r="E12" s="217" t="str">
        <f>IFERROR('7a'!E12/'5k'!$B12*1000,"na")</f>
        <v>na</v>
      </c>
      <c r="F12" s="216" t="str">
        <f>IFERROR('7a'!F12/'5k'!$C12*1000,"na")</f>
        <v>na</v>
      </c>
      <c r="G12" s="143" t="str">
        <f>IFERROR('7a'!G12/'5k'!$C12*1000,"na")</f>
        <v>na</v>
      </c>
      <c r="H12" s="143" t="str">
        <f>IFERROR('7a'!H12/'5k'!$C12*1000,"na")</f>
        <v>na</v>
      </c>
      <c r="I12" s="217" t="str">
        <f>IFERROR('7a'!I12/'5k'!$C12*1000,"na")</f>
        <v>na</v>
      </c>
      <c r="J12" s="216" t="str">
        <f>IFERROR('7a'!J12/'5k'!$D12*1000,"na")</f>
        <v>na</v>
      </c>
      <c r="K12" s="143" t="str">
        <f>IFERROR('7a'!K12/'5k'!$D12*1000,"na")</f>
        <v>na</v>
      </c>
      <c r="L12" s="143" t="str">
        <f>IFERROR('7a'!L12/'5k'!$D12*1000,"na")</f>
        <v>na</v>
      </c>
      <c r="M12" s="217" t="str">
        <f>IFERROR('7a'!M12/'5k'!$D12*1000,"na")</f>
        <v>na</v>
      </c>
    </row>
    <row r="13" spans="1:13">
      <c r="A13" s="185">
        <v>1988</v>
      </c>
      <c r="B13" s="216" t="str">
        <f>IFERROR('7a'!B13/'5k'!$B13*1000,"na")</f>
        <v>na</v>
      </c>
      <c r="C13" s="143" t="str">
        <f>IFERROR('7a'!C13/'5k'!$B13*1000,"na")</f>
        <v>na</v>
      </c>
      <c r="D13" s="143" t="str">
        <f>IFERROR('7a'!D13/'5k'!$B13*1000,"na")</f>
        <v>na</v>
      </c>
      <c r="E13" s="217" t="str">
        <f>IFERROR('7a'!E13/'5k'!$B13*1000,"na")</f>
        <v>na</v>
      </c>
      <c r="F13" s="216" t="str">
        <f>IFERROR('7a'!F13/'5k'!$C13*1000,"na")</f>
        <v>na</v>
      </c>
      <c r="G13" s="143" t="str">
        <f>IFERROR('7a'!G13/'5k'!$C13*1000,"na")</f>
        <v>na</v>
      </c>
      <c r="H13" s="143" t="str">
        <f>IFERROR('7a'!H13/'5k'!$C13*1000,"na")</f>
        <v>na</v>
      </c>
      <c r="I13" s="217" t="str">
        <f>IFERROR('7a'!I13/'5k'!$C13*1000,"na")</f>
        <v>na</v>
      </c>
      <c r="J13" s="216" t="str">
        <f>IFERROR('7a'!J13/'5k'!$D13*1000,"na")</f>
        <v>na</v>
      </c>
      <c r="K13" s="143" t="str">
        <f>IFERROR('7a'!K13/'5k'!$D13*1000,"na")</f>
        <v>na</v>
      </c>
      <c r="L13" s="143" t="str">
        <f>IFERROR('7a'!L13/'5k'!$D13*1000,"na")</f>
        <v>na</v>
      </c>
      <c r="M13" s="217" t="str">
        <f>IFERROR('7a'!M13/'5k'!$D13*1000,"na")</f>
        <v>na</v>
      </c>
    </row>
    <row r="14" spans="1:13">
      <c r="A14" s="185">
        <v>1989</v>
      </c>
      <c r="B14" s="216" t="str">
        <f>IFERROR('7a'!B14/'5k'!$B14*1000,"na")</f>
        <v>na</v>
      </c>
      <c r="C14" s="143" t="str">
        <f>IFERROR('7a'!C14/'5k'!$B14*1000,"na")</f>
        <v>na</v>
      </c>
      <c r="D14" s="143" t="str">
        <f>IFERROR('7a'!D14/'5k'!$B14*1000,"na")</f>
        <v>na</v>
      </c>
      <c r="E14" s="217" t="str">
        <f>IFERROR('7a'!E14/'5k'!$B14*1000,"na")</f>
        <v>na</v>
      </c>
      <c r="F14" s="216" t="str">
        <f>IFERROR('7a'!F14/'5k'!$C14*1000,"na")</f>
        <v>na</v>
      </c>
      <c r="G14" s="143" t="str">
        <f>IFERROR('7a'!G14/'5k'!$C14*1000,"na")</f>
        <v>na</v>
      </c>
      <c r="H14" s="143" t="str">
        <f>IFERROR('7a'!H14/'5k'!$C14*1000,"na")</f>
        <v>na</v>
      </c>
      <c r="I14" s="217" t="str">
        <f>IFERROR('7a'!I14/'5k'!$C14*1000,"na")</f>
        <v>na</v>
      </c>
      <c r="J14" s="216" t="str">
        <f>IFERROR('7a'!J14/'5k'!$D14*1000,"na")</f>
        <v>na</v>
      </c>
      <c r="K14" s="143" t="str">
        <f>IFERROR('7a'!K14/'5k'!$D14*1000,"na")</f>
        <v>na</v>
      </c>
      <c r="L14" s="143" t="str">
        <f>IFERROR('7a'!L14/'5k'!$D14*1000,"na")</f>
        <v>na</v>
      </c>
      <c r="M14" s="217" t="str">
        <f>IFERROR('7a'!M14/'5k'!$D14*1000,"na")</f>
        <v>na</v>
      </c>
    </row>
    <row r="15" spans="1:13">
      <c r="A15" s="185">
        <v>1990</v>
      </c>
      <c r="B15" s="216" t="str">
        <f>IFERROR('7a'!B15/'5k'!$B15*1000,"na")</f>
        <v>na</v>
      </c>
      <c r="C15" s="143" t="str">
        <f>IFERROR('7a'!C15/'5k'!$B15*1000,"na")</f>
        <v>na</v>
      </c>
      <c r="D15" s="143" t="str">
        <f>IFERROR('7a'!D15/'5k'!$B15*1000,"na")</f>
        <v>na</v>
      </c>
      <c r="E15" s="217" t="str">
        <f>IFERROR('7a'!E15/'5k'!$B15*1000,"na")</f>
        <v>na</v>
      </c>
      <c r="F15" s="216" t="str">
        <f>IFERROR('7a'!F15/'5k'!$C15*1000,"na")</f>
        <v>na</v>
      </c>
      <c r="G15" s="143" t="str">
        <f>IFERROR('7a'!G15/'5k'!$C15*1000,"na")</f>
        <v>na</v>
      </c>
      <c r="H15" s="143" t="str">
        <f>IFERROR('7a'!H15/'5k'!$C15*1000,"na")</f>
        <v>na</v>
      </c>
      <c r="I15" s="217" t="str">
        <f>IFERROR('7a'!I15/'5k'!$C15*1000,"na")</f>
        <v>na</v>
      </c>
      <c r="J15" s="216" t="str">
        <f>IFERROR('7a'!J15/'5k'!$D15*1000,"na")</f>
        <v>na</v>
      </c>
      <c r="K15" s="143" t="str">
        <f>IFERROR('7a'!K15/'5k'!$D15*1000,"na")</f>
        <v>na</v>
      </c>
      <c r="L15" s="143" t="str">
        <f>IFERROR('7a'!L15/'5k'!$D15*1000,"na")</f>
        <v>na</v>
      </c>
      <c r="M15" s="217" t="str">
        <f>IFERROR('7a'!M15/'5k'!$D15*1000,"na")</f>
        <v>na</v>
      </c>
    </row>
    <row r="16" spans="1:13">
      <c r="A16" s="185">
        <v>1991</v>
      </c>
      <c r="B16" s="216" t="str">
        <f>IFERROR('7a'!B16/'5k'!$B16*1000,"na")</f>
        <v>na</v>
      </c>
      <c r="C16" s="143" t="str">
        <f>IFERROR('7a'!C16/'5k'!$B16*1000,"na")</f>
        <v>na</v>
      </c>
      <c r="D16" s="143" t="str">
        <f>IFERROR('7a'!D16/'5k'!$B16*1000,"na")</f>
        <v>na</v>
      </c>
      <c r="E16" s="217" t="str">
        <f>IFERROR('7a'!E16/'5k'!$B16*1000,"na")</f>
        <v>na</v>
      </c>
      <c r="F16" s="216" t="str">
        <f>IFERROR('7a'!F16/'5k'!$C16*1000,"na")</f>
        <v>na</v>
      </c>
      <c r="G16" s="143" t="str">
        <f>IFERROR('7a'!G16/'5k'!$C16*1000,"na")</f>
        <v>na</v>
      </c>
      <c r="H16" s="143" t="str">
        <f>IFERROR('7a'!H16/'5k'!$C16*1000,"na")</f>
        <v>na</v>
      </c>
      <c r="I16" s="217" t="str">
        <f>IFERROR('7a'!I16/'5k'!$C16*1000,"na")</f>
        <v>na</v>
      </c>
      <c r="J16" s="216" t="str">
        <f>IFERROR('7a'!J16/'5k'!$D16*1000,"na")</f>
        <v>na</v>
      </c>
      <c r="K16" s="143" t="str">
        <f>IFERROR('7a'!K16/'5k'!$D16*1000,"na")</f>
        <v>na</v>
      </c>
      <c r="L16" s="143" t="str">
        <f>IFERROR('7a'!L16/'5k'!$D16*1000,"na")</f>
        <v>na</v>
      </c>
      <c r="M16" s="217" t="str">
        <f>IFERROR('7a'!M16/'5k'!$D16*1000,"na")</f>
        <v>na</v>
      </c>
    </row>
    <row r="17" spans="1:13">
      <c r="A17" s="185">
        <v>1992</v>
      </c>
      <c r="B17" s="216" t="str">
        <f>IFERROR('7a'!B17/'5k'!$B17*1000,"na")</f>
        <v>na</v>
      </c>
      <c r="C17" s="143" t="str">
        <f>IFERROR('7a'!C17/'5k'!$B17*1000,"na")</f>
        <v>na</v>
      </c>
      <c r="D17" s="143" t="str">
        <f>IFERROR('7a'!D17/'5k'!$B17*1000,"na")</f>
        <v>na</v>
      </c>
      <c r="E17" s="217" t="str">
        <f>IFERROR('7a'!E17/'5k'!$B17*1000,"na")</f>
        <v>na</v>
      </c>
      <c r="F17" s="216" t="str">
        <f>IFERROR('7a'!F17/'5k'!$C17*1000,"na")</f>
        <v>na</v>
      </c>
      <c r="G17" s="143" t="str">
        <f>IFERROR('7a'!G17/'5k'!$C17*1000,"na")</f>
        <v>na</v>
      </c>
      <c r="H17" s="143" t="str">
        <f>IFERROR('7a'!H17/'5k'!$C17*1000,"na")</f>
        <v>na</v>
      </c>
      <c r="I17" s="217" t="str">
        <f>IFERROR('7a'!I17/'5k'!$C17*1000,"na")</f>
        <v>na</v>
      </c>
      <c r="J17" s="216" t="str">
        <f>IFERROR('7a'!J17/'5k'!$D17*1000,"na")</f>
        <v>na</v>
      </c>
      <c r="K17" s="143" t="str">
        <f>IFERROR('7a'!K17/'5k'!$D17*1000,"na")</f>
        <v>na</v>
      </c>
      <c r="L17" s="143" t="str">
        <f>IFERROR('7a'!L17/'5k'!$D17*1000,"na")</f>
        <v>na</v>
      </c>
      <c r="M17" s="217" t="str">
        <f>IFERROR('7a'!M17/'5k'!$D17*1000,"na")</f>
        <v>na</v>
      </c>
    </row>
    <row r="18" spans="1:13">
      <c r="A18" s="185">
        <v>1993</v>
      </c>
      <c r="B18" s="216" t="str">
        <f>IFERROR('7a'!B18/'5k'!$B18*1000,"na")</f>
        <v>na</v>
      </c>
      <c r="C18" s="143" t="str">
        <f>IFERROR('7a'!C18/'5k'!$B18*1000,"na")</f>
        <v>na</v>
      </c>
      <c r="D18" s="143" t="str">
        <f>IFERROR('7a'!D18/'5k'!$B18*1000,"na")</f>
        <v>na</v>
      </c>
      <c r="E18" s="217" t="str">
        <f>IFERROR('7a'!E18/'5k'!$B18*1000,"na")</f>
        <v>na</v>
      </c>
      <c r="F18" s="216" t="str">
        <f>IFERROR('7a'!F18/'5k'!$C18*1000,"na")</f>
        <v>na</v>
      </c>
      <c r="G18" s="143" t="str">
        <f>IFERROR('7a'!G18/'5k'!$C18*1000,"na")</f>
        <v>na</v>
      </c>
      <c r="H18" s="143" t="str">
        <f>IFERROR('7a'!H18/'5k'!$C18*1000,"na")</f>
        <v>na</v>
      </c>
      <c r="I18" s="217" t="str">
        <f>IFERROR('7a'!I18/'5k'!$C18*1000,"na")</f>
        <v>na</v>
      </c>
      <c r="J18" s="216" t="str">
        <f>IFERROR('7a'!J18/'5k'!$D18*1000,"na")</f>
        <v>na</v>
      </c>
      <c r="K18" s="143" t="str">
        <f>IFERROR('7a'!K18/'5k'!$D18*1000,"na")</f>
        <v>na</v>
      </c>
      <c r="L18" s="143" t="str">
        <f>IFERROR('7a'!L18/'5k'!$D18*1000,"na")</f>
        <v>na</v>
      </c>
      <c r="M18" s="217" t="str">
        <f>IFERROR('7a'!M18/'5k'!$D18*1000,"na")</f>
        <v>na</v>
      </c>
    </row>
    <row r="19" spans="1:13">
      <c r="A19" s="185">
        <v>1994</v>
      </c>
      <c r="B19" s="216" t="str">
        <f>IFERROR('7a'!B19/'5k'!$B19*1000,"na")</f>
        <v>na</v>
      </c>
      <c r="C19" s="143" t="str">
        <f>IFERROR('7a'!C19/'5k'!$B19*1000,"na")</f>
        <v>na</v>
      </c>
      <c r="D19" s="143" t="str">
        <f>IFERROR('7a'!D19/'5k'!$B19*1000,"na")</f>
        <v>na</v>
      </c>
      <c r="E19" s="217" t="str">
        <f>IFERROR('7a'!E19/'5k'!$B19*1000,"na")</f>
        <v>na</v>
      </c>
      <c r="F19" s="216" t="str">
        <f>IFERROR('7a'!F19/'5k'!$C19*1000,"na")</f>
        <v>na</v>
      </c>
      <c r="G19" s="143" t="str">
        <f>IFERROR('7a'!G19/'5k'!$C19*1000,"na")</f>
        <v>na</v>
      </c>
      <c r="H19" s="143" t="str">
        <f>IFERROR('7a'!H19/'5k'!$C19*1000,"na")</f>
        <v>na</v>
      </c>
      <c r="I19" s="217" t="str">
        <f>IFERROR('7a'!I19/'5k'!$C19*1000,"na")</f>
        <v>na</v>
      </c>
      <c r="J19" s="216" t="str">
        <f>IFERROR('7a'!J19/'5k'!$D19*1000,"na")</f>
        <v>na</v>
      </c>
      <c r="K19" s="143" t="str">
        <f>IFERROR('7a'!K19/'5k'!$D19*1000,"na")</f>
        <v>na</v>
      </c>
      <c r="L19" s="143" t="str">
        <f>IFERROR('7a'!L19/'5k'!$D19*1000,"na")</f>
        <v>na</v>
      </c>
      <c r="M19" s="217" t="str">
        <f>IFERROR('7a'!M19/'5k'!$D19*1000,"na")</f>
        <v>na</v>
      </c>
    </row>
    <row r="20" spans="1:13">
      <c r="A20" s="185">
        <v>1995</v>
      </c>
      <c r="B20" s="216" t="str">
        <f>IFERROR('7a'!B20/'5k'!$B20*1000,"na")</f>
        <v>na</v>
      </c>
      <c r="C20" s="143" t="str">
        <f>IFERROR('7a'!C20/'5k'!$B20*1000,"na")</f>
        <v>na</v>
      </c>
      <c r="D20" s="143" t="str">
        <f>IFERROR('7a'!D20/'5k'!$B20*1000,"na")</f>
        <v>na</v>
      </c>
      <c r="E20" s="217" t="str">
        <f>IFERROR('7a'!E20/'5k'!$B20*1000,"na")</f>
        <v>na</v>
      </c>
      <c r="F20" s="216" t="str">
        <f>IFERROR('7a'!F20/'5k'!$C20*1000,"na")</f>
        <v>na</v>
      </c>
      <c r="G20" s="143" t="str">
        <f>IFERROR('7a'!G20/'5k'!$C20*1000,"na")</f>
        <v>na</v>
      </c>
      <c r="H20" s="143" t="str">
        <f>IFERROR('7a'!H20/'5k'!$C20*1000,"na")</f>
        <v>na</v>
      </c>
      <c r="I20" s="217" t="str">
        <f>IFERROR('7a'!I20/'5k'!$C20*1000,"na")</f>
        <v>na</v>
      </c>
      <c r="J20" s="216" t="str">
        <f>IFERROR('7a'!J20/'5k'!$D20*1000,"na")</f>
        <v>na</v>
      </c>
      <c r="K20" s="143" t="str">
        <f>IFERROR('7a'!K20/'5k'!$D20*1000,"na")</f>
        <v>na</v>
      </c>
      <c r="L20" s="143" t="str">
        <f>IFERROR('7a'!L20/'5k'!$D20*1000,"na")</f>
        <v>na</v>
      </c>
      <c r="M20" s="217" t="str">
        <f>IFERROR('7a'!M20/'5k'!$D20*1000,"na")</f>
        <v>na</v>
      </c>
    </row>
    <row r="21" spans="1:13">
      <c r="A21" s="185">
        <v>1996</v>
      </c>
      <c r="B21" s="216" t="str">
        <f>IFERROR('7a'!B21/'5k'!$B21*1000,"na")</f>
        <v>na</v>
      </c>
      <c r="C21" s="143" t="str">
        <f>IFERROR('7a'!C21/'5k'!$B21*1000,"na")</f>
        <v>na</v>
      </c>
      <c r="D21" s="143" t="str">
        <f>IFERROR('7a'!D21/'5k'!$B21*1000,"na")</f>
        <v>na</v>
      </c>
      <c r="E21" s="217" t="str">
        <f>IFERROR('7a'!E21/'5k'!$B21*1000,"na")</f>
        <v>na</v>
      </c>
      <c r="F21" s="216" t="str">
        <f>IFERROR('7a'!F21/'5k'!$C21*1000,"na")</f>
        <v>na</v>
      </c>
      <c r="G21" s="143" t="str">
        <f>IFERROR('7a'!G21/'5k'!$C21*1000,"na")</f>
        <v>na</v>
      </c>
      <c r="H21" s="143" t="str">
        <f>IFERROR('7a'!H21/'5k'!$C21*1000,"na")</f>
        <v>na</v>
      </c>
      <c r="I21" s="217" t="str">
        <f>IFERROR('7a'!I21/'5k'!$C21*1000,"na")</f>
        <v>na</v>
      </c>
      <c r="J21" s="216" t="str">
        <f>IFERROR('7a'!J21/'5k'!$D21*1000,"na")</f>
        <v>na</v>
      </c>
      <c r="K21" s="143" t="str">
        <f>IFERROR('7a'!K21/'5k'!$D21*1000,"na")</f>
        <v>na</v>
      </c>
      <c r="L21" s="143" t="str">
        <f>IFERROR('7a'!L21/'5k'!$D21*1000,"na")</f>
        <v>na</v>
      </c>
      <c r="M21" s="217" t="str">
        <f>IFERROR('7a'!M21/'5k'!$D21*1000,"na")</f>
        <v>na</v>
      </c>
    </row>
    <row r="22" spans="1:13">
      <c r="A22" s="185">
        <v>1997</v>
      </c>
      <c r="B22" s="216" t="str">
        <f>IFERROR('7a'!B22/'5k'!$B22*1000,"na")</f>
        <v>na</v>
      </c>
      <c r="C22" s="143" t="str">
        <f>IFERROR('7a'!C22/'5k'!$B22*1000,"na")</f>
        <v>na</v>
      </c>
      <c r="D22" s="143" t="str">
        <f>IFERROR('7a'!D22/'5k'!$B22*1000,"na")</f>
        <v>na</v>
      </c>
      <c r="E22" s="217" t="str">
        <f>IFERROR('7a'!E22/'5k'!$B22*1000,"na")</f>
        <v>na</v>
      </c>
      <c r="F22" s="216" t="str">
        <f>IFERROR('7a'!F22/'5k'!$C22*1000,"na")</f>
        <v>na</v>
      </c>
      <c r="G22" s="143" t="str">
        <f>IFERROR('7a'!G22/'5k'!$C22*1000,"na")</f>
        <v>na</v>
      </c>
      <c r="H22" s="143" t="str">
        <f>IFERROR('7a'!H22/'5k'!$C22*1000,"na")</f>
        <v>na</v>
      </c>
      <c r="I22" s="217" t="str">
        <f>IFERROR('7a'!I22/'5k'!$C22*1000,"na")</f>
        <v>na</v>
      </c>
      <c r="J22" s="216" t="str">
        <f>IFERROR('7a'!J22/'5k'!$D22*1000,"na")</f>
        <v>na</v>
      </c>
      <c r="K22" s="143" t="str">
        <f>IFERROR('7a'!K22/'5k'!$D22*1000,"na")</f>
        <v>na</v>
      </c>
      <c r="L22" s="143" t="str">
        <f>IFERROR('7a'!L22/'5k'!$D22*1000,"na")</f>
        <v>na</v>
      </c>
      <c r="M22" s="217" t="str">
        <f>IFERROR('7a'!M22/'5k'!$D22*1000,"na")</f>
        <v>na</v>
      </c>
    </row>
    <row r="23" spans="1:13">
      <c r="A23" s="185">
        <v>1998</v>
      </c>
      <c r="B23" s="216" t="str">
        <f>IFERROR('7a'!B23/'5k'!$B23*1000,"na")</f>
        <v>na</v>
      </c>
      <c r="C23" s="143" t="str">
        <f>IFERROR('7a'!C23/'5k'!$B23*1000,"na")</f>
        <v>na</v>
      </c>
      <c r="D23" s="143" t="str">
        <f>IFERROR('7a'!D23/'5k'!$B23*1000,"na")</f>
        <v>na</v>
      </c>
      <c r="E23" s="217" t="str">
        <f>IFERROR('7a'!E23/'5k'!$B23*1000,"na")</f>
        <v>na</v>
      </c>
      <c r="F23" s="216" t="str">
        <f>IFERROR('7a'!F23/'5k'!$C23*1000,"na")</f>
        <v>na</v>
      </c>
      <c r="G23" s="143" t="str">
        <f>IFERROR('7a'!G23/'5k'!$C23*1000,"na")</f>
        <v>na</v>
      </c>
      <c r="H23" s="143" t="str">
        <f>IFERROR('7a'!H23/'5k'!$C23*1000,"na")</f>
        <v>na</v>
      </c>
      <c r="I23" s="217" t="str">
        <f>IFERROR('7a'!I23/'5k'!$C23*1000,"na")</f>
        <v>na</v>
      </c>
      <c r="J23" s="216" t="str">
        <f>IFERROR('7a'!J23/'5k'!$D23*1000,"na")</f>
        <v>na</v>
      </c>
      <c r="K23" s="143" t="str">
        <f>IFERROR('7a'!K23/'5k'!$D23*1000,"na")</f>
        <v>na</v>
      </c>
      <c r="L23" s="143" t="str">
        <f>IFERROR('7a'!L23/'5k'!$D23*1000,"na")</f>
        <v>na</v>
      </c>
      <c r="M23" s="217" t="str">
        <f>IFERROR('7a'!M23/'5k'!$D23*1000,"na")</f>
        <v>na</v>
      </c>
    </row>
    <row r="24" spans="1:13">
      <c r="A24" s="185">
        <v>1999</v>
      </c>
      <c r="B24" s="216" t="str">
        <f>IFERROR('7a'!B24/'5k'!$B24*1000,"na")</f>
        <v>na</v>
      </c>
      <c r="C24" s="143" t="str">
        <f>IFERROR('7a'!C24/'5k'!$B24*1000,"na")</f>
        <v>na</v>
      </c>
      <c r="D24" s="143" t="str">
        <f>IFERROR('7a'!D24/'5k'!$B24*1000,"na")</f>
        <v>na</v>
      </c>
      <c r="E24" s="217" t="str">
        <f>IFERROR('7a'!E24/'5k'!$B24*1000,"na")</f>
        <v>na</v>
      </c>
      <c r="F24" s="216" t="str">
        <f>IFERROR('7a'!F24/'5k'!$C24*1000,"na")</f>
        <v>na</v>
      </c>
      <c r="G24" s="143" t="str">
        <f>IFERROR('7a'!G24/'5k'!$C24*1000,"na")</f>
        <v>na</v>
      </c>
      <c r="H24" s="143" t="str">
        <f>IFERROR('7a'!H24/'5k'!$C24*1000,"na")</f>
        <v>na</v>
      </c>
      <c r="I24" s="217" t="str">
        <f>IFERROR('7a'!I24/'5k'!$C24*1000,"na")</f>
        <v>na</v>
      </c>
      <c r="J24" s="216" t="str">
        <f>IFERROR('7a'!J24/'5k'!$D24*1000,"na")</f>
        <v>na</v>
      </c>
      <c r="K24" s="143" t="str">
        <f>IFERROR('7a'!K24/'5k'!$D24*1000,"na")</f>
        <v>na</v>
      </c>
      <c r="L24" s="143" t="str">
        <f>IFERROR('7a'!L24/'5k'!$D24*1000,"na")</f>
        <v>na</v>
      </c>
      <c r="M24" s="217" t="str">
        <f>IFERROR('7a'!M24/'5k'!$D24*1000,"na")</f>
        <v>na</v>
      </c>
    </row>
    <row r="25" spans="1:13">
      <c r="A25" s="185">
        <v>2000</v>
      </c>
      <c r="B25" s="216" t="str">
        <f>IFERROR('7a'!B25/'5k'!$B25*1000,"na")</f>
        <v>na</v>
      </c>
      <c r="C25" s="143" t="str">
        <f>IFERROR('7a'!C25/'5k'!$B25*1000,"na")</f>
        <v>na</v>
      </c>
      <c r="D25" s="143" t="str">
        <f>IFERROR('7a'!D25/'5k'!$B25*1000,"na")</f>
        <v>na</v>
      </c>
      <c r="E25" s="217" t="str">
        <f>IFERROR('7a'!E25/'5k'!$B25*1000,"na")</f>
        <v>na</v>
      </c>
      <c r="F25" s="216" t="str">
        <f>IFERROR('7a'!F25/'5k'!$C25*1000,"na")</f>
        <v>na</v>
      </c>
      <c r="G25" s="143" t="str">
        <f>IFERROR('7a'!G25/'5k'!$C25*1000,"na")</f>
        <v>na</v>
      </c>
      <c r="H25" s="143" t="str">
        <f>IFERROR('7a'!H25/'5k'!$C25*1000,"na")</f>
        <v>na</v>
      </c>
      <c r="I25" s="217" t="str">
        <f>IFERROR('7a'!I25/'5k'!$C25*1000,"na")</f>
        <v>na</v>
      </c>
      <c r="J25" s="216" t="str">
        <f>IFERROR('7a'!J25/'5k'!$D25*1000,"na")</f>
        <v>na</v>
      </c>
      <c r="K25" s="143" t="str">
        <f>IFERROR('7a'!K25/'5k'!$D25*1000,"na")</f>
        <v>na</v>
      </c>
      <c r="L25" s="143" t="str">
        <f>IFERROR('7a'!L25/'5k'!$D25*1000,"na")</f>
        <v>na</v>
      </c>
      <c r="M25" s="217" t="str">
        <f>IFERROR('7a'!M25/'5k'!$D25*1000,"na")</f>
        <v>na</v>
      </c>
    </row>
    <row r="26" spans="1:13">
      <c r="A26" s="185">
        <v>2001</v>
      </c>
      <c r="B26" s="216" t="str">
        <f>IFERROR('7a'!B26/'5k'!$B26*1000,"na")</f>
        <v>na</v>
      </c>
      <c r="C26" s="143" t="str">
        <f>IFERROR('7a'!C26/'5k'!$B26*1000,"na")</f>
        <v>na</v>
      </c>
      <c r="D26" s="143" t="str">
        <f>IFERROR('7a'!D26/'5k'!$B26*1000,"na")</f>
        <v>na</v>
      </c>
      <c r="E26" s="217" t="str">
        <f>IFERROR('7a'!E26/'5k'!$B26*1000,"na")</f>
        <v>na</v>
      </c>
      <c r="F26" s="216" t="str">
        <f>IFERROR('7a'!F26/'5k'!$C26*1000,"na")</f>
        <v>na</v>
      </c>
      <c r="G26" s="143" t="str">
        <f>IFERROR('7a'!G26/'5k'!$C26*1000,"na")</f>
        <v>na</v>
      </c>
      <c r="H26" s="143" t="str">
        <f>IFERROR('7a'!H26/'5k'!$C26*1000,"na")</f>
        <v>na</v>
      </c>
      <c r="I26" s="217" t="str">
        <f>IFERROR('7a'!I26/'5k'!$C26*1000,"na")</f>
        <v>na</v>
      </c>
      <c r="J26" s="216" t="str">
        <f>IFERROR('7a'!J26/'5k'!$D26*1000,"na")</f>
        <v>na</v>
      </c>
      <c r="K26" s="143" t="str">
        <f>IFERROR('7a'!K26/'5k'!$D26*1000,"na")</f>
        <v>na</v>
      </c>
      <c r="L26" s="143" t="str">
        <f>IFERROR('7a'!L26/'5k'!$D26*1000,"na")</f>
        <v>na</v>
      </c>
      <c r="M26" s="217" t="str">
        <f>IFERROR('7a'!M26/'5k'!$D26*1000,"na")</f>
        <v>na</v>
      </c>
    </row>
    <row r="27" spans="1:13">
      <c r="A27" s="185">
        <v>2002</v>
      </c>
      <c r="B27" s="216" t="str">
        <f>IFERROR('7a'!B27/'5k'!$B27*1000,"na")</f>
        <v>na</v>
      </c>
      <c r="C27" s="143" t="str">
        <f>IFERROR('7a'!C27/'5k'!$B27*1000,"na")</f>
        <v>na</v>
      </c>
      <c r="D27" s="143" t="str">
        <f>IFERROR('7a'!D27/'5k'!$B27*1000,"na")</f>
        <v>na</v>
      </c>
      <c r="E27" s="217" t="str">
        <f>IFERROR('7a'!E27/'5k'!$B27*1000,"na")</f>
        <v>na</v>
      </c>
      <c r="F27" s="216" t="str">
        <f>IFERROR('7a'!F27/'5k'!$C27*1000,"na")</f>
        <v>na</v>
      </c>
      <c r="G27" s="143" t="str">
        <f>IFERROR('7a'!G27/'5k'!$C27*1000,"na")</f>
        <v>na</v>
      </c>
      <c r="H27" s="143" t="str">
        <f>IFERROR('7a'!H27/'5k'!$C27*1000,"na")</f>
        <v>na</v>
      </c>
      <c r="I27" s="217" t="str">
        <f>IFERROR('7a'!I27/'5k'!$C27*1000,"na")</f>
        <v>na</v>
      </c>
      <c r="J27" s="216" t="str">
        <f>IFERROR('7a'!J27/'5k'!$D27*1000,"na")</f>
        <v>na</v>
      </c>
      <c r="K27" s="143" t="str">
        <f>IFERROR('7a'!K27/'5k'!$D27*1000,"na")</f>
        <v>na</v>
      </c>
      <c r="L27" s="143" t="str">
        <f>IFERROR('7a'!L27/'5k'!$D27*1000,"na")</f>
        <v>na</v>
      </c>
      <c r="M27" s="217" t="str">
        <f>IFERROR('7a'!M27/'5k'!$D27*1000,"na")</f>
        <v>na</v>
      </c>
    </row>
    <row r="28" spans="1:13">
      <c r="A28" s="185">
        <v>2003</v>
      </c>
      <c r="B28" s="216" t="str">
        <f>IFERROR('7a'!B28/'5k'!$B28*1000,"na")</f>
        <v>na</v>
      </c>
      <c r="C28" s="143" t="str">
        <f>IFERROR('7a'!C28/'5k'!$B28*1000,"na")</f>
        <v>na</v>
      </c>
      <c r="D28" s="143" t="str">
        <f>IFERROR('7a'!D28/'5k'!$B28*1000,"na")</f>
        <v>na</v>
      </c>
      <c r="E28" s="217" t="str">
        <f>IFERROR('7a'!E28/'5k'!$B28*1000,"na")</f>
        <v>na</v>
      </c>
      <c r="F28" s="216" t="str">
        <f>IFERROR('7a'!F28/'5k'!$C28*1000,"na")</f>
        <v>na</v>
      </c>
      <c r="G28" s="143" t="str">
        <f>IFERROR('7a'!G28/'5k'!$C28*1000,"na")</f>
        <v>na</v>
      </c>
      <c r="H28" s="143" t="str">
        <f>IFERROR('7a'!H28/'5k'!$C28*1000,"na")</f>
        <v>na</v>
      </c>
      <c r="I28" s="217" t="str">
        <f>IFERROR('7a'!I28/'5k'!$C28*1000,"na")</f>
        <v>na</v>
      </c>
      <c r="J28" s="216" t="str">
        <f>IFERROR('7a'!J28/'5k'!$D28*1000,"na")</f>
        <v>na</v>
      </c>
      <c r="K28" s="143" t="str">
        <f>IFERROR('7a'!K28/'5k'!$D28*1000,"na")</f>
        <v>na</v>
      </c>
      <c r="L28" s="143" t="str">
        <f>IFERROR('7a'!L28/'5k'!$D28*1000,"na")</f>
        <v>na</v>
      </c>
      <c r="M28" s="217" t="str">
        <f>IFERROR('7a'!M28/'5k'!$D28*1000,"na")</f>
        <v>na</v>
      </c>
    </row>
    <row r="29" spans="1:13">
      <c r="A29" s="185">
        <v>2004</v>
      </c>
      <c r="B29" s="216" t="str">
        <f>IFERROR('7a'!B29/'5k'!$B29*1000,"na")</f>
        <v>na</v>
      </c>
      <c r="C29" s="143" t="str">
        <f>IFERROR('7a'!C29/'5k'!$B29*1000,"na")</f>
        <v>na</v>
      </c>
      <c r="D29" s="143" t="str">
        <f>IFERROR('7a'!D29/'5k'!$B29*1000,"na")</f>
        <v>na</v>
      </c>
      <c r="E29" s="217" t="str">
        <f>IFERROR('7a'!E29/'5k'!$B29*1000,"na")</f>
        <v>na</v>
      </c>
      <c r="F29" s="216" t="str">
        <f>IFERROR('7a'!F29/'5k'!$C29*1000,"na")</f>
        <v>na</v>
      </c>
      <c r="G29" s="143" t="str">
        <f>IFERROR('7a'!G29/'5k'!$C29*1000,"na")</f>
        <v>na</v>
      </c>
      <c r="H29" s="143" t="str">
        <f>IFERROR('7a'!H29/'5k'!$C29*1000,"na")</f>
        <v>na</v>
      </c>
      <c r="I29" s="217" t="str">
        <f>IFERROR('7a'!I29/'5k'!$C29*1000,"na")</f>
        <v>na</v>
      </c>
      <c r="J29" s="216" t="str">
        <f>IFERROR('7a'!J29/'5k'!$D29*1000,"na")</f>
        <v>na</v>
      </c>
      <c r="K29" s="143" t="str">
        <f>IFERROR('7a'!K29/'5k'!$D29*1000,"na")</f>
        <v>na</v>
      </c>
      <c r="L29" s="143" t="str">
        <f>IFERROR('7a'!L29/'5k'!$D29*1000,"na")</f>
        <v>na</v>
      </c>
      <c r="M29" s="217" t="str">
        <f>IFERROR('7a'!M29/'5k'!$D29*1000,"na")</f>
        <v>na</v>
      </c>
    </row>
    <row r="30" spans="1:13">
      <c r="A30" s="185">
        <v>2005</v>
      </c>
      <c r="B30" s="216" t="str">
        <f>IFERROR('7a'!B30/'5k'!$B30*1000,"na")</f>
        <v>na</v>
      </c>
      <c r="C30" s="143" t="str">
        <f>IFERROR('7a'!C30/'5k'!$B30*1000,"na")</f>
        <v>na</v>
      </c>
      <c r="D30" s="143" t="str">
        <f>IFERROR('7a'!D30/'5k'!$B30*1000,"na")</f>
        <v>na</v>
      </c>
      <c r="E30" s="217" t="str">
        <f>IFERROR('7a'!E30/'5k'!$B30*1000,"na")</f>
        <v>na</v>
      </c>
      <c r="F30" s="216" t="str">
        <f>IFERROR('7a'!F30/'5k'!$C30*1000,"na")</f>
        <v>na</v>
      </c>
      <c r="G30" s="143" t="str">
        <f>IFERROR('7a'!G30/'5k'!$C30*1000,"na")</f>
        <v>na</v>
      </c>
      <c r="H30" s="143" t="str">
        <f>IFERROR('7a'!H30/'5k'!$C30*1000,"na")</f>
        <v>na</v>
      </c>
      <c r="I30" s="217" t="str">
        <f>IFERROR('7a'!I30/'5k'!$C30*1000,"na")</f>
        <v>na</v>
      </c>
      <c r="J30" s="216" t="str">
        <f>IFERROR('7a'!J30/'5k'!$D30*1000,"na")</f>
        <v>na</v>
      </c>
      <c r="K30" s="143" t="str">
        <f>IFERROR('7a'!K30/'5k'!$D30*1000,"na")</f>
        <v>na</v>
      </c>
      <c r="L30" s="143" t="str">
        <f>IFERROR('7a'!L30/'5k'!$D30*1000,"na")</f>
        <v>na</v>
      </c>
      <c r="M30" s="217" t="str">
        <f>IFERROR('7a'!M30/'5k'!$D30*1000,"na")</f>
        <v>na</v>
      </c>
    </row>
    <row r="31" spans="1:13">
      <c r="A31" s="185">
        <v>2006</v>
      </c>
      <c r="B31" s="216" t="str">
        <f>IFERROR('7a'!B31/'5k'!$B31*1000,"na")</f>
        <v>na</v>
      </c>
      <c r="C31" s="143" t="str">
        <f>IFERROR('7a'!C31/'5k'!$B31*1000,"na")</f>
        <v>na</v>
      </c>
      <c r="D31" s="143" t="str">
        <f>IFERROR('7a'!D31/'5k'!$B31*1000,"na")</f>
        <v>na</v>
      </c>
      <c r="E31" s="217" t="str">
        <f>IFERROR('7a'!E31/'5k'!$B31*1000,"na")</f>
        <v>na</v>
      </c>
      <c r="F31" s="216" t="str">
        <f>IFERROR('7a'!F31/'5k'!$C31*1000,"na")</f>
        <v>na</v>
      </c>
      <c r="G31" s="143" t="str">
        <f>IFERROR('7a'!G31/'5k'!$C31*1000,"na")</f>
        <v>na</v>
      </c>
      <c r="H31" s="143" t="str">
        <f>IFERROR('7a'!H31/'5k'!$C31*1000,"na")</f>
        <v>na</v>
      </c>
      <c r="I31" s="217" t="str">
        <f>IFERROR('7a'!I31/'5k'!$C31*1000,"na")</f>
        <v>na</v>
      </c>
      <c r="J31" s="216" t="str">
        <f>IFERROR('7a'!J31/'5k'!$D31*1000,"na")</f>
        <v>na</v>
      </c>
      <c r="K31" s="143" t="str">
        <f>IFERROR('7a'!K31/'5k'!$D31*1000,"na")</f>
        <v>na</v>
      </c>
      <c r="L31" s="143" t="str">
        <f>IFERROR('7a'!L31/'5k'!$D31*1000,"na")</f>
        <v>na</v>
      </c>
      <c r="M31" s="217" t="str">
        <f>IFERROR('7a'!M31/'5k'!$D31*1000,"na")</f>
        <v>na</v>
      </c>
    </row>
    <row r="32" spans="1:13">
      <c r="A32" s="185">
        <v>2007</v>
      </c>
      <c r="B32" s="216">
        <f>IFERROR('7a'!B32/'5k'!$B32*1000,"na")</f>
        <v>0.37218660759802047</v>
      </c>
      <c r="C32" s="143">
        <f>IFERROR('7a'!C32/'5k'!$B32*1000,"na")</f>
        <v>1.0680627799858344</v>
      </c>
      <c r="D32" s="143">
        <f>IFERROR('7a'!D32/'5k'!$B32*1000,"na")</f>
        <v>21.269900705124446</v>
      </c>
      <c r="E32" s="217">
        <f>IFERROR('7a'!E32/'5k'!$B32*1000,"na")</f>
        <v>22.7101500927083</v>
      </c>
      <c r="F32" s="216" t="str">
        <f>IFERROR('7a'!F32/'5k'!$C32*1000,"na")</f>
        <v>na</v>
      </c>
      <c r="G32" s="143" t="str">
        <f>IFERROR('7a'!G32/'5k'!$C32*1000,"na")</f>
        <v>na</v>
      </c>
      <c r="H32" s="143" t="str">
        <f>IFERROR('7a'!H32/'5k'!$C32*1000,"na")</f>
        <v>na</v>
      </c>
      <c r="I32" s="217" t="str">
        <f>IFERROR('7a'!I32/'5k'!$C32*1000,"na")</f>
        <v>na</v>
      </c>
      <c r="J32" s="216">
        <f>IFERROR('7a'!J32/'5k'!$D32*1000,"na")</f>
        <v>0.80190311657140312</v>
      </c>
      <c r="K32" s="143">
        <f>IFERROR('7a'!K32/'5k'!$D32*1000,"na")</f>
        <v>2.3363138877032226</v>
      </c>
      <c r="L32" s="143">
        <f>IFERROR('7a'!L32/'5k'!$D32*1000,"na")</f>
        <v>2.6736529391455193</v>
      </c>
      <c r="M32" s="217">
        <f>IFERROR('7a'!M32/'5k'!$D32*1000,"na")</f>
        <v>5.8118699434201453</v>
      </c>
    </row>
    <row r="33" spans="1:13">
      <c r="A33" s="185">
        <v>2008</v>
      </c>
      <c r="B33" s="216">
        <f>IFERROR('7a'!B33/'5k'!$B33*1000,"na")</f>
        <v>0.40783611117659541</v>
      </c>
      <c r="C33" s="143">
        <f>IFERROR('7a'!C33/'5k'!$B33*1000,"na")</f>
        <v>1.0997430396756169</v>
      </c>
      <c r="D33" s="143">
        <f>IFERROR('7a'!D33/'5k'!$B33*1000,"na")</f>
        <v>20.596902331502392</v>
      </c>
      <c r="E33" s="217">
        <f>IFERROR('7a'!E33/'5k'!$B33*1000,"na")</f>
        <v>22.104481482354608</v>
      </c>
      <c r="F33" s="216" t="str">
        <f>IFERROR('7a'!F33/'5k'!$C33*1000,"na")</f>
        <v>na</v>
      </c>
      <c r="G33" s="143" t="str">
        <f>IFERROR('7a'!G33/'5k'!$C33*1000,"na")</f>
        <v>na</v>
      </c>
      <c r="H33" s="143" t="str">
        <f>IFERROR('7a'!H33/'5k'!$C33*1000,"na")</f>
        <v>na</v>
      </c>
      <c r="I33" s="217" t="str">
        <f>IFERROR('7a'!I33/'5k'!$C33*1000,"na")</f>
        <v>na</v>
      </c>
      <c r="J33" s="216">
        <f>IFERROR('7a'!J33/'5k'!$D33*1000,"na")</f>
        <v>0.82791935942350325</v>
      </c>
      <c r="K33" s="143">
        <f>IFERROR('7a'!K33/'5k'!$D33*1000,"na")</f>
        <v>2.5081804782535038</v>
      </c>
      <c r="L33" s="143">
        <f>IFERROR('7a'!L33/'5k'!$D33*1000,"na")</f>
        <v>2.7553351660814052</v>
      </c>
      <c r="M33" s="217">
        <f>IFERROR('7a'!M33/'5k'!$D33*1000,"na")</f>
        <v>6.091435003758412</v>
      </c>
    </row>
    <row r="34" spans="1:13">
      <c r="A34" s="57">
        <f>A33+1</f>
        <v>2009</v>
      </c>
      <c r="B34" s="216">
        <f>IFERROR('7a'!B34/'5k'!$B34*1000,"na")</f>
        <v>0.4091653027823241</v>
      </c>
      <c r="C34" s="143">
        <f>IFERROR('7a'!C34/'5k'!$B34*1000,"na")</f>
        <v>1.0558703406145689</v>
      </c>
      <c r="D34" s="143">
        <f>IFERROR('7a'!D34/'5k'!$B34*1000,"na")</f>
        <v>19.419806087981733</v>
      </c>
      <c r="E34" s="217">
        <f>IFERROR('7a'!E34/'5k'!$B34*1000,"na")</f>
        <v>20.884841731378625</v>
      </c>
      <c r="F34" s="216" t="str">
        <f>IFERROR('7a'!F34/'5k'!$C34*1000,"na")</f>
        <v>na</v>
      </c>
      <c r="G34" s="143" t="str">
        <f>IFERROR('7a'!G34/'5k'!$C34*1000,"na")</f>
        <v>na</v>
      </c>
      <c r="H34" s="143" t="str">
        <f>IFERROR('7a'!H34/'5k'!$C34*1000,"na")</f>
        <v>na</v>
      </c>
      <c r="I34" s="217" t="str">
        <f>IFERROR('7a'!I34/'5k'!$C34*1000,"na")</f>
        <v>na</v>
      </c>
      <c r="J34" s="216">
        <f>IFERROR('7a'!J34/'5k'!$D34*1000,"na")</f>
        <v>0.8675946240819371</v>
      </c>
      <c r="K34" s="143">
        <f>IFERROR('7a'!K34/'5k'!$D34*1000,"na")</f>
        <v>2.7431916978822599</v>
      </c>
      <c r="L34" s="143">
        <f>IFERROR('7a'!L34/'5k'!$D34*1000,"na")</f>
        <v>2.8794082451415015</v>
      </c>
      <c r="M34" s="217">
        <f>IFERROR('7a'!M34/'5k'!$D34*1000,"na")</f>
        <v>6.4901945671056991</v>
      </c>
    </row>
    <row r="35" spans="1:13">
      <c r="A35" s="58">
        <f t="shared" ref="A35" si="0">A34+1</f>
        <v>2010</v>
      </c>
      <c r="B35" s="234">
        <f>IFERROR('7a'!B35/'5k'!$B35*1000,"na")</f>
        <v>0.41385820198177597</v>
      </c>
      <c r="C35" s="215">
        <f>IFERROR('7a'!C35/'5k'!$B35*1000,"na")</f>
        <v>0.94985793635358906</v>
      </c>
      <c r="D35" s="215">
        <f>IFERROR('7a'!D35/'5k'!$B35*1000,"na")</f>
        <v>15.79301872204382</v>
      </c>
      <c r="E35" s="235">
        <f>IFERROR('7a'!E35/'5k'!$B35*1000,"na")</f>
        <v>17.156734860379185</v>
      </c>
      <c r="F35" s="234" t="str">
        <f>IFERROR('7a'!F35/'5k'!$C35*1000,"na")</f>
        <v>na</v>
      </c>
      <c r="G35" s="215" t="str">
        <f>IFERROR('7a'!G35/'5k'!$C35*1000,"na")</f>
        <v>na</v>
      </c>
      <c r="H35" s="215" t="str">
        <f>IFERROR('7a'!H35/'5k'!$C35*1000,"na")</f>
        <v>na</v>
      </c>
      <c r="I35" s="235" t="str">
        <f>IFERROR('7a'!I35/'5k'!$C35*1000,"na")</f>
        <v>na</v>
      </c>
      <c r="J35" s="234">
        <f>IFERROR('7a'!J35/'5k'!$D35*1000,"na")</f>
        <v>0.94908817889506469</v>
      </c>
      <c r="K35" s="215">
        <f>IFERROR('7a'!K35/'5k'!$D35*1000,"na")</f>
        <v>2.7999939577695576</v>
      </c>
      <c r="L35" s="215">
        <f>IFERROR('7a'!L35/'5k'!$D35*1000,"na")</f>
        <v>2.6912716262635925</v>
      </c>
      <c r="M35" s="235">
        <f>IFERROR('7a'!M35/'5k'!$D35*1000,"na")</f>
        <v>6.4403537629282148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IFERROR((POWER(B14/B5,1/($A14-$A5))-1)*100, "na")</f>
        <v>na</v>
      </c>
      <c r="C38" s="83" t="str">
        <f t="shared" ref="C38:M38" si="1">IFERROR((POWER(C14/C5,1/($A14-$A5))-1)*100, "na")</f>
        <v>na</v>
      </c>
      <c r="D38" s="83" t="str">
        <f t="shared" si="1"/>
        <v>na</v>
      </c>
      <c r="E38" s="84" t="str">
        <f t="shared" si="1"/>
        <v>na</v>
      </c>
      <c r="F38" s="82" t="str">
        <f t="shared" si="1"/>
        <v>na</v>
      </c>
      <c r="G38" s="83" t="str">
        <f t="shared" si="1"/>
        <v>na</v>
      </c>
      <c r="H38" s="83" t="str">
        <f t="shared" si="1"/>
        <v>na</v>
      </c>
      <c r="I38" s="84" t="str">
        <f t="shared" si="1"/>
        <v>na</v>
      </c>
      <c r="J38" s="82" t="str">
        <f t="shared" si="1"/>
        <v>na</v>
      </c>
      <c r="K38" s="83" t="str">
        <f t="shared" si="1"/>
        <v>na</v>
      </c>
      <c r="L38" s="83" t="str">
        <f t="shared" si="1"/>
        <v>na</v>
      </c>
      <c r="M38" s="84" t="str">
        <f t="shared" si="1"/>
        <v>na</v>
      </c>
    </row>
    <row r="39" spans="1:13">
      <c r="A39" s="28" t="s">
        <v>71</v>
      </c>
      <c r="B39" s="37" t="str">
        <f>IFERROR((POWER(B$24/B14,1/($A$24-$A$14))-1)*100,"na")</f>
        <v>na</v>
      </c>
      <c r="C39" s="86" t="str">
        <f t="shared" ref="C39:M39" si="2">IFERROR((POWER(C$24/C14,1/($A$24-$A$14))-1)*100,"na")</f>
        <v>na</v>
      </c>
      <c r="D39" s="86" t="str">
        <f t="shared" si="2"/>
        <v>na</v>
      </c>
      <c r="E39" s="87" t="str">
        <f t="shared" si="2"/>
        <v>na</v>
      </c>
      <c r="F39" s="85" t="str">
        <f t="shared" si="2"/>
        <v>na</v>
      </c>
      <c r="G39" s="86" t="str">
        <f t="shared" si="2"/>
        <v>na</v>
      </c>
      <c r="H39" s="86" t="str">
        <f t="shared" si="2"/>
        <v>na</v>
      </c>
      <c r="I39" s="87" t="str">
        <f t="shared" si="2"/>
        <v>na</v>
      </c>
      <c r="J39" s="85" t="str">
        <f t="shared" si="2"/>
        <v>na</v>
      </c>
      <c r="K39" s="86" t="str">
        <f t="shared" si="2"/>
        <v>na</v>
      </c>
      <c r="L39" s="86" t="str">
        <f t="shared" si="2"/>
        <v>na</v>
      </c>
      <c r="M39" s="87" t="str">
        <f t="shared" si="2"/>
        <v>na</v>
      </c>
    </row>
    <row r="40" spans="1:13">
      <c r="A40" s="28" t="s">
        <v>69</v>
      </c>
      <c r="B40" s="37" t="str">
        <f>IFERROR((POWER(B$35/B25,1/($A$35-$A$25))-1)*100,"na")</f>
        <v>na</v>
      </c>
      <c r="C40" s="86" t="str">
        <f t="shared" ref="C40:M40" si="3">IFERROR((POWER(C$35/C25,1/($A$35-$A$25))-1)*100,"na")</f>
        <v>na</v>
      </c>
      <c r="D40" s="86" t="str">
        <f t="shared" si="3"/>
        <v>na</v>
      </c>
      <c r="E40" s="87" t="str">
        <f>IFERROR((POWER(E$35/E25,1/($A$35-$A$25))-1)*100,"na")</f>
        <v>na</v>
      </c>
      <c r="F40" s="85" t="str">
        <f t="shared" si="3"/>
        <v>na</v>
      </c>
      <c r="G40" s="86" t="str">
        <f t="shared" si="3"/>
        <v>na</v>
      </c>
      <c r="H40" s="86" t="str">
        <f t="shared" si="3"/>
        <v>na</v>
      </c>
      <c r="I40" s="87" t="str">
        <f t="shared" si="3"/>
        <v>na</v>
      </c>
      <c r="J40" s="85" t="str">
        <f t="shared" si="3"/>
        <v>na</v>
      </c>
      <c r="K40" s="86" t="str">
        <f t="shared" si="3"/>
        <v>na</v>
      </c>
      <c r="L40" s="86" t="str">
        <f t="shared" si="3"/>
        <v>na</v>
      </c>
      <c r="M40" s="87" t="str">
        <f t="shared" si="3"/>
        <v>na</v>
      </c>
    </row>
    <row r="41" spans="1:13">
      <c r="A41" s="29" t="s">
        <v>70</v>
      </c>
      <c r="B41" s="39" t="str">
        <f>IFERROR((POWER(B35/B5,1/($A$35-$A$5))-1)*100, "na")</f>
        <v>na</v>
      </c>
      <c r="C41" s="89" t="str">
        <f t="shared" ref="C41:M41" si="4">IFERROR((POWER(C35/C5,1/($A$35-$A$5))-1)*100, "na")</f>
        <v>na</v>
      </c>
      <c r="D41" s="89" t="str">
        <f t="shared" si="4"/>
        <v>na</v>
      </c>
      <c r="E41" s="90" t="str">
        <f t="shared" si="4"/>
        <v>na</v>
      </c>
      <c r="F41" s="88" t="str">
        <f t="shared" si="4"/>
        <v>na</v>
      </c>
      <c r="G41" s="89" t="str">
        <f t="shared" si="4"/>
        <v>na</v>
      </c>
      <c r="H41" s="89" t="str">
        <f t="shared" si="4"/>
        <v>na</v>
      </c>
      <c r="I41" s="90" t="str">
        <f t="shared" si="4"/>
        <v>na</v>
      </c>
      <c r="J41" s="88" t="str">
        <f t="shared" si="4"/>
        <v>na</v>
      </c>
      <c r="K41" s="89" t="str">
        <f t="shared" si="4"/>
        <v>na</v>
      </c>
      <c r="L41" s="89" t="str">
        <f t="shared" si="4"/>
        <v>na</v>
      </c>
      <c r="M41" s="90" t="str">
        <f t="shared" si="4"/>
        <v>na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 t="s">
        <v>233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4" orientation="landscape" horizontalDpi="0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83"/>
  <dimension ref="A1:M37"/>
  <sheetViews>
    <sheetView zoomScaleNormal="100" workbookViewId="0">
      <selection activeCell="B15" sqref="B15"/>
    </sheetView>
  </sheetViews>
  <sheetFormatPr defaultRowHeight="15"/>
  <cols>
    <col min="2" max="2" width="12.42578125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0.28515625" customWidth="1"/>
    <col min="12" max="12" width="19" customWidth="1"/>
  </cols>
  <sheetData>
    <row r="1" spans="1:13">
      <c r="A1" s="387" t="s">
        <v>256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82" t="str">
        <f>IFERROR('7j'!B6/'7j'!J6*100, "na")</f>
        <v>na</v>
      </c>
      <c r="C6" s="83" t="str">
        <f>IFERROR('7j'!C6/'7j'!K6*100, "na")</f>
        <v>na</v>
      </c>
      <c r="D6" s="83" t="str">
        <f>IFERROR('7j'!D6/'7j'!L6*100, "na")</f>
        <v>na</v>
      </c>
      <c r="E6" s="84" t="str">
        <f>IFERROR('7j'!E6/'7j'!M6*100, "na")</f>
        <v>na</v>
      </c>
      <c r="F6" s="236" t="str">
        <f>IFERROR('7j'!F6/'7j'!J6*100, "na")</f>
        <v>na</v>
      </c>
      <c r="G6" s="214" t="str">
        <f>IFERROR('7j'!G6/'7j'!K6*100, "na")</f>
        <v>na</v>
      </c>
      <c r="H6" s="214" t="str">
        <f>IFERROR('7j'!H6/'7j'!L6*100, "na")</f>
        <v>na</v>
      </c>
      <c r="I6" s="237" t="str">
        <f>IFERROR('7j'!I6/'7j'!M6*100, "na")</f>
        <v>na</v>
      </c>
      <c r="J6" s="82" t="str">
        <f>IFERROR('7j'!J6/'7j'!J6*100, "na")</f>
        <v>na</v>
      </c>
      <c r="K6" s="83" t="str">
        <f>IFERROR('7j'!K6/'7j'!K6*100, "na")</f>
        <v>na</v>
      </c>
      <c r="L6" s="83" t="str">
        <f>IFERROR('7j'!L6/'7j'!L6*100, "na")</f>
        <v>na</v>
      </c>
      <c r="M6" s="84" t="str">
        <f>IFERROR('7j'!M6/'7j'!M6*100, "na")</f>
        <v>na</v>
      </c>
    </row>
    <row r="7" spans="1:13">
      <c r="A7" s="185">
        <v>1982</v>
      </c>
      <c r="B7" s="85" t="str">
        <f>IFERROR('7j'!B7/'7j'!J7*100, "na")</f>
        <v>na</v>
      </c>
      <c r="C7" s="86" t="str">
        <f>IFERROR('7j'!C7/'7j'!K7*100, "na")</f>
        <v>na</v>
      </c>
      <c r="D7" s="86" t="str">
        <f>IFERROR('7j'!D7/'7j'!L7*100, "na")</f>
        <v>na</v>
      </c>
      <c r="E7" s="87" t="str">
        <f>IFERROR('7j'!E7/'7j'!M7*100, "na")</f>
        <v>na</v>
      </c>
      <c r="F7" s="216" t="str">
        <f>IFERROR('7j'!F7/'7j'!J7*100, "na")</f>
        <v>na</v>
      </c>
      <c r="G7" s="143" t="str">
        <f>IFERROR('7j'!G7/'7j'!K7*100, "na")</f>
        <v>na</v>
      </c>
      <c r="H7" s="143" t="str">
        <f>IFERROR('7j'!H7/'7j'!L7*100, "na")</f>
        <v>na</v>
      </c>
      <c r="I7" s="217" t="str">
        <f>IFERROR('7j'!I7/'7j'!M7*100, "na")</f>
        <v>na</v>
      </c>
      <c r="J7" s="85" t="str">
        <f>IFERROR('7j'!J7/'7j'!J7*100, "na")</f>
        <v>na</v>
      </c>
      <c r="K7" s="86" t="str">
        <f>IFERROR('7j'!K7/'7j'!K7*100, "na")</f>
        <v>na</v>
      </c>
      <c r="L7" s="86" t="str">
        <f>IFERROR('7j'!L7/'7j'!L7*100, "na")</f>
        <v>na</v>
      </c>
      <c r="M7" s="87" t="str">
        <f>IFERROR('7j'!M7/'7j'!M7*100, "na")</f>
        <v>na</v>
      </c>
    </row>
    <row r="8" spans="1:13">
      <c r="A8" s="185">
        <v>1983</v>
      </c>
      <c r="B8" s="85" t="str">
        <f>IFERROR('7j'!B8/'7j'!J8*100, "na")</f>
        <v>na</v>
      </c>
      <c r="C8" s="86" t="str">
        <f>IFERROR('7j'!C8/'7j'!K8*100, "na")</f>
        <v>na</v>
      </c>
      <c r="D8" s="86" t="str">
        <f>IFERROR('7j'!D8/'7j'!L8*100, "na")</f>
        <v>na</v>
      </c>
      <c r="E8" s="87" t="str">
        <f>IFERROR('7j'!E8/'7j'!M8*100, "na")</f>
        <v>na</v>
      </c>
      <c r="F8" s="216" t="str">
        <f>IFERROR('7j'!F8/'7j'!J8*100, "na")</f>
        <v>na</v>
      </c>
      <c r="G8" s="143" t="str">
        <f>IFERROR('7j'!G8/'7j'!K8*100, "na")</f>
        <v>na</v>
      </c>
      <c r="H8" s="143" t="str">
        <f>IFERROR('7j'!H8/'7j'!L8*100, "na")</f>
        <v>na</v>
      </c>
      <c r="I8" s="217" t="str">
        <f>IFERROR('7j'!I8/'7j'!M8*100, "na")</f>
        <v>na</v>
      </c>
      <c r="J8" s="85" t="str">
        <f>IFERROR('7j'!J8/'7j'!J8*100, "na")</f>
        <v>na</v>
      </c>
      <c r="K8" s="86" t="str">
        <f>IFERROR('7j'!K8/'7j'!K8*100, "na")</f>
        <v>na</v>
      </c>
      <c r="L8" s="86" t="str">
        <f>IFERROR('7j'!L8/'7j'!L8*100, "na")</f>
        <v>na</v>
      </c>
      <c r="M8" s="87" t="str">
        <f>IFERROR('7j'!M8/'7j'!M8*100, "na")</f>
        <v>na</v>
      </c>
    </row>
    <row r="9" spans="1:13">
      <c r="A9" s="185">
        <v>1984</v>
      </c>
      <c r="B9" s="85" t="str">
        <f>IFERROR('7j'!B9/'7j'!J9*100, "na")</f>
        <v>na</v>
      </c>
      <c r="C9" s="86" t="str">
        <f>IFERROR('7j'!C9/'7j'!K9*100, "na")</f>
        <v>na</v>
      </c>
      <c r="D9" s="86" t="str">
        <f>IFERROR('7j'!D9/'7j'!L9*100, "na")</f>
        <v>na</v>
      </c>
      <c r="E9" s="87" t="str">
        <f>IFERROR('7j'!E9/'7j'!M9*100, "na")</f>
        <v>na</v>
      </c>
      <c r="F9" s="216" t="str">
        <f>IFERROR('7j'!F9/'7j'!J9*100, "na")</f>
        <v>na</v>
      </c>
      <c r="G9" s="143" t="str">
        <f>IFERROR('7j'!G9/'7j'!K9*100, "na")</f>
        <v>na</v>
      </c>
      <c r="H9" s="143" t="str">
        <f>IFERROR('7j'!H9/'7j'!L9*100, "na")</f>
        <v>na</v>
      </c>
      <c r="I9" s="217" t="str">
        <f>IFERROR('7j'!I9/'7j'!M9*100, "na")</f>
        <v>na</v>
      </c>
      <c r="J9" s="85" t="str">
        <f>IFERROR('7j'!J9/'7j'!J9*100, "na")</f>
        <v>na</v>
      </c>
      <c r="K9" s="86" t="str">
        <f>IFERROR('7j'!K9/'7j'!K9*100, "na")</f>
        <v>na</v>
      </c>
      <c r="L9" s="86" t="str">
        <f>IFERROR('7j'!L9/'7j'!L9*100, "na")</f>
        <v>na</v>
      </c>
      <c r="M9" s="87" t="str">
        <f>IFERROR('7j'!M9/'7j'!M9*100, "na")</f>
        <v>na</v>
      </c>
    </row>
    <row r="10" spans="1:13">
      <c r="A10" s="185">
        <v>1985</v>
      </c>
      <c r="B10" s="85" t="str">
        <f>IFERROR('7j'!B10/'7j'!J10*100, "na")</f>
        <v>na</v>
      </c>
      <c r="C10" s="86" t="str">
        <f>IFERROR('7j'!C10/'7j'!K10*100, "na")</f>
        <v>na</v>
      </c>
      <c r="D10" s="86" t="str">
        <f>IFERROR('7j'!D10/'7j'!L10*100, "na")</f>
        <v>na</v>
      </c>
      <c r="E10" s="87" t="str">
        <f>IFERROR('7j'!E10/'7j'!M10*100, "na")</f>
        <v>na</v>
      </c>
      <c r="F10" s="216" t="str">
        <f>IFERROR('7j'!F10/'7j'!J10*100, "na")</f>
        <v>na</v>
      </c>
      <c r="G10" s="143" t="str">
        <f>IFERROR('7j'!G10/'7j'!K10*100, "na")</f>
        <v>na</v>
      </c>
      <c r="H10" s="143" t="str">
        <f>IFERROR('7j'!H10/'7j'!L10*100, "na")</f>
        <v>na</v>
      </c>
      <c r="I10" s="217" t="str">
        <f>IFERROR('7j'!I10/'7j'!M10*100, "na")</f>
        <v>na</v>
      </c>
      <c r="J10" s="85" t="str">
        <f>IFERROR('7j'!J10/'7j'!J10*100, "na")</f>
        <v>na</v>
      </c>
      <c r="K10" s="86" t="str">
        <f>IFERROR('7j'!K10/'7j'!K10*100, "na")</f>
        <v>na</v>
      </c>
      <c r="L10" s="86" t="str">
        <f>IFERROR('7j'!L10/'7j'!L10*100, "na")</f>
        <v>na</v>
      </c>
      <c r="M10" s="87" t="str">
        <f>IFERROR('7j'!M10/'7j'!M10*100, "na")</f>
        <v>na</v>
      </c>
    </row>
    <row r="11" spans="1:13">
      <c r="A11" s="185">
        <v>1986</v>
      </c>
      <c r="B11" s="85" t="str">
        <f>IFERROR('7j'!B11/'7j'!J11*100, "na")</f>
        <v>na</v>
      </c>
      <c r="C11" s="86" t="str">
        <f>IFERROR('7j'!C11/'7j'!K11*100, "na")</f>
        <v>na</v>
      </c>
      <c r="D11" s="86" t="str">
        <f>IFERROR('7j'!D11/'7j'!L11*100, "na")</f>
        <v>na</v>
      </c>
      <c r="E11" s="87" t="str">
        <f>IFERROR('7j'!E11/'7j'!M11*100, "na")</f>
        <v>na</v>
      </c>
      <c r="F11" s="216" t="str">
        <f>IFERROR('7j'!F11/'7j'!J11*100, "na")</f>
        <v>na</v>
      </c>
      <c r="G11" s="143" t="str">
        <f>IFERROR('7j'!G11/'7j'!K11*100, "na")</f>
        <v>na</v>
      </c>
      <c r="H11" s="143" t="str">
        <f>IFERROR('7j'!H11/'7j'!L11*100, "na")</f>
        <v>na</v>
      </c>
      <c r="I11" s="217" t="str">
        <f>IFERROR('7j'!I11/'7j'!M11*100, "na")</f>
        <v>na</v>
      </c>
      <c r="J11" s="85" t="str">
        <f>IFERROR('7j'!J11/'7j'!J11*100, "na")</f>
        <v>na</v>
      </c>
      <c r="K11" s="86" t="str">
        <f>IFERROR('7j'!K11/'7j'!K11*100, "na")</f>
        <v>na</v>
      </c>
      <c r="L11" s="86" t="str">
        <f>IFERROR('7j'!L11/'7j'!L11*100, "na")</f>
        <v>na</v>
      </c>
      <c r="M11" s="87" t="str">
        <f>IFERROR('7j'!M11/'7j'!M11*100, "na")</f>
        <v>na</v>
      </c>
    </row>
    <row r="12" spans="1:13">
      <c r="A12" s="185">
        <v>1987</v>
      </c>
      <c r="B12" s="85" t="str">
        <f>IFERROR('7j'!B12/'7j'!J12*100, "na")</f>
        <v>na</v>
      </c>
      <c r="C12" s="86" t="str">
        <f>IFERROR('7j'!C12/'7j'!K12*100, "na")</f>
        <v>na</v>
      </c>
      <c r="D12" s="86" t="str">
        <f>IFERROR('7j'!D12/'7j'!L12*100, "na")</f>
        <v>na</v>
      </c>
      <c r="E12" s="87" t="str">
        <f>IFERROR('7j'!E12/'7j'!M12*100, "na")</f>
        <v>na</v>
      </c>
      <c r="F12" s="216" t="str">
        <f>IFERROR('7j'!F12/'7j'!J12*100, "na")</f>
        <v>na</v>
      </c>
      <c r="G12" s="143" t="str">
        <f>IFERROR('7j'!G12/'7j'!K12*100, "na")</f>
        <v>na</v>
      </c>
      <c r="H12" s="143" t="str">
        <f>IFERROR('7j'!H12/'7j'!L12*100, "na")</f>
        <v>na</v>
      </c>
      <c r="I12" s="217" t="str">
        <f>IFERROR('7j'!I12/'7j'!M12*100, "na")</f>
        <v>na</v>
      </c>
      <c r="J12" s="85" t="str">
        <f>IFERROR('7j'!J12/'7j'!J12*100, "na")</f>
        <v>na</v>
      </c>
      <c r="K12" s="86" t="str">
        <f>IFERROR('7j'!K12/'7j'!K12*100, "na")</f>
        <v>na</v>
      </c>
      <c r="L12" s="86" t="str">
        <f>IFERROR('7j'!L12/'7j'!L12*100, "na")</f>
        <v>na</v>
      </c>
      <c r="M12" s="87" t="str">
        <f>IFERROR('7j'!M12/'7j'!M12*100, "na")</f>
        <v>na</v>
      </c>
    </row>
    <row r="13" spans="1:13">
      <c r="A13" s="185">
        <v>1988</v>
      </c>
      <c r="B13" s="85" t="str">
        <f>IFERROR('7j'!B13/'7j'!J13*100, "na")</f>
        <v>na</v>
      </c>
      <c r="C13" s="86" t="str">
        <f>IFERROR('7j'!C13/'7j'!K13*100, "na")</f>
        <v>na</v>
      </c>
      <c r="D13" s="86" t="str">
        <f>IFERROR('7j'!D13/'7j'!L13*100, "na")</f>
        <v>na</v>
      </c>
      <c r="E13" s="87" t="str">
        <f>IFERROR('7j'!E13/'7j'!M13*100, "na")</f>
        <v>na</v>
      </c>
      <c r="F13" s="216" t="str">
        <f>IFERROR('7j'!F13/'7j'!J13*100, "na")</f>
        <v>na</v>
      </c>
      <c r="G13" s="143" t="str">
        <f>IFERROR('7j'!G13/'7j'!K13*100, "na")</f>
        <v>na</v>
      </c>
      <c r="H13" s="143" t="str">
        <f>IFERROR('7j'!H13/'7j'!L13*100, "na")</f>
        <v>na</v>
      </c>
      <c r="I13" s="217" t="str">
        <f>IFERROR('7j'!I13/'7j'!M13*100, "na")</f>
        <v>na</v>
      </c>
      <c r="J13" s="85" t="str">
        <f>IFERROR('7j'!J13/'7j'!J13*100, "na")</f>
        <v>na</v>
      </c>
      <c r="K13" s="86" t="str">
        <f>IFERROR('7j'!K13/'7j'!K13*100, "na")</f>
        <v>na</v>
      </c>
      <c r="L13" s="86" t="str">
        <f>IFERROR('7j'!L13/'7j'!L13*100, "na")</f>
        <v>na</v>
      </c>
      <c r="M13" s="87" t="str">
        <f>IFERROR('7j'!M13/'7j'!M13*100, "na")</f>
        <v>na</v>
      </c>
    </row>
    <row r="14" spans="1:13">
      <c r="A14" s="185">
        <v>1989</v>
      </c>
      <c r="B14" s="85" t="str">
        <f>IFERROR('7j'!B14/'7j'!J14*100, "na")</f>
        <v>na</v>
      </c>
      <c r="C14" s="86" t="str">
        <f>IFERROR('7j'!C14/'7j'!K14*100, "na")</f>
        <v>na</v>
      </c>
      <c r="D14" s="86" t="str">
        <f>IFERROR('7j'!D14/'7j'!L14*100, "na")</f>
        <v>na</v>
      </c>
      <c r="E14" s="87" t="str">
        <f>IFERROR('7j'!E14/'7j'!M14*100, "na")</f>
        <v>na</v>
      </c>
      <c r="F14" s="216" t="str">
        <f>IFERROR('7j'!F14/'7j'!J14*100, "na")</f>
        <v>na</v>
      </c>
      <c r="G14" s="143" t="str">
        <f>IFERROR('7j'!G14/'7j'!K14*100, "na")</f>
        <v>na</v>
      </c>
      <c r="H14" s="143" t="str">
        <f>IFERROR('7j'!H14/'7j'!L14*100, "na")</f>
        <v>na</v>
      </c>
      <c r="I14" s="217" t="str">
        <f>IFERROR('7j'!I14/'7j'!M14*100, "na")</f>
        <v>na</v>
      </c>
      <c r="J14" s="85" t="str">
        <f>IFERROR('7j'!J14/'7j'!J14*100, "na")</f>
        <v>na</v>
      </c>
      <c r="K14" s="86" t="str">
        <f>IFERROR('7j'!K14/'7j'!K14*100, "na")</f>
        <v>na</v>
      </c>
      <c r="L14" s="86" t="str">
        <f>IFERROR('7j'!L14/'7j'!L14*100, "na")</f>
        <v>na</v>
      </c>
      <c r="M14" s="87" t="str">
        <f>IFERROR('7j'!M14/'7j'!M14*100, "na")</f>
        <v>na</v>
      </c>
    </row>
    <row r="15" spans="1:13">
      <c r="A15" s="185">
        <v>1990</v>
      </c>
      <c r="B15" s="85" t="str">
        <f>IFERROR('7j'!B15/'7j'!J15*100, "na")</f>
        <v>na</v>
      </c>
      <c r="C15" s="86" t="str">
        <f>IFERROR('7j'!C15/'7j'!K15*100, "na")</f>
        <v>na</v>
      </c>
      <c r="D15" s="86" t="str">
        <f>IFERROR('7j'!D15/'7j'!L15*100, "na")</f>
        <v>na</v>
      </c>
      <c r="E15" s="87" t="str">
        <f>IFERROR('7j'!E15/'7j'!M15*100, "na")</f>
        <v>na</v>
      </c>
      <c r="F15" s="216" t="str">
        <f>IFERROR('7j'!F15/'7j'!J15*100, "na")</f>
        <v>na</v>
      </c>
      <c r="G15" s="143" t="str">
        <f>IFERROR('7j'!G15/'7j'!K15*100, "na")</f>
        <v>na</v>
      </c>
      <c r="H15" s="143" t="str">
        <f>IFERROR('7j'!H15/'7j'!L15*100, "na")</f>
        <v>na</v>
      </c>
      <c r="I15" s="217" t="str">
        <f>IFERROR('7j'!I15/'7j'!M15*100, "na")</f>
        <v>na</v>
      </c>
      <c r="J15" s="85" t="str">
        <f>IFERROR('7j'!J15/'7j'!J15*100, "na")</f>
        <v>na</v>
      </c>
      <c r="K15" s="86" t="str">
        <f>IFERROR('7j'!K15/'7j'!K15*100, "na")</f>
        <v>na</v>
      </c>
      <c r="L15" s="86" t="str">
        <f>IFERROR('7j'!L15/'7j'!L15*100, "na")</f>
        <v>na</v>
      </c>
      <c r="M15" s="87" t="str">
        <f>IFERROR('7j'!M15/'7j'!M15*100, "na")</f>
        <v>na</v>
      </c>
    </row>
    <row r="16" spans="1:13">
      <c r="A16" s="185">
        <v>1991</v>
      </c>
      <c r="B16" s="85" t="str">
        <f>IFERROR('7j'!B16/'7j'!J16*100, "na")</f>
        <v>na</v>
      </c>
      <c r="C16" s="86" t="str">
        <f>IFERROR('7j'!C16/'7j'!K16*100, "na")</f>
        <v>na</v>
      </c>
      <c r="D16" s="86" t="str">
        <f>IFERROR('7j'!D16/'7j'!L16*100, "na")</f>
        <v>na</v>
      </c>
      <c r="E16" s="87" t="str">
        <f>IFERROR('7j'!E16/'7j'!M16*100, "na")</f>
        <v>na</v>
      </c>
      <c r="F16" s="216" t="str">
        <f>IFERROR('7j'!F16/'7j'!J16*100, "na")</f>
        <v>na</v>
      </c>
      <c r="G16" s="143" t="str">
        <f>IFERROR('7j'!G16/'7j'!K16*100, "na")</f>
        <v>na</v>
      </c>
      <c r="H16" s="143" t="str">
        <f>IFERROR('7j'!H16/'7j'!L16*100, "na")</f>
        <v>na</v>
      </c>
      <c r="I16" s="217" t="str">
        <f>IFERROR('7j'!I16/'7j'!M16*100, "na")</f>
        <v>na</v>
      </c>
      <c r="J16" s="85" t="str">
        <f>IFERROR('7j'!J16/'7j'!J16*100, "na")</f>
        <v>na</v>
      </c>
      <c r="K16" s="86" t="str">
        <f>IFERROR('7j'!K16/'7j'!K16*100, "na")</f>
        <v>na</v>
      </c>
      <c r="L16" s="86" t="str">
        <f>IFERROR('7j'!L16/'7j'!L16*100, "na")</f>
        <v>na</v>
      </c>
      <c r="M16" s="87" t="str">
        <f>IFERROR('7j'!M16/'7j'!M16*100, "na")</f>
        <v>na</v>
      </c>
    </row>
    <row r="17" spans="1:13">
      <c r="A17" s="185">
        <v>1992</v>
      </c>
      <c r="B17" s="85" t="str">
        <f>IFERROR('7j'!B17/'7j'!J17*100, "na")</f>
        <v>na</v>
      </c>
      <c r="C17" s="86" t="str">
        <f>IFERROR('7j'!C17/'7j'!K17*100, "na")</f>
        <v>na</v>
      </c>
      <c r="D17" s="86" t="str">
        <f>IFERROR('7j'!D17/'7j'!L17*100, "na")</f>
        <v>na</v>
      </c>
      <c r="E17" s="87" t="str">
        <f>IFERROR('7j'!E17/'7j'!M17*100, "na")</f>
        <v>na</v>
      </c>
      <c r="F17" s="216" t="str">
        <f>IFERROR('7j'!F17/'7j'!J17*100, "na")</f>
        <v>na</v>
      </c>
      <c r="G17" s="143" t="str">
        <f>IFERROR('7j'!G17/'7j'!K17*100, "na")</f>
        <v>na</v>
      </c>
      <c r="H17" s="143" t="str">
        <f>IFERROR('7j'!H17/'7j'!L17*100, "na")</f>
        <v>na</v>
      </c>
      <c r="I17" s="217" t="str">
        <f>IFERROR('7j'!I17/'7j'!M17*100, "na")</f>
        <v>na</v>
      </c>
      <c r="J17" s="85" t="str">
        <f>IFERROR('7j'!J17/'7j'!J17*100, "na")</f>
        <v>na</v>
      </c>
      <c r="K17" s="86" t="str">
        <f>IFERROR('7j'!K17/'7j'!K17*100, "na")</f>
        <v>na</v>
      </c>
      <c r="L17" s="86" t="str">
        <f>IFERROR('7j'!L17/'7j'!L17*100, "na")</f>
        <v>na</v>
      </c>
      <c r="M17" s="87" t="str">
        <f>IFERROR('7j'!M17/'7j'!M17*100, "na")</f>
        <v>na</v>
      </c>
    </row>
    <row r="18" spans="1:13">
      <c r="A18" s="185">
        <v>1993</v>
      </c>
      <c r="B18" s="85" t="str">
        <f>IFERROR('7j'!B18/'7j'!J18*100, "na")</f>
        <v>na</v>
      </c>
      <c r="C18" s="86" t="str">
        <f>IFERROR('7j'!C18/'7j'!K18*100, "na")</f>
        <v>na</v>
      </c>
      <c r="D18" s="86" t="str">
        <f>IFERROR('7j'!D18/'7j'!L18*100, "na")</f>
        <v>na</v>
      </c>
      <c r="E18" s="87" t="str">
        <f>IFERROR('7j'!E18/'7j'!M18*100, "na")</f>
        <v>na</v>
      </c>
      <c r="F18" s="216" t="str">
        <f>IFERROR('7j'!F18/'7j'!J18*100, "na")</f>
        <v>na</v>
      </c>
      <c r="G18" s="143" t="str">
        <f>IFERROR('7j'!G18/'7j'!K18*100, "na")</f>
        <v>na</v>
      </c>
      <c r="H18" s="143" t="str">
        <f>IFERROR('7j'!H18/'7j'!L18*100, "na")</f>
        <v>na</v>
      </c>
      <c r="I18" s="217" t="str">
        <f>IFERROR('7j'!I18/'7j'!M18*100, "na")</f>
        <v>na</v>
      </c>
      <c r="J18" s="85" t="str">
        <f>IFERROR('7j'!J18/'7j'!J18*100, "na")</f>
        <v>na</v>
      </c>
      <c r="K18" s="86" t="str">
        <f>IFERROR('7j'!K18/'7j'!K18*100, "na")</f>
        <v>na</v>
      </c>
      <c r="L18" s="86" t="str">
        <f>IFERROR('7j'!L18/'7j'!L18*100, "na")</f>
        <v>na</v>
      </c>
      <c r="M18" s="87" t="str">
        <f>IFERROR('7j'!M18/'7j'!M18*100, "na")</f>
        <v>na</v>
      </c>
    </row>
    <row r="19" spans="1:13">
      <c r="A19" s="185">
        <v>1994</v>
      </c>
      <c r="B19" s="85" t="str">
        <f>IFERROR('7j'!B19/'7j'!J19*100, "na")</f>
        <v>na</v>
      </c>
      <c r="C19" s="86" t="str">
        <f>IFERROR('7j'!C19/'7j'!K19*100, "na")</f>
        <v>na</v>
      </c>
      <c r="D19" s="86" t="str">
        <f>IFERROR('7j'!D19/'7j'!L19*100, "na")</f>
        <v>na</v>
      </c>
      <c r="E19" s="87" t="str">
        <f>IFERROR('7j'!E19/'7j'!M19*100, "na")</f>
        <v>na</v>
      </c>
      <c r="F19" s="216" t="str">
        <f>IFERROR('7j'!F19/'7j'!J19*100, "na")</f>
        <v>na</v>
      </c>
      <c r="G19" s="143" t="str">
        <f>IFERROR('7j'!G19/'7j'!K19*100, "na")</f>
        <v>na</v>
      </c>
      <c r="H19" s="143" t="str">
        <f>IFERROR('7j'!H19/'7j'!L19*100, "na")</f>
        <v>na</v>
      </c>
      <c r="I19" s="217" t="str">
        <f>IFERROR('7j'!I19/'7j'!M19*100, "na")</f>
        <v>na</v>
      </c>
      <c r="J19" s="85" t="str">
        <f>IFERROR('7j'!J19/'7j'!J19*100, "na")</f>
        <v>na</v>
      </c>
      <c r="K19" s="86" t="str">
        <f>IFERROR('7j'!K19/'7j'!K19*100, "na")</f>
        <v>na</v>
      </c>
      <c r="L19" s="86" t="str">
        <f>IFERROR('7j'!L19/'7j'!L19*100, "na")</f>
        <v>na</v>
      </c>
      <c r="M19" s="87" t="str">
        <f>IFERROR('7j'!M19/'7j'!M19*100, "na")</f>
        <v>na</v>
      </c>
    </row>
    <row r="20" spans="1:13">
      <c r="A20" s="185">
        <v>1995</v>
      </c>
      <c r="B20" s="85" t="str">
        <f>IFERROR('7j'!B20/'7j'!J20*100, "na")</f>
        <v>na</v>
      </c>
      <c r="C20" s="86" t="str">
        <f>IFERROR('7j'!C20/'7j'!K20*100, "na")</f>
        <v>na</v>
      </c>
      <c r="D20" s="86" t="str">
        <f>IFERROR('7j'!D20/'7j'!L20*100, "na")</f>
        <v>na</v>
      </c>
      <c r="E20" s="87" t="str">
        <f>IFERROR('7j'!E20/'7j'!M20*100, "na")</f>
        <v>na</v>
      </c>
      <c r="F20" s="216" t="str">
        <f>IFERROR('7j'!F20/'7j'!J20*100, "na")</f>
        <v>na</v>
      </c>
      <c r="G20" s="143" t="str">
        <f>IFERROR('7j'!G20/'7j'!K20*100, "na")</f>
        <v>na</v>
      </c>
      <c r="H20" s="143" t="str">
        <f>IFERROR('7j'!H20/'7j'!L20*100, "na")</f>
        <v>na</v>
      </c>
      <c r="I20" s="217" t="str">
        <f>IFERROR('7j'!I20/'7j'!M20*100, "na")</f>
        <v>na</v>
      </c>
      <c r="J20" s="85" t="str">
        <f>IFERROR('7j'!J20/'7j'!J20*100, "na")</f>
        <v>na</v>
      </c>
      <c r="K20" s="86" t="str">
        <f>IFERROR('7j'!K20/'7j'!K20*100, "na")</f>
        <v>na</v>
      </c>
      <c r="L20" s="86" t="str">
        <f>IFERROR('7j'!L20/'7j'!L20*100, "na")</f>
        <v>na</v>
      </c>
      <c r="M20" s="87" t="str">
        <f>IFERROR('7j'!M20/'7j'!M20*100, "na")</f>
        <v>na</v>
      </c>
    </row>
    <row r="21" spans="1:13">
      <c r="A21" s="185">
        <v>1996</v>
      </c>
      <c r="B21" s="85" t="str">
        <f>IFERROR('7j'!B21/'7j'!J21*100, "na")</f>
        <v>na</v>
      </c>
      <c r="C21" s="86" t="str">
        <f>IFERROR('7j'!C21/'7j'!K21*100, "na")</f>
        <v>na</v>
      </c>
      <c r="D21" s="86" t="str">
        <f>IFERROR('7j'!D21/'7j'!L21*100, "na")</f>
        <v>na</v>
      </c>
      <c r="E21" s="87" t="str">
        <f>IFERROR('7j'!E21/'7j'!M21*100, "na")</f>
        <v>na</v>
      </c>
      <c r="F21" s="216" t="str">
        <f>IFERROR('7j'!F21/'7j'!J21*100, "na")</f>
        <v>na</v>
      </c>
      <c r="G21" s="143" t="str">
        <f>IFERROR('7j'!G21/'7j'!K21*100, "na")</f>
        <v>na</v>
      </c>
      <c r="H21" s="143" t="str">
        <f>IFERROR('7j'!H21/'7j'!L21*100, "na")</f>
        <v>na</v>
      </c>
      <c r="I21" s="217" t="str">
        <f>IFERROR('7j'!I21/'7j'!M21*100, "na")</f>
        <v>na</v>
      </c>
      <c r="J21" s="85" t="str">
        <f>IFERROR('7j'!J21/'7j'!J21*100, "na")</f>
        <v>na</v>
      </c>
      <c r="K21" s="86" t="str">
        <f>IFERROR('7j'!K21/'7j'!K21*100, "na")</f>
        <v>na</v>
      </c>
      <c r="L21" s="86" t="str">
        <f>IFERROR('7j'!L21/'7j'!L21*100, "na")</f>
        <v>na</v>
      </c>
      <c r="M21" s="87" t="str">
        <f>IFERROR('7j'!M21/'7j'!M21*100, "na")</f>
        <v>na</v>
      </c>
    </row>
    <row r="22" spans="1:13">
      <c r="A22" s="185">
        <v>1997</v>
      </c>
      <c r="B22" s="85" t="str">
        <f>IFERROR('7j'!B22/'7j'!J22*100, "na")</f>
        <v>na</v>
      </c>
      <c r="C22" s="86" t="str">
        <f>IFERROR('7j'!C22/'7j'!K22*100, "na")</f>
        <v>na</v>
      </c>
      <c r="D22" s="86" t="str">
        <f>IFERROR('7j'!D22/'7j'!L22*100, "na")</f>
        <v>na</v>
      </c>
      <c r="E22" s="87" t="str">
        <f>IFERROR('7j'!E22/'7j'!M22*100, "na")</f>
        <v>na</v>
      </c>
      <c r="F22" s="216" t="str">
        <f>IFERROR('7j'!F22/'7j'!J22*100, "na")</f>
        <v>na</v>
      </c>
      <c r="G22" s="143" t="str">
        <f>IFERROR('7j'!G22/'7j'!K22*100, "na")</f>
        <v>na</v>
      </c>
      <c r="H22" s="143" t="str">
        <f>IFERROR('7j'!H22/'7j'!L22*100, "na")</f>
        <v>na</v>
      </c>
      <c r="I22" s="217" t="str">
        <f>IFERROR('7j'!I22/'7j'!M22*100, "na")</f>
        <v>na</v>
      </c>
      <c r="J22" s="85" t="str">
        <f>IFERROR('7j'!J22/'7j'!J22*100, "na")</f>
        <v>na</v>
      </c>
      <c r="K22" s="86" t="str">
        <f>IFERROR('7j'!K22/'7j'!K22*100, "na")</f>
        <v>na</v>
      </c>
      <c r="L22" s="86" t="str">
        <f>IFERROR('7j'!L22/'7j'!L22*100, "na")</f>
        <v>na</v>
      </c>
      <c r="M22" s="87" t="str">
        <f>IFERROR('7j'!M22/'7j'!M22*100, "na")</f>
        <v>na</v>
      </c>
    </row>
    <row r="23" spans="1:13">
      <c r="A23" s="185">
        <v>1998</v>
      </c>
      <c r="B23" s="85" t="str">
        <f>IFERROR('7j'!B23/'7j'!J23*100, "na")</f>
        <v>na</v>
      </c>
      <c r="C23" s="86" t="str">
        <f>IFERROR('7j'!C23/'7j'!K23*100, "na")</f>
        <v>na</v>
      </c>
      <c r="D23" s="86" t="str">
        <f>IFERROR('7j'!D23/'7j'!L23*100, "na")</f>
        <v>na</v>
      </c>
      <c r="E23" s="87" t="str">
        <f>IFERROR('7j'!E23/'7j'!M23*100, "na")</f>
        <v>na</v>
      </c>
      <c r="F23" s="216" t="str">
        <f>IFERROR('7j'!F23/'7j'!J23*100, "na")</f>
        <v>na</v>
      </c>
      <c r="G23" s="143" t="str">
        <f>IFERROR('7j'!G23/'7j'!K23*100, "na")</f>
        <v>na</v>
      </c>
      <c r="H23" s="143" t="str">
        <f>IFERROR('7j'!H23/'7j'!L23*100, "na")</f>
        <v>na</v>
      </c>
      <c r="I23" s="217" t="str">
        <f>IFERROR('7j'!I23/'7j'!M23*100, "na")</f>
        <v>na</v>
      </c>
      <c r="J23" s="85" t="str">
        <f>IFERROR('7j'!J23/'7j'!J23*100, "na")</f>
        <v>na</v>
      </c>
      <c r="K23" s="86" t="str">
        <f>IFERROR('7j'!K23/'7j'!K23*100, "na")</f>
        <v>na</v>
      </c>
      <c r="L23" s="86" t="str">
        <f>IFERROR('7j'!L23/'7j'!L23*100, "na")</f>
        <v>na</v>
      </c>
      <c r="M23" s="87" t="str">
        <f>IFERROR('7j'!M23/'7j'!M23*100, "na")</f>
        <v>na</v>
      </c>
    </row>
    <row r="24" spans="1:13">
      <c r="A24" s="185">
        <v>1999</v>
      </c>
      <c r="B24" s="85" t="str">
        <f>IFERROR('7j'!B24/'7j'!J24*100, "na")</f>
        <v>na</v>
      </c>
      <c r="C24" s="86" t="str">
        <f>IFERROR('7j'!C24/'7j'!K24*100, "na")</f>
        <v>na</v>
      </c>
      <c r="D24" s="86" t="str">
        <f>IFERROR('7j'!D24/'7j'!L24*100, "na")</f>
        <v>na</v>
      </c>
      <c r="E24" s="87" t="str">
        <f>IFERROR('7j'!E24/'7j'!M24*100, "na")</f>
        <v>na</v>
      </c>
      <c r="F24" s="216" t="str">
        <f>IFERROR('7j'!F24/'7j'!J24*100, "na")</f>
        <v>na</v>
      </c>
      <c r="G24" s="143" t="str">
        <f>IFERROR('7j'!G24/'7j'!K24*100, "na")</f>
        <v>na</v>
      </c>
      <c r="H24" s="143" t="str">
        <f>IFERROR('7j'!H24/'7j'!L24*100, "na")</f>
        <v>na</v>
      </c>
      <c r="I24" s="217" t="str">
        <f>IFERROR('7j'!I24/'7j'!M24*100, "na")</f>
        <v>na</v>
      </c>
      <c r="J24" s="85" t="str">
        <f>IFERROR('7j'!J24/'7j'!J24*100, "na")</f>
        <v>na</v>
      </c>
      <c r="K24" s="86" t="str">
        <f>IFERROR('7j'!K24/'7j'!K24*100, "na")</f>
        <v>na</v>
      </c>
      <c r="L24" s="86" t="str">
        <f>IFERROR('7j'!L24/'7j'!L24*100, "na")</f>
        <v>na</v>
      </c>
      <c r="M24" s="87" t="str">
        <f>IFERROR('7j'!M24/'7j'!M24*100, "na")</f>
        <v>na</v>
      </c>
    </row>
    <row r="25" spans="1:13">
      <c r="A25" s="185">
        <v>2000</v>
      </c>
      <c r="B25" s="85" t="str">
        <f>IFERROR('7j'!B25/'7j'!J25*100, "na")</f>
        <v>na</v>
      </c>
      <c r="C25" s="86" t="str">
        <f>IFERROR('7j'!C25/'7j'!K25*100, "na")</f>
        <v>na</v>
      </c>
      <c r="D25" s="86" t="str">
        <f>IFERROR('7j'!D25/'7j'!L25*100, "na")</f>
        <v>na</v>
      </c>
      <c r="E25" s="87" t="str">
        <f>IFERROR('7j'!E25/'7j'!M25*100, "na")</f>
        <v>na</v>
      </c>
      <c r="F25" s="216" t="str">
        <f>IFERROR('7j'!F25/'7j'!J25*100, "na")</f>
        <v>na</v>
      </c>
      <c r="G25" s="143" t="str">
        <f>IFERROR('7j'!G25/'7j'!K25*100, "na")</f>
        <v>na</v>
      </c>
      <c r="H25" s="143" t="str">
        <f>IFERROR('7j'!H25/'7j'!L25*100, "na")</f>
        <v>na</v>
      </c>
      <c r="I25" s="217" t="str">
        <f>IFERROR('7j'!I25/'7j'!M25*100, "na")</f>
        <v>na</v>
      </c>
      <c r="J25" s="85" t="str">
        <f>IFERROR('7j'!J25/'7j'!J25*100, "na")</f>
        <v>na</v>
      </c>
      <c r="K25" s="86" t="str">
        <f>IFERROR('7j'!K25/'7j'!K25*100, "na")</f>
        <v>na</v>
      </c>
      <c r="L25" s="86" t="str">
        <f>IFERROR('7j'!L25/'7j'!L25*100, "na")</f>
        <v>na</v>
      </c>
      <c r="M25" s="87" t="str">
        <f>IFERROR('7j'!M25/'7j'!M25*100, "na")</f>
        <v>na</v>
      </c>
    </row>
    <row r="26" spans="1:13">
      <c r="A26" s="185">
        <v>2001</v>
      </c>
      <c r="B26" s="85" t="str">
        <f>IFERROR('7j'!B26/'7j'!J26*100, "na")</f>
        <v>na</v>
      </c>
      <c r="C26" s="86" t="str">
        <f>IFERROR('7j'!C26/'7j'!K26*100, "na")</f>
        <v>na</v>
      </c>
      <c r="D26" s="86" t="str">
        <f>IFERROR('7j'!D26/'7j'!L26*100, "na")</f>
        <v>na</v>
      </c>
      <c r="E26" s="87" t="str">
        <f>IFERROR('7j'!E26/'7j'!M26*100, "na")</f>
        <v>na</v>
      </c>
      <c r="F26" s="216" t="str">
        <f>IFERROR('7j'!F26/'7j'!J26*100, "na")</f>
        <v>na</v>
      </c>
      <c r="G26" s="143" t="str">
        <f>IFERROR('7j'!G26/'7j'!K26*100, "na")</f>
        <v>na</v>
      </c>
      <c r="H26" s="143" t="str">
        <f>IFERROR('7j'!H26/'7j'!L26*100, "na")</f>
        <v>na</v>
      </c>
      <c r="I26" s="217" t="str">
        <f>IFERROR('7j'!I26/'7j'!M26*100, "na")</f>
        <v>na</v>
      </c>
      <c r="J26" s="85" t="str">
        <f>IFERROR('7j'!J26/'7j'!J26*100, "na")</f>
        <v>na</v>
      </c>
      <c r="K26" s="86" t="str">
        <f>IFERROR('7j'!K26/'7j'!K26*100, "na")</f>
        <v>na</v>
      </c>
      <c r="L26" s="86" t="str">
        <f>IFERROR('7j'!L26/'7j'!L26*100, "na")</f>
        <v>na</v>
      </c>
      <c r="M26" s="87" t="str">
        <f>IFERROR('7j'!M26/'7j'!M26*100, "na")</f>
        <v>na</v>
      </c>
    </row>
    <row r="27" spans="1:13">
      <c r="A27" s="185">
        <v>2002</v>
      </c>
      <c r="B27" s="85" t="str">
        <f>IFERROR('7j'!B27/'7j'!J27*100, "na")</f>
        <v>na</v>
      </c>
      <c r="C27" s="86" t="str">
        <f>IFERROR('7j'!C27/'7j'!K27*100, "na")</f>
        <v>na</v>
      </c>
      <c r="D27" s="86" t="str">
        <f>IFERROR('7j'!D27/'7j'!L27*100, "na")</f>
        <v>na</v>
      </c>
      <c r="E27" s="87" t="str">
        <f>IFERROR('7j'!E27/'7j'!M27*100, "na")</f>
        <v>na</v>
      </c>
      <c r="F27" s="216" t="str">
        <f>IFERROR('7j'!F27/'7j'!J27*100, "na")</f>
        <v>na</v>
      </c>
      <c r="G27" s="143" t="str">
        <f>IFERROR('7j'!G27/'7j'!K27*100, "na")</f>
        <v>na</v>
      </c>
      <c r="H27" s="143" t="str">
        <f>IFERROR('7j'!H27/'7j'!L27*100, "na")</f>
        <v>na</v>
      </c>
      <c r="I27" s="217" t="str">
        <f>IFERROR('7j'!I27/'7j'!M27*100, "na")</f>
        <v>na</v>
      </c>
      <c r="J27" s="85" t="str">
        <f>IFERROR('7j'!J27/'7j'!J27*100, "na")</f>
        <v>na</v>
      </c>
      <c r="K27" s="86" t="str">
        <f>IFERROR('7j'!K27/'7j'!K27*100, "na")</f>
        <v>na</v>
      </c>
      <c r="L27" s="86" t="str">
        <f>IFERROR('7j'!L27/'7j'!L27*100, "na")</f>
        <v>na</v>
      </c>
      <c r="M27" s="87" t="str">
        <f>IFERROR('7j'!M27/'7j'!M27*100, "na")</f>
        <v>na</v>
      </c>
    </row>
    <row r="28" spans="1:13">
      <c r="A28" s="185">
        <v>2003</v>
      </c>
      <c r="B28" s="85" t="str">
        <f>IFERROR('7j'!B28/'7j'!J28*100, "na")</f>
        <v>na</v>
      </c>
      <c r="C28" s="86" t="str">
        <f>IFERROR('7j'!C28/'7j'!K28*100, "na")</f>
        <v>na</v>
      </c>
      <c r="D28" s="86" t="str">
        <f>IFERROR('7j'!D28/'7j'!L28*100, "na")</f>
        <v>na</v>
      </c>
      <c r="E28" s="87" t="str">
        <f>IFERROR('7j'!E28/'7j'!M28*100, "na")</f>
        <v>na</v>
      </c>
      <c r="F28" s="216" t="str">
        <f>IFERROR('7j'!F28/'7j'!J28*100, "na")</f>
        <v>na</v>
      </c>
      <c r="G28" s="143" t="str">
        <f>IFERROR('7j'!G28/'7j'!K28*100, "na")</f>
        <v>na</v>
      </c>
      <c r="H28" s="143" t="str">
        <f>IFERROR('7j'!H28/'7j'!L28*100, "na")</f>
        <v>na</v>
      </c>
      <c r="I28" s="217" t="str">
        <f>IFERROR('7j'!I28/'7j'!M28*100, "na")</f>
        <v>na</v>
      </c>
      <c r="J28" s="85" t="str">
        <f>IFERROR('7j'!J28/'7j'!J28*100, "na")</f>
        <v>na</v>
      </c>
      <c r="K28" s="86" t="str">
        <f>IFERROR('7j'!K28/'7j'!K28*100, "na")</f>
        <v>na</v>
      </c>
      <c r="L28" s="86" t="str">
        <f>IFERROR('7j'!L28/'7j'!L28*100, "na")</f>
        <v>na</v>
      </c>
      <c r="M28" s="87" t="str">
        <f>IFERROR('7j'!M28/'7j'!M28*100, "na")</f>
        <v>na</v>
      </c>
    </row>
    <row r="29" spans="1:13">
      <c r="A29" s="185">
        <v>2004</v>
      </c>
      <c r="B29" s="85" t="str">
        <f>IFERROR('7j'!B29/'7j'!J29*100, "na")</f>
        <v>na</v>
      </c>
      <c r="C29" s="86" t="str">
        <f>IFERROR('7j'!C29/'7j'!K29*100, "na")</f>
        <v>na</v>
      </c>
      <c r="D29" s="86" t="str">
        <f>IFERROR('7j'!D29/'7j'!L29*100, "na")</f>
        <v>na</v>
      </c>
      <c r="E29" s="87" t="str">
        <f>IFERROR('7j'!E29/'7j'!M29*100, "na")</f>
        <v>na</v>
      </c>
      <c r="F29" s="216" t="str">
        <f>IFERROR('7j'!F29/'7j'!J29*100, "na")</f>
        <v>na</v>
      </c>
      <c r="G29" s="143" t="str">
        <f>IFERROR('7j'!G29/'7j'!K29*100, "na")</f>
        <v>na</v>
      </c>
      <c r="H29" s="143" t="str">
        <f>IFERROR('7j'!H29/'7j'!L29*100, "na")</f>
        <v>na</v>
      </c>
      <c r="I29" s="217" t="str">
        <f>IFERROR('7j'!I29/'7j'!M29*100, "na")</f>
        <v>na</v>
      </c>
      <c r="J29" s="85" t="str">
        <f>IFERROR('7j'!J29/'7j'!J29*100, "na")</f>
        <v>na</v>
      </c>
      <c r="K29" s="86" t="str">
        <f>IFERROR('7j'!K29/'7j'!K29*100, "na")</f>
        <v>na</v>
      </c>
      <c r="L29" s="86" t="str">
        <f>IFERROR('7j'!L29/'7j'!L29*100, "na")</f>
        <v>na</v>
      </c>
      <c r="M29" s="87" t="str">
        <f>IFERROR('7j'!M29/'7j'!M29*100, "na")</f>
        <v>na</v>
      </c>
    </row>
    <row r="30" spans="1:13">
      <c r="A30" s="185">
        <v>2005</v>
      </c>
      <c r="B30" s="85" t="str">
        <f>IFERROR('7j'!B30/'7j'!J30*100, "na")</f>
        <v>na</v>
      </c>
      <c r="C30" s="86" t="str">
        <f>IFERROR('7j'!C30/'7j'!K30*100, "na")</f>
        <v>na</v>
      </c>
      <c r="D30" s="86" t="str">
        <f>IFERROR('7j'!D30/'7j'!L30*100, "na")</f>
        <v>na</v>
      </c>
      <c r="E30" s="87" t="str">
        <f>IFERROR('7j'!E30/'7j'!M30*100, "na")</f>
        <v>na</v>
      </c>
      <c r="F30" s="216" t="str">
        <f>IFERROR('7j'!F30/'7j'!J30*100, "na")</f>
        <v>na</v>
      </c>
      <c r="G30" s="143" t="str">
        <f>IFERROR('7j'!G30/'7j'!K30*100, "na")</f>
        <v>na</v>
      </c>
      <c r="H30" s="143" t="str">
        <f>IFERROR('7j'!H30/'7j'!L30*100, "na")</f>
        <v>na</v>
      </c>
      <c r="I30" s="217" t="str">
        <f>IFERROR('7j'!I30/'7j'!M30*100, "na")</f>
        <v>na</v>
      </c>
      <c r="J30" s="85" t="str">
        <f>IFERROR('7j'!J30/'7j'!J30*100, "na")</f>
        <v>na</v>
      </c>
      <c r="K30" s="86" t="str">
        <f>IFERROR('7j'!K30/'7j'!K30*100, "na")</f>
        <v>na</v>
      </c>
      <c r="L30" s="86" t="str">
        <f>IFERROR('7j'!L30/'7j'!L30*100, "na")</f>
        <v>na</v>
      </c>
      <c r="M30" s="87" t="str">
        <f>IFERROR('7j'!M30/'7j'!M30*100, "na")</f>
        <v>na</v>
      </c>
    </row>
    <row r="31" spans="1:13">
      <c r="A31" s="185">
        <v>2006</v>
      </c>
      <c r="B31" s="85" t="str">
        <f>IFERROR('7j'!B31/'7j'!J31*100, "na")</f>
        <v>na</v>
      </c>
      <c r="C31" s="86" t="str">
        <f>IFERROR('7j'!C31/'7j'!K31*100, "na")</f>
        <v>na</v>
      </c>
      <c r="D31" s="86" t="str">
        <f>IFERROR('7j'!D31/'7j'!L31*100, "na")</f>
        <v>na</v>
      </c>
      <c r="E31" s="87" t="str">
        <f>IFERROR('7j'!E31/'7j'!M31*100, "na")</f>
        <v>na</v>
      </c>
      <c r="F31" s="216" t="str">
        <f>IFERROR('7j'!F31/'7j'!J31*100, "na")</f>
        <v>na</v>
      </c>
      <c r="G31" s="143" t="str">
        <f>IFERROR('7j'!G31/'7j'!K31*100, "na")</f>
        <v>na</v>
      </c>
      <c r="H31" s="143" t="str">
        <f>IFERROR('7j'!H31/'7j'!L31*100, "na")</f>
        <v>na</v>
      </c>
      <c r="I31" s="217" t="str">
        <f>IFERROR('7j'!I31/'7j'!M31*100, "na")</f>
        <v>na</v>
      </c>
      <c r="J31" s="85" t="str">
        <f>IFERROR('7j'!J31/'7j'!J31*100, "na")</f>
        <v>na</v>
      </c>
      <c r="K31" s="86" t="str">
        <f>IFERROR('7j'!K31/'7j'!K31*100, "na")</f>
        <v>na</v>
      </c>
      <c r="L31" s="86" t="str">
        <f>IFERROR('7j'!L31/'7j'!L31*100, "na")</f>
        <v>na</v>
      </c>
      <c r="M31" s="87" t="str">
        <f>IFERROR('7j'!M31/'7j'!M31*100, "na")</f>
        <v>na</v>
      </c>
    </row>
    <row r="32" spans="1:13">
      <c r="A32" s="185">
        <v>2007</v>
      </c>
      <c r="B32" s="85">
        <f>IFERROR('7j'!B32/'7j'!J32*100, "na")</f>
        <v>46.412914466442309</v>
      </c>
      <c r="C32" s="86">
        <f>IFERROR('7j'!C32/'7j'!K32*100, "na")</f>
        <v>45.715722771986897</v>
      </c>
      <c r="D32" s="86">
        <f>IFERROR('7j'!D32/'7j'!L32*100, "na")</f>
        <v>795.53708687119865</v>
      </c>
      <c r="E32" s="87">
        <f>IFERROR('7j'!E32/'7j'!M32*100, "na")</f>
        <v>390.75461622157229</v>
      </c>
      <c r="F32" s="216" t="str">
        <f>IFERROR('7j'!F32/'7j'!J32*100, "na")</f>
        <v>na</v>
      </c>
      <c r="G32" s="143" t="str">
        <f>IFERROR('7j'!G32/'7j'!K32*100, "na")</f>
        <v>na</v>
      </c>
      <c r="H32" s="143" t="str">
        <f>IFERROR('7j'!H32/'7j'!L32*100, "na")</f>
        <v>na</v>
      </c>
      <c r="I32" s="217" t="str">
        <f>IFERROR('7j'!I32/'7j'!M32*100, "na")</f>
        <v>na</v>
      </c>
      <c r="J32" s="85">
        <f>IFERROR('7j'!J32/'7j'!J32*100, "na")</f>
        <v>100</v>
      </c>
      <c r="K32" s="86">
        <f>IFERROR('7j'!K32/'7j'!K32*100, "na")</f>
        <v>100</v>
      </c>
      <c r="L32" s="86">
        <f>IFERROR('7j'!L32/'7j'!L32*100, "na")</f>
        <v>100</v>
      </c>
      <c r="M32" s="87">
        <f>IFERROR('7j'!M32/'7j'!M32*100, "na")</f>
        <v>100</v>
      </c>
    </row>
    <row r="33" spans="1:13">
      <c r="A33" s="185">
        <v>2008</v>
      </c>
      <c r="B33" s="85">
        <f>IFERROR('7j'!B33/'7j'!J33*100, "na")</f>
        <v>49.260366548329031</v>
      </c>
      <c r="C33" s="86">
        <f>IFERROR('7j'!C33/'7j'!K33*100, "na")</f>
        <v>43.846248274820724</v>
      </c>
      <c r="D33" s="86">
        <f>IFERROR('7j'!D33/'7j'!L33*100, "na")</f>
        <v>747.52801710127289</v>
      </c>
      <c r="E33" s="87">
        <f>IFERROR('7j'!E33/'7j'!M33*100, "na")</f>
        <v>362.87806516389247</v>
      </c>
      <c r="F33" s="216" t="str">
        <f>IFERROR('7j'!F33/'7j'!J33*100, "na")</f>
        <v>na</v>
      </c>
      <c r="G33" s="143" t="str">
        <f>IFERROR('7j'!G33/'7j'!K33*100, "na")</f>
        <v>na</v>
      </c>
      <c r="H33" s="143" t="str">
        <f>IFERROR('7j'!H33/'7j'!L33*100, "na")</f>
        <v>na</v>
      </c>
      <c r="I33" s="217" t="str">
        <f>IFERROR('7j'!I33/'7j'!M33*100, "na")</f>
        <v>na</v>
      </c>
      <c r="J33" s="85">
        <f>IFERROR('7j'!J33/'7j'!J33*100, "na")</f>
        <v>100</v>
      </c>
      <c r="K33" s="86">
        <f>IFERROR('7j'!K33/'7j'!K33*100, "na")</f>
        <v>100</v>
      </c>
      <c r="L33" s="86">
        <f>IFERROR('7j'!L33/'7j'!L33*100, "na")</f>
        <v>100</v>
      </c>
      <c r="M33" s="87">
        <f>IFERROR('7j'!M33/'7j'!M33*100, "na")</f>
        <v>100</v>
      </c>
    </row>
    <row r="34" spans="1:13">
      <c r="A34" s="57">
        <f>A33+1</f>
        <v>2009</v>
      </c>
      <c r="B34" s="85">
        <f>IFERROR('7j'!B34/'7j'!J34*100, "na")</f>
        <v>47.160884983040404</v>
      </c>
      <c r="C34" s="86">
        <f>IFERROR('7j'!C34/'7j'!K34*100, "na")</f>
        <v>38.490578016465243</v>
      </c>
      <c r="D34" s="86">
        <f>IFERROR('7j'!D34/'7j'!L34*100, "na")</f>
        <v>674.43739944654476</v>
      </c>
      <c r="E34" s="87">
        <f>IFERROR('7j'!E34/'7j'!M34*100, "na")</f>
        <v>321.79068771265224</v>
      </c>
      <c r="F34" s="216" t="str">
        <f>IFERROR('7j'!F34/'7j'!J34*100, "na")</f>
        <v>na</v>
      </c>
      <c r="G34" s="143" t="str">
        <f>IFERROR('7j'!G34/'7j'!K34*100, "na")</f>
        <v>na</v>
      </c>
      <c r="H34" s="143" t="str">
        <f>IFERROR('7j'!H34/'7j'!L34*100, "na")</f>
        <v>na</v>
      </c>
      <c r="I34" s="217" t="str">
        <f>IFERROR('7j'!I34/'7j'!M34*100, "na")</f>
        <v>na</v>
      </c>
      <c r="J34" s="85">
        <f>IFERROR('7j'!J34/'7j'!J34*100, "na")</f>
        <v>100</v>
      </c>
      <c r="K34" s="86">
        <f>IFERROR('7j'!K34/'7j'!K34*100, "na")</f>
        <v>100</v>
      </c>
      <c r="L34" s="86">
        <f>IFERROR('7j'!L34/'7j'!L34*100, "na")</f>
        <v>100</v>
      </c>
      <c r="M34" s="87">
        <f>IFERROR('7j'!M34/'7j'!M34*100, "na")</f>
        <v>100</v>
      </c>
    </row>
    <row r="35" spans="1:13">
      <c r="A35" s="58">
        <f t="shared" ref="A35" si="0">A34+1</f>
        <v>2010</v>
      </c>
      <c r="B35" s="88">
        <f>IFERROR('7j'!B35/'7j'!J35*100, "na")</f>
        <v>43.605874689493305</v>
      </c>
      <c r="C35" s="89">
        <f>IFERROR('7j'!C35/'7j'!K35*100, "na")</f>
        <v>33.923570931925681</v>
      </c>
      <c r="D35" s="89">
        <f>IFERROR('7j'!D35/'7j'!L35*100, "na")</f>
        <v>586.82366238780378</v>
      </c>
      <c r="E35" s="90">
        <f>IFERROR('7j'!E35/'7j'!M35*100, "na")</f>
        <v>266.39429279702472</v>
      </c>
      <c r="F35" s="234" t="str">
        <f>IFERROR('7j'!F35/'7j'!J35*100, "na")</f>
        <v>na</v>
      </c>
      <c r="G35" s="215" t="str">
        <f>IFERROR('7j'!G35/'7j'!K35*100, "na")</f>
        <v>na</v>
      </c>
      <c r="H35" s="215" t="str">
        <f>IFERROR('7j'!H35/'7j'!L35*100, "na")</f>
        <v>na</v>
      </c>
      <c r="I35" s="235" t="str">
        <f>IFERROR('7j'!I35/'7j'!M35*100, "na")</f>
        <v>na</v>
      </c>
      <c r="J35" s="88">
        <f>IFERROR('7j'!J35/'7j'!J35*100, "na")</f>
        <v>100</v>
      </c>
      <c r="K35" s="89">
        <f>IFERROR('7j'!K35/'7j'!K35*100, "na")</f>
        <v>100</v>
      </c>
      <c r="L35" s="89">
        <f>IFERROR('7j'!L35/'7j'!L35*100, "na")</f>
        <v>100</v>
      </c>
      <c r="M35" s="90">
        <f>IFERROR('7j'!M35/'7j'!M35*100,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234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4" orientation="landscape" horizontalDpi="0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84"/>
  <dimension ref="A1:O46"/>
  <sheetViews>
    <sheetView zoomScaleNormal="100" workbookViewId="0">
      <selection activeCell="B15" sqref="B15"/>
    </sheetView>
  </sheetViews>
  <sheetFormatPr defaultRowHeight="15"/>
  <cols>
    <col min="1" max="1" width="15" style="1" customWidth="1"/>
    <col min="2" max="2" width="15.85546875" style="1" customWidth="1"/>
    <col min="3" max="3" width="11" style="1" bestFit="1" customWidth="1"/>
    <col min="4" max="5" width="19.42578125" style="1" customWidth="1"/>
    <col min="6" max="6" width="12.85546875" style="1" customWidth="1"/>
    <col min="7" max="7" width="10.7109375" style="1" bestFit="1" customWidth="1"/>
    <col min="8" max="9" width="21.42578125" style="1" customWidth="1"/>
    <col min="10" max="11" width="13.28515625" style="1" bestFit="1" customWidth="1"/>
    <col min="12" max="12" width="20" style="1" customWidth="1"/>
    <col min="13" max="13" width="14.42578125" style="1" bestFit="1" customWidth="1"/>
    <col min="14" max="16384" width="9.140625" style="1"/>
  </cols>
  <sheetData>
    <row r="1" spans="1:14">
      <c r="A1" s="387" t="s">
        <v>198</v>
      </c>
      <c r="B1" s="387"/>
      <c r="C1" s="387"/>
      <c r="D1" s="387"/>
      <c r="E1" s="387"/>
      <c r="F1" s="387"/>
      <c r="G1" s="387"/>
      <c r="H1" s="387"/>
      <c r="I1" s="222"/>
    </row>
    <row r="2" spans="1:14">
      <c r="A2" s="387"/>
      <c r="B2" s="387"/>
      <c r="C2" s="387"/>
      <c r="D2" s="387"/>
      <c r="E2" s="387"/>
      <c r="F2" s="387"/>
      <c r="G2" s="387"/>
      <c r="H2" s="387"/>
      <c r="I2" s="222"/>
    </row>
    <row r="3" spans="1:14">
      <c r="A3" s="42"/>
      <c r="B3" s="42"/>
      <c r="C3" s="42"/>
      <c r="D3" s="42"/>
      <c r="E3" s="222"/>
      <c r="F3" s="42"/>
      <c r="G3" s="42"/>
      <c r="H3" s="42"/>
      <c r="I3" s="222"/>
    </row>
    <row r="4" spans="1:14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7" t="s">
        <v>42</v>
      </c>
      <c r="K4" s="375"/>
      <c r="L4" s="375"/>
      <c r="M4" s="376"/>
    </row>
    <row r="5" spans="1:14" ht="30">
      <c r="A5" s="18"/>
      <c r="B5" s="3" t="s">
        <v>0</v>
      </c>
      <c r="C5" s="4" t="s">
        <v>1</v>
      </c>
      <c r="D5" s="4" t="s">
        <v>2</v>
      </c>
      <c r="E5" s="5" t="s">
        <v>84</v>
      </c>
      <c r="F5" s="3" t="s">
        <v>0</v>
      </c>
      <c r="G5" s="4" t="s">
        <v>1</v>
      </c>
      <c r="H5" s="4" t="s">
        <v>2</v>
      </c>
      <c r="I5" s="5" t="s">
        <v>84</v>
      </c>
      <c r="J5" s="3" t="s">
        <v>39</v>
      </c>
      <c r="K5" s="4" t="s">
        <v>41</v>
      </c>
      <c r="L5" s="4" t="s">
        <v>40</v>
      </c>
      <c r="M5" s="5" t="s">
        <v>49</v>
      </c>
      <c r="N5" s="18"/>
    </row>
    <row r="6" spans="1:14">
      <c r="A6" s="19" t="s">
        <v>6</v>
      </c>
      <c r="B6" s="172">
        <v>5.4989454499010062</v>
      </c>
      <c r="C6" s="30">
        <v>286.66526150978711</v>
      </c>
      <c r="D6" s="228">
        <v>451.55067072836482</v>
      </c>
      <c r="E6" s="173">
        <f>SUM(B6:D6)</f>
        <v>743.71487768805287</v>
      </c>
      <c r="F6" s="35">
        <v>0.76884485702687044</v>
      </c>
      <c r="G6" s="30">
        <v>14.994084210734512</v>
      </c>
      <c r="H6" s="30">
        <v>831.92895456407609</v>
      </c>
      <c r="I6" s="36">
        <f>SUM(F6:H6)</f>
        <v>847.69188363183753</v>
      </c>
      <c r="J6" s="174">
        <v>255.86788384314434</v>
      </c>
      <c r="K6" s="175">
        <v>1231.1408753886628</v>
      </c>
      <c r="L6" s="175">
        <v>28857.82589084348</v>
      </c>
      <c r="M6" s="122">
        <f>SUM(J6:L6)</f>
        <v>30344.834650075289</v>
      </c>
      <c r="N6" s="18"/>
    </row>
    <row r="7" spans="1:14">
      <c r="A7" s="20" t="s">
        <v>7</v>
      </c>
      <c r="B7" s="176">
        <v>4.2588233316726924</v>
      </c>
      <c r="C7" s="34">
        <v>206.1851802293564</v>
      </c>
      <c r="D7" s="229">
        <v>444.13562573905415</v>
      </c>
      <c r="E7" s="177">
        <f t="shared" ref="E7:E35" si="0">SUM(B7:D7)</f>
        <v>654.5796293000833</v>
      </c>
      <c r="F7" s="37">
        <v>0.69951940336873242</v>
      </c>
      <c r="G7" s="34">
        <v>12.601972211558529</v>
      </c>
      <c r="H7" s="34">
        <v>914.70355655910282</v>
      </c>
      <c r="I7" s="38">
        <f t="shared" ref="I7:I35" si="1">SUM(F7:H7)</f>
        <v>928.00504817403009</v>
      </c>
      <c r="J7" s="178">
        <v>402.60823530930833</v>
      </c>
      <c r="K7" s="179">
        <v>1649.6005740253527</v>
      </c>
      <c r="L7" s="179">
        <v>35370.608930987815</v>
      </c>
      <c r="M7" s="125">
        <f t="shared" ref="M7:M35" si="2">SUM(J7:L7)</f>
        <v>37422.817740322476</v>
      </c>
      <c r="N7" s="18"/>
    </row>
    <row r="8" spans="1:14">
      <c r="A8" s="20" t="s">
        <v>8</v>
      </c>
      <c r="B8" s="176">
        <v>4.118537111496158</v>
      </c>
      <c r="C8" s="34">
        <v>163.4246632713747</v>
      </c>
      <c r="D8" s="229">
        <v>514.70639874076903</v>
      </c>
      <c r="E8" s="177">
        <f t="shared" si="0"/>
        <v>682.24959912363988</v>
      </c>
      <c r="F8" s="37">
        <v>0.5296962586724796</v>
      </c>
      <c r="G8" s="34">
        <v>8.9979039577135111</v>
      </c>
      <c r="H8" s="34">
        <v>958.84209373005217</v>
      </c>
      <c r="I8" s="38">
        <f t="shared" si="1"/>
        <v>968.36969394643813</v>
      </c>
      <c r="J8" s="178">
        <v>628.50723720738051</v>
      </c>
      <c r="K8" s="179">
        <v>2184.0983018416641</v>
      </c>
      <c r="L8" s="179">
        <v>41431.633964817323</v>
      </c>
      <c r="M8" s="125">
        <f t="shared" si="2"/>
        <v>44244.239503866367</v>
      </c>
      <c r="N8" s="18"/>
    </row>
    <row r="9" spans="1:14">
      <c r="A9" s="20" t="s">
        <v>9</v>
      </c>
      <c r="B9" s="176">
        <v>5.6220157645628106</v>
      </c>
      <c r="C9" s="34">
        <v>157.72785312503683</v>
      </c>
      <c r="D9" s="229">
        <v>772.18744371441778</v>
      </c>
      <c r="E9" s="177">
        <f t="shared" si="0"/>
        <v>935.53731260401742</v>
      </c>
      <c r="F9" s="37">
        <v>0.47425493191999485</v>
      </c>
      <c r="G9" s="34">
        <v>6.9297024442671091</v>
      </c>
      <c r="H9" s="34">
        <v>1076.3205381046293</v>
      </c>
      <c r="I9" s="38">
        <f t="shared" si="1"/>
        <v>1083.7244954808164</v>
      </c>
      <c r="J9" s="178">
        <v>1172.6922927937817</v>
      </c>
      <c r="K9" s="179">
        <v>3096.0834728533841</v>
      </c>
      <c r="L9" s="179">
        <v>49563.907307171845</v>
      </c>
      <c r="M9" s="125">
        <f t="shared" si="2"/>
        <v>53832.683072819011</v>
      </c>
      <c r="N9" s="18"/>
    </row>
    <row r="10" spans="1:14">
      <c r="A10" s="20" t="s">
        <v>10</v>
      </c>
      <c r="B10" s="176">
        <v>7.7670580038279304</v>
      </c>
      <c r="C10" s="34">
        <v>170.10022192603236</v>
      </c>
      <c r="D10" s="229">
        <v>1014.3270162963892</v>
      </c>
      <c r="E10" s="177">
        <f t="shared" si="0"/>
        <v>1192.1942962262494</v>
      </c>
      <c r="F10" s="37">
        <v>0.45008380312398927</v>
      </c>
      <c r="G10" s="34">
        <v>5.9201082241775094</v>
      </c>
      <c r="H10" s="34">
        <v>1186.2776174007488</v>
      </c>
      <c r="I10" s="38">
        <f t="shared" si="1"/>
        <v>1192.6478094280503</v>
      </c>
      <c r="J10" s="178">
        <v>1888.1247821090546</v>
      </c>
      <c r="K10" s="179">
        <v>4233.5410188950009</v>
      </c>
      <c r="L10" s="179">
        <v>57775.726206585474</v>
      </c>
      <c r="M10" s="125">
        <f t="shared" si="2"/>
        <v>63897.392007589529</v>
      </c>
      <c r="N10" s="18"/>
    </row>
    <row r="11" spans="1:14">
      <c r="A11" s="20" t="s">
        <v>11</v>
      </c>
      <c r="B11" s="176">
        <v>12.504393538262974</v>
      </c>
      <c r="C11" s="34">
        <v>213.43392476490902</v>
      </c>
      <c r="D11" s="229">
        <v>1386.8691042076164</v>
      </c>
      <c r="E11" s="177">
        <f t="shared" si="0"/>
        <v>1612.8074225107885</v>
      </c>
      <c r="F11" s="37">
        <v>0.41615136046954682</v>
      </c>
      <c r="G11" s="34">
        <v>5.0710690690913971</v>
      </c>
      <c r="H11" s="34">
        <v>1214.8720000762187</v>
      </c>
      <c r="I11" s="38">
        <f t="shared" si="1"/>
        <v>1220.3592205057796</v>
      </c>
      <c r="J11" s="178">
        <v>2522.04475318605</v>
      </c>
      <c r="K11" s="179">
        <v>5454.4750059794305</v>
      </c>
      <c r="L11" s="179">
        <v>66841.574199368508</v>
      </c>
      <c r="M11" s="125">
        <f t="shared" si="2"/>
        <v>74818.093958533995</v>
      </c>
      <c r="N11" s="18"/>
    </row>
    <row r="12" spans="1:14">
      <c r="A12" s="20" t="s">
        <v>12</v>
      </c>
      <c r="B12" s="176">
        <v>17.448858160948642</v>
      </c>
      <c r="C12" s="34">
        <v>203.46360734877618</v>
      </c>
      <c r="D12" s="229">
        <v>1399.3979733274862</v>
      </c>
      <c r="E12" s="177">
        <f t="shared" si="0"/>
        <v>1620.310438837211</v>
      </c>
      <c r="F12" s="37">
        <v>0.63427622540437045</v>
      </c>
      <c r="G12" s="34">
        <v>4.8090720391805633</v>
      </c>
      <c r="H12" s="34">
        <v>1220.4932308190662</v>
      </c>
      <c r="I12" s="38">
        <f t="shared" si="1"/>
        <v>1225.9365790836512</v>
      </c>
      <c r="J12" s="178">
        <v>3439.5134737304211</v>
      </c>
      <c r="K12" s="179">
        <v>7109.3757474288441</v>
      </c>
      <c r="L12" s="179">
        <v>75742.62516914749</v>
      </c>
      <c r="M12" s="125">
        <f t="shared" si="2"/>
        <v>86291.514390306751</v>
      </c>
      <c r="N12" s="18"/>
    </row>
    <row r="13" spans="1:14">
      <c r="A13" s="20" t="s">
        <v>13</v>
      </c>
      <c r="B13" s="176">
        <v>25.691487932662191</v>
      </c>
      <c r="C13" s="34">
        <v>235.02274322154449</v>
      </c>
      <c r="D13" s="229">
        <v>1599.0928056258172</v>
      </c>
      <c r="E13" s="177">
        <f t="shared" si="0"/>
        <v>1859.8070367800237</v>
      </c>
      <c r="F13" s="37">
        <v>2.1128456912585079</v>
      </c>
      <c r="G13" s="34">
        <v>10.082473046687134</v>
      </c>
      <c r="H13" s="34">
        <v>1324.8158839950077</v>
      </c>
      <c r="I13" s="38">
        <f t="shared" si="1"/>
        <v>1337.0112027329533</v>
      </c>
      <c r="J13" s="178">
        <v>4331.2846204501138</v>
      </c>
      <c r="K13" s="179">
        <v>9339.2968189428357</v>
      </c>
      <c r="L13" s="179">
        <v>85375.389039242218</v>
      </c>
      <c r="M13" s="125">
        <f t="shared" si="2"/>
        <v>99045.970478635165</v>
      </c>
      <c r="N13" s="18"/>
    </row>
    <row r="14" spans="1:14">
      <c r="A14" s="20" t="s">
        <v>14</v>
      </c>
      <c r="B14" s="176">
        <v>35.618852635814939</v>
      </c>
      <c r="C14" s="34">
        <v>299.42897511629877</v>
      </c>
      <c r="D14" s="229">
        <v>1945.2986992646654</v>
      </c>
      <c r="E14" s="177">
        <f t="shared" si="0"/>
        <v>2280.346527016779</v>
      </c>
      <c r="F14" s="37">
        <v>5.1078795787120654</v>
      </c>
      <c r="G14" s="34">
        <v>28.3028606505898</v>
      </c>
      <c r="H14" s="34">
        <v>1431.2497975438496</v>
      </c>
      <c r="I14" s="38">
        <f t="shared" si="1"/>
        <v>1464.6605377731514</v>
      </c>
      <c r="J14" s="178">
        <v>5456.8801890324994</v>
      </c>
      <c r="K14" s="179">
        <v>13016.311887108348</v>
      </c>
      <c r="L14" s="179">
        <v>95636.337392873233</v>
      </c>
      <c r="M14" s="125">
        <f t="shared" si="2"/>
        <v>114109.52946901409</v>
      </c>
      <c r="N14" s="18"/>
    </row>
    <row r="15" spans="1:14">
      <c r="A15" s="20" t="s">
        <v>15</v>
      </c>
      <c r="B15" s="176">
        <v>45.071489088817806</v>
      </c>
      <c r="C15" s="34">
        <v>385.94530371155361</v>
      </c>
      <c r="D15" s="229">
        <v>2378.9509855360739</v>
      </c>
      <c r="E15" s="177">
        <f t="shared" si="0"/>
        <v>2809.9677783364455</v>
      </c>
      <c r="F15" s="37">
        <v>8.8632678400360234</v>
      </c>
      <c r="G15" s="34">
        <v>56.136500769616234</v>
      </c>
      <c r="H15" s="34">
        <v>1432.1998647116548</v>
      </c>
      <c r="I15" s="38">
        <f t="shared" si="1"/>
        <v>1497.1996333213069</v>
      </c>
      <c r="J15" s="178">
        <v>5803.2848270430095</v>
      </c>
      <c r="K15" s="179">
        <v>18057.163358048314</v>
      </c>
      <c r="L15" s="179">
        <v>105544.96278755076</v>
      </c>
      <c r="M15" s="125">
        <f t="shared" si="2"/>
        <v>129405.41097264207</v>
      </c>
      <c r="N15" s="18"/>
    </row>
    <row r="16" spans="1:14">
      <c r="A16" s="20" t="s">
        <v>16</v>
      </c>
      <c r="B16" s="176">
        <v>52.754143256405172</v>
      </c>
      <c r="C16" s="34">
        <v>488.14958771128477</v>
      </c>
      <c r="D16" s="229">
        <v>2724.1341143488103</v>
      </c>
      <c r="E16" s="177">
        <f t="shared" si="0"/>
        <v>3265.0378453165004</v>
      </c>
      <c r="F16" s="37">
        <v>12.494824505831007</v>
      </c>
      <c r="G16" s="34">
        <v>90.700164640685955</v>
      </c>
      <c r="H16" s="34">
        <v>1387.9953506540523</v>
      </c>
      <c r="I16" s="38">
        <f t="shared" si="1"/>
        <v>1491.1903398005693</v>
      </c>
      <c r="J16" s="178">
        <v>5909.9926401280864</v>
      </c>
      <c r="K16" s="179">
        <v>22922.949055249937</v>
      </c>
      <c r="L16" s="179">
        <v>113768.5949481281</v>
      </c>
      <c r="M16" s="125">
        <f t="shared" si="2"/>
        <v>142601.53664350612</v>
      </c>
      <c r="N16" s="18"/>
    </row>
    <row r="17" spans="1:14">
      <c r="A17" s="20" t="s">
        <v>17</v>
      </c>
      <c r="B17" s="176">
        <v>68.645589608411228</v>
      </c>
      <c r="C17" s="34">
        <v>601.16659481148099</v>
      </c>
      <c r="D17" s="229">
        <v>4077.7633617077927</v>
      </c>
      <c r="E17" s="177">
        <f t="shared" si="0"/>
        <v>4747.5755461276849</v>
      </c>
      <c r="F17" s="37">
        <v>20.088533431918218</v>
      </c>
      <c r="G17" s="34">
        <v>138.91459094992507</v>
      </c>
      <c r="H17" s="34">
        <v>1309.2453387448672</v>
      </c>
      <c r="I17" s="38">
        <f t="shared" si="1"/>
        <v>1468.2484631267105</v>
      </c>
      <c r="J17" s="178">
        <v>6776.214701666946</v>
      </c>
      <c r="K17" s="179">
        <v>29130.447261420712</v>
      </c>
      <c r="L17" s="179">
        <v>122570.70365358591</v>
      </c>
      <c r="M17" s="125">
        <f t="shared" si="2"/>
        <v>158477.36561667357</v>
      </c>
      <c r="N17" s="18"/>
    </row>
    <row r="18" spans="1:14">
      <c r="A18" s="20" t="s">
        <v>18</v>
      </c>
      <c r="B18" s="176">
        <v>98.731439463581452</v>
      </c>
      <c r="C18" s="34">
        <v>761.38510021055436</v>
      </c>
      <c r="D18" s="229">
        <v>5163.9396070385374</v>
      </c>
      <c r="E18" s="177">
        <f t="shared" si="0"/>
        <v>6024.0561467126736</v>
      </c>
      <c r="F18" s="37">
        <v>47.132103457500904</v>
      </c>
      <c r="G18" s="34">
        <v>341.60200665134272</v>
      </c>
      <c r="H18" s="34">
        <v>1318.6800335362659</v>
      </c>
      <c r="I18" s="38">
        <f t="shared" si="1"/>
        <v>1707.4141436451096</v>
      </c>
      <c r="J18" s="178">
        <v>8429.7584154324886</v>
      </c>
      <c r="K18" s="179">
        <v>36908.358048313807</v>
      </c>
      <c r="L18" s="179">
        <v>133016.12088407757</v>
      </c>
      <c r="M18" s="125">
        <f t="shared" si="2"/>
        <v>178354.23734782386</v>
      </c>
      <c r="N18" s="18"/>
    </row>
    <row r="19" spans="1:14">
      <c r="A19" s="20" t="s">
        <v>19</v>
      </c>
      <c r="B19" s="176">
        <v>126.77686636186249</v>
      </c>
      <c r="C19" s="34">
        <v>1020.9479338632395</v>
      </c>
      <c r="D19" s="229">
        <v>6767.6348543818567</v>
      </c>
      <c r="E19" s="177">
        <f t="shared" si="0"/>
        <v>7915.3596546069584</v>
      </c>
      <c r="F19" s="37">
        <v>68.611439440223563</v>
      </c>
      <c r="G19" s="34">
        <v>535.05994368778101</v>
      </c>
      <c r="H19" s="34">
        <v>1363.9533731576491</v>
      </c>
      <c r="I19" s="38">
        <f t="shared" si="1"/>
        <v>1967.6247562856538</v>
      </c>
      <c r="J19" s="178">
        <v>10772.448254935631</v>
      </c>
      <c r="K19" s="179">
        <v>44548.902176512791</v>
      </c>
      <c r="L19" s="179">
        <v>146743.38069463239</v>
      </c>
      <c r="M19" s="125">
        <f t="shared" si="2"/>
        <v>202064.73112608082</v>
      </c>
      <c r="N19" s="18"/>
    </row>
    <row r="20" spans="1:14">
      <c r="A20" s="20" t="s">
        <v>20</v>
      </c>
      <c r="B20" s="176">
        <v>210.02962197681043</v>
      </c>
      <c r="C20" s="34">
        <v>1541.4714502682662</v>
      </c>
      <c r="D20" s="229">
        <v>10445.241477873404</v>
      </c>
      <c r="E20" s="177">
        <f t="shared" si="0"/>
        <v>12196.742550118481</v>
      </c>
      <c r="F20" s="37">
        <v>91.387871576883526</v>
      </c>
      <c r="G20" s="34">
        <v>610.96233103849715</v>
      </c>
      <c r="H20" s="34">
        <v>1396.4271967683235</v>
      </c>
      <c r="I20" s="38">
        <f t="shared" si="1"/>
        <v>2098.7773993837041</v>
      </c>
      <c r="J20" s="178">
        <v>15604.968559143672</v>
      </c>
      <c r="K20" s="179">
        <v>53992.616598899782</v>
      </c>
      <c r="L20" s="179">
        <v>166686.49864681993</v>
      </c>
      <c r="M20" s="125">
        <f t="shared" si="2"/>
        <v>236284.08380486339</v>
      </c>
      <c r="N20" s="18"/>
    </row>
    <row r="21" spans="1:14">
      <c r="A21" s="20" t="s">
        <v>21</v>
      </c>
      <c r="B21" s="176">
        <v>344.03612199679884</v>
      </c>
      <c r="C21" s="34">
        <v>2164.2239083270006</v>
      </c>
      <c r="D21" s="229">
        <v>14992.709585973047</v>
      </c>
      <c r="E21" s="177">
        <f t="shared" si="0"/>
        <v>17500.969616296847</v>
      </c>
      <c r="F21" s="37">
        <v>119.2332063982289</v>
      </c>
      <c r="G21" s="34">
        <v>656.12849682116098</v>
      </c>
      <c r="H21" s="34">
        <v>1427.2515982126695</v>
      </c>
      <c r="I21" s="38">
        <f t="shared" si="1"/>
        <v>2202.6133014320594</v>
      </c>
      <c r="J21" s="178">
        <v>23301.644995932704</v>
      </c>
      <c r="K21" s="179">
        <v>66835.852666826104</v>
      </c>
      <c r="L21" s="179">
        <v>197211.62043301761</v>
      </c>
      <c r="M21" s="125">
        <f t="shared" si="2"/>
        <v>287349.11809577642</v>
      </c>
      <c r="N21" s="18"/>
    </row>
    <row r="22" spans="1:14">
      <c r="A22" s="20" t="s">
        <v>22</v>
      </c>
      <c r="B22" s="176">
        <v>677.19288828828701</v>
      </c>
      <c r="C22" s="34">
        <v>3175.5832820616024</v>
      </c>
      <c r="D22" s="229">
        <v>20898.6650743557</v>
      </c>
      <c r="E22" s="177">
        <f t="shared" si="0"/>
        <v>24751.441244705591</v>
      </c>
      <c r="F22" s="37">
        <v>157.87224864939031</v>
      </c>
      <c r="G22" s="34">
        <v>679.81329773849018</v>
      </c>
      <c r="H22" s="34">
        <v>1423.7812139747145</v>
      </c>
      <c r="I22" s="38">
        <f t="shared" si="1"/>
        <v>2261.4667603625949</v>
      </c>
      <c r="J22" s="178">
        <v>36523.465079344584</v>
      </c>
      <c r="K22" s="179">
        <v>93132.025831140869</v>
      </c>
      <c r="L22" s="179">
        <v>230930.53676138923</v>
      </c>
      <c r="M22" s="125">
        <f t="shared" si="2"/>
        <v>360586.02767187468</v>
      </c>
      <c r="N22" s="18"/>
    </row>
    <row r="23" spans="1:14">
      <c r="A23" s="20" t="s">
        <v>23</v>
      </c>
      <c r="B23" s="176">
        <v>1014.990299345928</v>
      </c>
      <c r="C23" s="34">
        <v>3727.0097341207484</v>
      </c>
      <c r="D23" s="229">
        <v>25836.829346030056</v>
      </c>
      <c r="E23" s="177">
        <f t="shared" si="0"/>
        <v>30578.829379496732</v>
      </c>
      <c r="F23" s="37">
        <v>231.5336112715201</v>
      </c>
      <c r="G23" s="34">
        <v>766.11815203559081</v>
      </c>
      <c r="H23" s="34">
        <v>1467.2203961471403</v>
      </c>
      <c r="I23" s="38">
        <f t="shared" si="1"/>
        <v>2464.8721594542512</v>
      </c>
      <c r="J23" s="178">
        <v>55482.820509509729</v>
      </c>
      <c r="K23" s="179">
        <v>131293.52188471658</v>
      </c>
      <c r="L23" s="179">
        <v>267554.2929634641</v>
      </c>
      <c r="M23" s="125">
        <f t="shared" si="2"/>
        <v>454330.63535769039</v>
      </c>
      <c r="N23" s="18"/>
    </row>
    <row r="24" spans="1:14">
      <c r="A24" s="20" t="s">
        <v>24</v>
      </c>
      <c r="B24" s="176">
        <v>1123.5143120411976</v>
      </c>
      <c r="C24" s="34">
        <v>3646.7207373317133</v>
      </c>
      <c r="D24" s="229">
        <v>28074.383094356173</v>
      </c>
      <c r="E24" s="177">
        <f t="shared" si="0"/>
        <v>32844.618143729087</v>
      </c>
      <c r="F24" s="37">
        <v>293.45389675228608</v>
      </c>
      <c r="G24" s="34">
        <v>847.31267304117205</v>
      </c>
      <c r="H24" s="34">
        <v>1530.8880917674185</v>
      </c>
      <c r="I24" s="38">
        <f t="shared" si="1"/>
        <v>2671.6546615608768</v>
      </c>
      <c r="J24" s="178">
        <v>92017.967125905459</v>
      </c>
      <c r="K24" s="179">
        <v>196121.43506338194</v>
      </c>
      <c r="L24" s="179">
        <v>322520.97428958048</v>
      </c>
      <c r="M24" s="125">
        <f t="shared" si="2"/>
        <v>610660.37647886784</v>
      </c>
      <c r="N24" s="18"/>
    </row>
    <row r="25" spans="1:14">
      <c r="A25" s="20" t="s">
        <v>25</v>
      </c>
      <c r="B25" s="176">
        <v>1341.219785283758</v>
      </c>
      <c r="C25" s="34">
        <v>4125.6484503159108</v>
      </c>
      <c r="D25" s="229">
        <v>32391.2177341676</v>
      </c>
      <c r="E25" s="177">
        <f t="shared" si="0"/>
        <v>37858.085969767271</v>
      </c>
      <c r="F25" s="37">
        <v>273.37950030645453</v>
      </c>
      <c r="G25" s="34">
        <v>700.06168385896081</v>
      </c>
      <c r="H25" s="34">
        <v>1499.7470012671372</v>
      </c>
      <c r="I25" s="38">
        <f t="shared" si="1"/>
        <v>2473.1881854325525</v>
      </c>
      <c r="J25" s="178">
        <v>135599.8992859633</v>
      </c>
      <c r="K25" s="179">
        <v>278007.48026787845</v>
      </c>
      <c r="L25" s="179">
        <v>420466.6429860171</v>
      </c>
      <c r="M25" s="125">
        <f t="shared" si="2"/>
        <v>834074.02253985894</v>
      </c>
      <c r="N25" s="18"/>
    </row>
    <row r="26" spans="1:14">
      <c r="A26" s="20" t="s">
        <v>26</v>
      </c>
      <c r="B26" s="176">
        <v>1406.8823888048778</v>
      </c>
      <c r="C26" s="34">
        <v>4190.7531517231037</v>
      </c>
      <c r="D26" s="229">
        <v>35420.391457904254</v>
      </c>
      <c r="E26" s="177">
        <f t="shared" si="0"/>
        <v>41018.026998432237</v>
      </c>
      <c r="F26" s="37">
        <v>231.17289031823407</v>
      </c>
      <c r="G26" s="34">
        <v>531.60425084257872</v>
      </c>
      <c r="H26" s="34">
        <v>1440.262240260668</v>
      </c>
      <c r="I26" s="38">
        <f t="shared" si="1"/>
        <v>2203.0393814214808</v>
      </c>
      <c r="J26" s="178">
        <v>149083.86638604465</v>
      </c>
      <c r="K26" s="179">
        <v>329252.63334130583</v>
      </c>
      <c r="L26" s="179">
        <v>493399.38317546231</v>
      </c>
      <c r="M26" s="125">
        <f t="shared" si="2"/>
        <v>971735.88290281279</v>
      </c>
      <c r="N26" s="18"/>
    </row>
    <row r="27" spans="1:14">
      <c r="A27" s="20" t="s">
        <v>27</v>
      </c>
      <c r="B27" s="176">
        <v>1081</v>
      </c>
      <c r="C27" s="34">
        <v>2934</v>
      </c>
      <c r="D27" s="229">
        <v>32651</v>
      </c>
      <c r="E27" s="177">
        <f t="shared" si="0"/>
        <v>36666</v>
      </c>
      <c r="F27" s="37">
        <v>191</v>
      </c>
      <c r="G27" s="34">
        <v>399</v>
      </c>
      <c r="H27" s="34">
        <v>1385</v>
      </c>
      <c r="I27" s="38">
        <f t="shared" si="1"/>
        <v>1975</v>
      </c>
      <c r="J27" s="178">
        <v>161600</v>
      </c>
      <c r="K27" s="179">
        <v>360200</v>
      </c>
      <c r="L27" s="179">
        <v>520299.99999999994</v>
      </c>
      <c r="M27" s="125">
        <f t="shared" si="2"/>
        <v>1042100</v>
      </c>
      <c r="N27" s="18"/>
    </row>
    <row r="28" spans="1:14">
      <c r="A28" s="20" t="s">
        <v>28</v>
      </c>
      <c r="B28" s="176">
        <v>831.50629440229568</v>
      </c>
      <c r="C28" s="34">
        <v>2118.7588108741365</v>
      </c>
      <c r="D28" s="229">
        <v>30131.93023328661</v>
      </c>
      <c r="E28" s="177">
        <f t="shared" si="0"/>
        <v>33082.19533856304</v>
      </c>
      <c r="F28" s="37">
        <v>175.53503294147603</v>
      </c>
      <c r="G28" s="34">
        <v>331.94552813076643</v>
      </c>
      <c r="H28" s="34">
        <v>1362.5282724059412</v>
      </c>
      <c r="I28" s="38">
        <f t="shared" si="1"/>
        <v>1870.0088334781835</v>
      </c>
      <c r="J28" s="178">
        <v>175749.30985060753</v>
      </c>
      <c r="K28" s="179">
        <v>393383.80291796214</v>
      </c>
      <c r="L28" s="179">
        <v>529430.19621109602</v>
      </c>
      <c r="M28" s="125">
        <f t="shared" si="2"/>
        <v>1098563.3089796659</v>
      </c>
      <c r="N28" s="18"/>
    </row>
    <row r="29" spans="1:14">
      <c r="A29" s="20" t="s">
        <v>29</v>
      </c>
      <c r="B29" s="176">
        <v>657.60262204591118</v>
      </c>
      <c r="C29" s="34">
        <v>1596.0869170692931</v>
      </c>
      <c r="D29" s="229">
        <v>27811.788225251963</v>
      </c>
      <c r="E29" s="177">
        <f t="shared" si="0"/>
        <v>30065.477764367166</v>
      </c>
      <c r="F29" s="37">
        <v>168.29767684506979</v>
      </c>
      <c r="G29" s="34">
        <v>292.47633737079053</v>
      </c>
      <c r="H29" s="34">
        <v>1340.7822905650669</v>
      </c>
      <c r="I29" s="38">
        <f t="shared" si="1"/>
        <v>1801.5563047809273</v>
      </c>
      <c r="J29" s="178">
        <v>192066.2814569964</v>
      </c>
      <c r="K29" s="179">
        <v>446399.10667304473</v>
      </c>
      <c r="L29" s="179">
        <v>559500.77131258463</v>
      </c>
      <c r="M29" s="125">
        <f t="shared" si="2"/>
        <v>1197966.1594426257</v>
      </c>
      <c r="N29" s="18"/>
    </row>
    <row r="30" spans="1:14">
      <c r="A30" s="20" t="s">
        <v>30</v>
      </c>
      <c r="B30" s="176">
        <v>532.16706646125772</v>
      </c>
      <c r="C30" s="34">
        <v>1226.6632351437943</v>
      </c>
      <c r="D30" s="229">
        <v>25569.120652795289</v>
      </c>
      <c r="E30" s="177">
        <f t="shared" si="0"/>
        <v>27327.950954400341</v>
      </c>
      <c r="F30" s="37">
        <v>171.92707695654937</v>
      </c>
      <c r="G30" s="34">
        <v>270.91203120917987</v>
      </c>
      <c r="H30" s="34">
        <v>1319.5377330627566</v>
      </c>
      <c r="I30" s="38">
        <f t="shared" si="1"/>
        <v>1762.3768412284858</v>
      </c>
      <c r="J30" s="178">
        <v>203106.64067039397</v>
      </c>
      <c r="K30" s="179">
        <v>507773.2599856492</v>
      </c>
      <c r="L30" s="179">
        <v>597428.95805142086</v>
      </c>
      <c r="M30" s="125">
        <f t="shared" si="2"/>
        <v>1308308.8587074641</v>
      </c>
      <c r="N30" s="18"/>
    </row>
    <row r="31" spans="1:14">
      <c r="A31" s="20" t="s">
        <v>31</v>
      </c>
      <c r="B31" s="176">
        <v>467.56165179705243</v>
      </c>
      <c r="C31" s="34">
        <v>973.4901844453309</v>
      </c>
      <c r="D31" s="229">
        <v>23521.034088506382</v>
      </c>
      <c r="E31" s="177">
        <f t="shared" si="0"/>
        <v>24962.085924748764</v>
      </c>
      <c r="F31" s="37">
        <v>203.09088527545913</v>
      </c>
      <c r="G31" s="34">
        <v>268.55136759811285</v>
      </c>
      <c r="H31" s="34">
        <v>1320.0523527786513</v>
      </c>
      <c r="I31" s="38">
        <f t="shared" si="1"/>
        <v>1791.6946056522233</v>
      </c>
      <c r="J31" s="178">
        <v>236878.52337727739</v>
      </c>
      <c r="K31" s="179">
        <v>573780.36354939011</v>
      </c>
      <c r="L31" s="179">
        <v>687542.32408660336</v>
      </c>
      <c r="M31" s="125">
        <f t="shared" si="2"/>
        <v>1498201.211013271</v>
      </c>
      <c r="N31" s="18"/>
    </row>
    <row r="32" spans="1:14">
      <c r="A32" s="20" t="s">
        <v>32</v>
      </c>
      <c r="B32" s="176">
        <v>541.1637038350334</v>
      </c>
      <c r="C32" s="34">
        <v>949.57516992890339</v>
      </c>
      <c r="D32" s="229">
        <v>22334.371199010158</v>
      </c>
      <c r="E32" s="177">
        <f t="shared" si="0"/>
        <v>23825.110072774096</v>
      </c>
      <c r="F32" s="37">
        <v>279.92331118608848</v>
      </c>
      <c r="G32" s="34">
        <v>308.58884702752641</v>
      </c>
      <c r="H32" s="34">
        <v>1391.9143777212489</v>
      </c>
      <c r="I32" s="38">
        <f t="shared" si="1"/>
        <v>1980.4265359348638</v>
      </c>
      <c r="J32" s="178">
        <v>276647.22455356561</v>
      </c>
      <c r="K32" s="179">
        <v>645273.32217172929</v>
      </c>
      <c r="L32" s="179">
        <v>700563.25214253482</v>
      </c>
      <c r="M32" s="125">
        <f t="shared" si="2"/>
        <v>1622483.7988678296</v>
      </c>
      <c r="N32" s="18"/>
    </row>
    <row r="33" spans="1:15">
      <c r="A33" s="20" t="s">
        <v>33</v>
      </c>
      <c r="B33" s="176">
        <v>639.51386314555157</v>
      </c>
      <c r="C33" s="34">
        <v>940.93988640404518</v>
      </c>
      <c r="D33" s="229">
        <v>21254.331542636082</v>
      </c>
      <c r="E33" s="177">
        <f t="shared" si="0"/>
        <v>22834.785292185679</v>
      </c>
      <c r="F33" s="37">
        <v>380.31690639163952</v>
      </c>
      <c r="G33" s="34">
        <v>355.5371640815647</v>
      </c>
      <c r="H33" s="34">
        <v>1475.850172921371</v>
      </c>
      <c r="I33" s="38">
        <f t="shared" si="1"/>
        <v>2211.7042433945753</v>
      </c>
      <c r="J33" s="178">
        <v>312121.88335248618</v>
      </c>
      <c r="K33" s="179">
        <v>717598.13441760337</v>
      </c>
      <c r="L33" s="179">
        <v>743844.85453315277</v>
      </c>
      <c r="M33" s="125">
        <f t="shared" si="2"/>
        <v>1773564.8723032423</v>
      </c>
      <c r="N33" s="18"/>
    </row>
    <row r="34" spans="1:15">
      <c r="A34" s="20" t="s">
        <v>34</v>
      </c>
      <c r="B34" s="176">
        <v>671.51905284668817</v>
      </c>
      <c r="C34" s="34">
        <v>868.0902753522621</v>
      </c>
      <c r="D34" s="229">
        <v>20011.927970116762</v>
      </c>
      <c r="E34" s="177">
        <f t="shared" si="0"/>
        <v>21551.53729831571</v>
      </c>
      <c r="F34" s="37">
        <v>422.97072267626373</v>
      </c>
      <c r="G34" s="34">
        <v>342.67176276707499</v>
      </c>
      <c r="H34" s="34">
        <v>1496.540524575795</v>
      </c>
      <c r="I34" s="38">
        <f t="shared" si="1"/>
        <v>2262.1830100191337</v>
      </c>
      <c r="J34" s="178">
        <v>319597.92890621972</v>
      </c>
      <c r="K34" s="179">
        <v>752081.70772542455</v>
      </c>
      <c r="L34" s="179">
        <v>744036.18403247627</v>
      </c>
      <c r="M34" s="125">
        <f t="shared" si="2"/>
        <v>1815715.8206641206</v>
      </c>
      <c r="N34" s="18"/>
    </row>
    <row r="35" spans="1:15">
      <c r="A35" s="21" t="s">
        <v>35</v>
      </c>
      <c r="B35" s="180">
        <v>762.90530838035806</v>
      </c>
      <c r="C35" s="40">
        <v>834.61744222623872</v>
      </c>
      <c r="D35" s="230">
        <v>19045.926591854153</v>
      </c>
      <c r="E35" s="181">
        <f t="shared" si="0"/>
        <v>20643.44934246075</v>
      </c>
      <c r="F35" s="39">
        <v>500.86766326058893</v>
      </c>
      <c r="G35" s="40">
        <v>342.5878075846822</v>
      </c>
      <c r="H35" s="40">
        <v>1538.2775030725697</v>
      </c>
      <c r="I35" s="41">
        <f t="shared" si="1"/>
        <v>2381.7329739178408</v>
      </c>
      <c r="J35" s="182">
        <v>395943.15209110751</v>
      </c>
      <c r="K35" s="183">
        <v>787638.99306386022</v>
      </c>
      <c r="L35" s="183">
        <v>721595.33152909344</v>
      </c>
      <c r="M35" s="128">
        <f t="shared" si="2"/>
        <v>1905177.4766840611</v>
      </c>
      <c r="N35" s="18"/>
    </row>
    <row r="36" spans="1: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5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  <c r="N37" s="144"/>
      <c r="O37" s="144"/>
    </row>
    <row r="38" spans="1:15">
      <c r="A38" s="15" t="s">
        <v>53</v>
      </c>
      <c r="B38" s="85">
        <f>(POWER(B15/B6,1/($A15-$A6))-1)*100</f>
        <v>26.332069505418531</v>
      </c>
      <c r="C38" s="86">
        <f t="shared" ref="C38:M38" si="3">(POWER(C15/C6,1/($A15-$A6))-1)*100</f>
        <v>3.3594231830079924</v>
      </c>
      <c r="D38" s="86">
        <f t="shared" si="3"/>
        <v>20.278099107822236</v>
      </c>
      <c r="E38" s="87">
        <f t="shared" ref="E38" si="4">(POWER(E15/E6,1/($A15-$A6))-1)*100</f>
        <v>15.916130330293843</v>
      </c>
      <c r="F38" s="85">
        <f t="shared" si="3"/>
        <v>31.211770463066358</v>
      </c>
      <c r="G38" s="86">
        <f t="shared" si="3"/>
        <v>15.798470019881128</v>
      </c>
      <c r="H38" s="86">
        <f t="shared" si="3"/>
        <v>6.2216499756288624</v>
      </c>
      <c r="I38" s="87">
        <f t="shared" ref="I38" si="5">(POWER(I15/I6,1/($A15-$A6))-1)*100</f>
        <v>6.524395005375716</v>
      </c>
      <c r="J38" s="85">
        <f t="shared" si="3"/>
        <v>41.458379547324519</v>
      </c>
      <c r="K38" s="86">
        <f t="shared" si="3"/>
        <v>34.770093820985082</v>
      </c>
      <c r="L38" s="86">
        <f t="shared" si="3"/>
        <v>15.498110132203058</v>
      </c>
      <c r="M38" s="87">
        <f t="shared" si="3"/>
        <v>17.485777595721895</v>
      </c>
      <c r="N38" s="86"/>
      <c r="O38" s="86"/>
    </row>
    <row r="39" spans="1:15">
      <c r="A39" s="16" t="s">
        <v>71</v>
      </c>
      <c r="B39" s="37">
        <f>(POWER(B$25/B15,1/($A$25-$A$15))-1)*100</f>
        <v>40.397638979726239</v>
      </c>
      <c r="C39" s="34">
        <f t="shared" ref="C39:M39" si="6">(POWER(C$25/C15,1/($A$25-$A$15))-1)*100</f>
        <v>26.735022361723495</v>
      </c>
      <c r="D39" s="34">
        <f t="shared" si="6"/>
        <v>29.838705867102043</v>
      </c>
      <c r="E39" s="38">
        <f t="shared" ref="E39" si="7">(POWER(E$25/E15,1/($A$25-$A$15))-1)*100</f>
        <v>29.70171878529262</v>
      </c>
      <c r="F39" s="37">
        <f t="shared" si="6"/>
        <v>40.902016073659574</v>
      </c>
      <c r="G39" s="34">
        <f>(POWER(G$25/G15,1/($A$25-$A$15))-1)*100</f>
        <v>28.703126498933294</v>
      </c>
      <c r="H39" s="34">
        <f t="shared" si="6"/>
        <v>0.4619115268002405</v>
      </c>
      <c r="I39" s="38">
        <f t="shared" ref="I39" si="8">(POWER(I$25/I15,1/($A$25-$A$15))-1)*100</f>
        <v>5.1472079671362136</v>
      </c>
      <c r="J39" s="37">
        <f t="shared" si="6"/>
        <v>37.043533564017793</v>
      </c>
      <c r="K39" s="34">
        <f t="shared" si="6"/>
        <v>31.443978425220067</v>
      </c>
      <c r="L39" s="34">
        <f t="shared" si="6"/>
        <v>14.823135915309571</v>
      </c>
      <c r="M39" s="38">
        <f t="shared" si="6"/>
        <v>20.482845491362056</v>
      </c>
      <c r="N39" s="18"/>
    </row>
    <row r="40" spans="1:15">
      <c r="A40" s="16" t="s">
        <v>69</v>
      </c>
      <c r="B40" s="37">
        <f>(POWER(B$35/B25,1/($A$35-$A$25))-1)*100</f>
        <v>-5.4857987232119543</v>
      </c>
      <c r="C40" s="34">
        <f t="shared" ref="C40:M40" si="9">(POWER(C$35/C25,1/($A$35-$A$25))-1)*100</f>
        <v>-14.768619306349295</v>
      </c>
      <c r="D40" s="34">
        <f t="shared" si="9"/>
        <v>-5.1718052239215435</v>
      </c>
      <c r="E40" s="38">
        <f t="shared" ref="E40" si="10">(POWER(E$35/E25,1/($A$35-$A$25))-1)*100</f>
        <v>-5.8842383332042614</v>
      </c>
      <c r="F40" s="37">
        <f t="shared" si="9"/>
        <v>6.2418696568242282</v>
      </c>
      <c r="G40" s="34">
        <f t="shared" si="9"/>
        <v>-6.8970248167838584</v>
      </c>
      <c r="H40" s="34">
        <f t="shared" si="9"/>
        <v>0.25399058969830524</v>
      </c>
      <c r="I40" s="38">
        <f t="shared" ref="I40" si="11">(POWER(I$35/I25,1/($A$35-$A$25))-1)*100</f>
        <v>-0.37608819651184788</v>
      </c>
      <c r="J40" s="37">
        <f t="shared" si="9"/>
        <v>11.310810981750063</v>
      </c>
      <c r="K40" s="34">
        <f t="shared" si="9"/>
        <v>10.975490357074236</v>
      </c>
      <c r="L40" s="34">
        <f t="shared" si="9"/>
        <v>5.5495088433553219</v>
      </c>
      <c r="M40" s="38">
        <f t="shared" si="9"/>
        <v>8.6108179377492036</v>
      </c>
      <c r="N40" s="18"/>
    </row>
    <row r="41" spans="1:15">
      <c r="A41" s="17" t="s">
        <v>70</v>
      </c>
      <c r="B41" s="39">
        <f>(POWER(B35/B6,1/($A$35-$A$6))-1)*100</f>
        <v>18.541020842191624</v>
      </c>
      <c r="C41" s="40">
        <f t="shared" ref="C41:M41" si="12">(POWER(C35/C6,1/($A$35-$A$6))-1)*100</f>
        <v>3.7537674363549822</v>
      </c>
      <c r="D41" s="40">
        <f t="shared" si="12"/>
        <v>13.77262537136199</v>
      </c>
      <c r="E41" s="41">
        <f t="shared" ref="E41" si="13">(POWER(E35/E6,1/($A$35-$A$6))-1)*100</f>
        <v>12.142847448450045</v>
      </c>
      <c r="F41" s="39">
        <f t="shared" si="12"/>
        <v>25.034681573765404</v>
      </c>
      <c r="G41" s="40">
        <f t="shared" si="12"/>
        <v>11.392759835873512</v>
      </c>
      <c r="H41" s="40">
        <f t="shared" si="12"/>
        <v>2.1421791173793947</v>
      </c>
      <c r="I41" s="41">
        <f t="shared" ref="I41" si="14">(POWER(I35/I6,1/($A$35-$A$6))-1)*100</f>
        <v>3.6265080064795452</v>
      </c>
      <c r="J41" s="39">
        <f t="shared" si="12"/>
        <v>28.821038263576714</v>
      </c>
      <c r="K41" s="40">
        <f t="shared" si="12"/>
        <v>24.956626430651529</v>
      </c>
      <c r="L41" s="40">
        <f t="shared" si="12"/>
        <v>11.73981157693531</v>
      </c>
      <c r="M41" s="41">
        <f t="shared" si="12"/>
        <v>15.34395811029996</v>
      </c>
      <c r="N41" s="18"/>
    </row>
    <row r="43" spans="1:15">
      <c r="A43" s="1" t="s">
        <v>43</v>
      </c>
    </row>
    <row r="44" spans="1:15">
      <c r="A44" s="211" t="s">
        <v>73</v>
      </c>
    </row>
    <row r="46" spans="1:15">
      <c r="A46" s="1" t="s">
        <v>78</v>
      </c>
    </row>
  </sheetData>
  <mergeCells count="5">
    <mergeCell ref="A1:H2"/>
    <mergeCell ref="J4:M4"/>
    <mergeCell ref="A37:M37"/>
    <mergeCell ref="B4:E4"/>
    <mergeCell ref="F4:I4"/>
  </mergeCells>
  <hyperlinks>
    <hyperlink ref="A44" r:id="rId1"/>
  </hyperlinks>
  <pageMargins left="0.7" right="0.7" top="0.75" bottom="0.75" header="0.3" footer="0.3"/>
  <pageSetup scale="59" orientation="landscape" horizontalDpi="0" verticalDpi="0" r:id="rId2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85"/>
  <dimension ref="A1:Y44"/>
  <sheetViews>
    <sheetView zoomScaleNormal="100" workbookViewId="0">
      <selection activeCell="B15" sqref="B15"/>
    </sheetView>
  </sheetViews>
  <sheetFormatPr defaultRowHeight="15"/>
  <cols>
    <col min="1" max="1" width="10.42578125" style="1" customWidth="1"/>
    <col min="2" max="2" width="13.85546875" style="1" customWidth="1"/>
    <col min="3" max="3" width="14.28515625" style="1" customWidth="1"/>
    <col min="4" max="4" width="10.42578125" style="1" customWidth="1"/>
    <col min="5" max="5" width="19.5703125" style="1" customWidth="1"/>
    <col min="6" max="6" width="18" style="1" customWidth="1"/>
    <col min="7" max="9" width="10.42578125" style="1" customWidth="1"/>
    <col min="10" max="10" width="15" style="1" customWidth="1"/>
    <col min="11" max="16384" width="9.140625" style="1"/>
  </cols>
  <sheetData>
    <row r="1" spans="1:25">
      <c r="A1" s="2" t="s">
        <v>257</v>
      </c>
      <c r="B1" s="2"/>
      <c r="C1" s="2"/>
      <c r="D1" s="2"/>
      <c r="E1" s="2"/>
      <c r="F1" s="2"/>
      <c r="G1" s="2"/>
      <c r="H1" s="2"/>
      <c r="I1" s="2"/>
    </row>
    <row r="3" spans="1:25" s="18" customFormat="1">
      <c r="A3" s="1"/>
      <c r="B3" s="1"/>
      <c r="C3" s="1"/>
      <c r="D3" s="1"/>
      <c r="E3" s="389" t="s">
        <v>76</v>
      </c>
      <c r="F3" s="391"/>
      <c r="G3" s="390"/>
      <c r="J3" s="276"/>
    </row>
    <row r="4" spans="1:25" s="18" customFormat="1" ht="45">
      <c r="A4" s="62"/>
      <c r="B4" s="258" t="s">
        <v>44</v>
      </c>
      <c r="C4" s="259" t="s">
        <v>45</v>
      </c>
      <c r="D4" s="257" t="s">
        <v>38</v>
      </c>
      <c r="E4" s="258" t="s">
        <v>44</v>
      </c>
      <c r="F4" s="259" t="s">
        <v>45</v>
      </c>
      <c r="G4" s="257" t="s">
        <v>38</v>
      </c>
      <c r="J4" s="154"/>
    </row>
    <row r="5" spans="1:25" s="18" customFormat="1">
      <c r="A5" s="64">
        <v>1981</v>
      </c>
      <c r="B5" s="7">
        <v>25225.716533866344</v>
      </c>
      <c r="C5" s="7">
        <v>339883.12660963257</v>
      </c>
      <c r="D5" s="8">
        <v>3487765.3496633032</v>
      </c>
      <c r="E5" s="236">
        <f>B5/$D5*100</f>
        <v>0.72326300667851828</v>
      </c>
      <c r="F5" s="214">
        <f t="shared" ref="F5:G34" si="0">C5/$D5*100</f>
        <v>9.7450112761296772</v>
      </c>
      <c r="G5" s="84">
        <f t="shared" si="0"/>
        <v>100</v>
      </c>
      <c r="H5" s="233"/>
      <c r="I5" s="233"/>
      <c r="J5" s="124"/>
    </row>
    <row r="6" spans="1:25" s="18" customFormat="1">
      <c r="A6" s="65">
        <v>1982</v>
      </c>
      <c r="B6" s="10">
        <v>26332.515126574835</v>
      </c>
      <c r="C6" s="10">
        <v>350438.03321393684</v>
      </c>
      <c r="D6" s="11">
        <v>3757961.0216401159</v>
      </c>
      <c r="E6" s="216">
        <f t="shared" ref="E6:E34" si="1">B6/$D6*100</f>
        <v>0.70071283270208939</v>
      </c>
      <c r="F6" s="143">
        <f t="shared" si="0"/>
        <v>9.3252173504714122</v>
      </c>
      <c r="G6" s="87">
        <f t="shared" si="0"/>
        <v>100</v>
      </c>
      <c r="H6" s="233"/>
      <c r="I6" s="233"/>
      <c r="J6" s="124"/>
    </row>
    <row r="7" spans="1:25" s="18" customFormat="1">
      <c r="A7" s="65">
        <v>1983</v>
      </c>
      <c r="B7" s="10">
        <v>27992.786274385668</v>
      </c>
      <c r="C7" s="10">
        <v>347796.12405395543</v>
      </c>
      <c r="D7" s="11">
        <v>3977811.6601651884</v>
      </c>
      <c r="E7" s="216">
        <f t="shared" si="1"/>
        <v>0.70372326962366027</v>
      </c>
      <c r="F7" s="143">
        <f t="shared" si="0"/>
        <v>8.7434035034105246</v>
      </c>
      <c r="G7" s="87">
        <f t="shared" si="0"/>
        <v>100</v>
      </c>
      <c r="H7" s="233"/>
      <c r="I7" s="233"/>
      <c r="J7" s="124"/>
    </row>
    <row r="8" spans="1:25" s="18" customFormat="1">
      <c r="A8" s="65">
        <v>1984</v>
      </c>
      <c r="B8" s="10">
        <v>29379.974133330921</v>
      </c>
      <c r="C8" s="10">
        <v>344002.02776708797</v>
      </c>
      <c r="D8" s="11">
        <v>4390534.8192298468</v>
      </c>
      <c r="E8" s="216">
        <f t="shared" si="1"/>
        <v>0.66916618004374517</v>
      </c>
      <c r="F8" s="143">
        <f t="shared" si="0"/>
        <v>7.8350825566947693</v>
      </c>
      <c r="G8" s="87">
        <f t="shared" si="0"/>
        <v>100</v>
      </c>
      <c r="H8" s="233"/>
      <c r="I8" s="233"/>
      <c r="J8" s="124"/>
    </row>
    <row r="9" spans="1:25" s="18" customFormat="1">
      <c r="A9" s="65">
        <v>1985</v>
      </c>
      <c r="B9" s="10">
        <v>31010.029213056336</v>
      </c>
      <c r="C9" s="10">
        <v>327885.58657233353</v>
      </c>
      <c r="D9" s="11">
        <v>4817631.7824220369</v>
      </c>
      <c r="E9" s="216">
        <f>B9/$D9*100</f>
        <v>0.64367786110598557</v>
      </c>
      <c r="F9" s="143">
        <f t="shared" si="0"/>
        <v>6.8059495075709364</v>
      </c>
      <c r="G9" s="87">
        <f t="shared" si="0"/>
        <v>100</v>
      </c>
      <c r="H9" s="233"/>
      <c r="I9" s="233"/>
      <c r="J9" s="124"/>
    </row>
    <row r="10" spans="1:25" s="18" customFormat="1">
      <c r="A10" s="65">
        <v>1986</v>
      </c>
      <c r="B10" s="10">
        <v>32355.817739470185</v>
      </c>
      <c r="C10" s="10">
        <v>305183.74135362083</v>
      </c>
      <c r="D10" s="11">
        <v>5284866.6648506112</v>
      </c>
      <c r="E10" s="216">
        <f t="shared" si="1"/>
        <v>0.61223527084736384</v>
      </c>
      <c r="F10" s="143">
        <f t="shared" si="0"/>
        <v>5.7746724885867584</v>
      </c>
      <c r="G10" s="87">
        <f t="shared" si="0"/>
        <v>100</v>
      </c>
      <c r="H10" s="233"/>
      <c r="I10" s="233"/>
      <c r="J10" s="124"/>
    </row>
    <row r="11" spans="1:25" s="18" customFormat="1">
      <c r="A11" s="65">
        <v>1987</v>
      </c>
      <c r="B11" s="10">
        <v>32563.084826394857</v>
      </c>
      <c r="C11" s="10">
        <v>299906.77994533413</v>
      </c>
      <c r="D11" s="11">
        <v>5737973.7224050378</v>
      </c>
      <c r="E11" s="216">
        <f t="shared" si="1"/>
        <v>0.56750146309046234</v>
      </c>
      <c r="F11" s="143">
        <f t="shared" si="0"/>
        <v>5.2267018716779692</v>
      </c>
      <c r="G11" s="87">
        <f t="shared" si="0"/>
        <v>100</v>
      </c>
      <c r="H11" s="233"/>
      <c r="I11" s="233"/>
      <c r="J11" s="124"/>
    </row>
    <row r="12" spans="1:25" s="18" customFormat="1">
      <c r="A12" s="65">
        <v>1988</v>
      </c>
      <c r="B12" s="10">
        <v>34607.130518147365</v>
      </c>
      <c r="C12" s="10">
        <v>295366.7791559358</v>
      </c>
      <c r="D12" s="11">
        <v>6282103.7951925378</v>
      </c>
      <c r="E12" s="216">
        <f t="shared" si="1"/>
        <v>0.55088441143922084</v>
      </c>
      <c r="F12" s="143">
        <f t="shared" si="0"/>
        <v>4.7017175899253543</v>
      </c>
      <c r="G12" s="87">
        <f t="shared" si="0"/>
        <v>100</v>
      </c>
      <c r="H12" s="233"/>
      <c r="I12" s="233"/>
      <c r="J12" s="124"/>
    </row>
    <row r="13" spans="1:25" s="18" customFormat="1">
      <c r="A13" s="65">
        <v>1989</v>
      </c>
      <c r="B13" s="10">
        <v>36340.558213571865</v>
      </c>
      <c r="C13" s="10">
        <v>298278.6448003315</v>
      </c>
      <c r="D13" s="11">
        <v>6856324.3151655151</v>
      </c>
      <c r="E13" s="216">
        <f t="shared" si="1"/>
        <v>0.5300297439721473</v>
      </c>
      <c r="F13" s="143">
        <f t="shared" si="0"/>
        <v>4.3504162155889929</v>
      </c>
      <c r="G13" s="87">
        <f t="shared" si="0"/>
        <v>100</v>
      </c>
      <c r="H13" s="233"/>
      <c r="I13" s="233"/>
      <c r="J13" s="124"/>
      <c r="P13" s="277"/>
      <c r="Q13" s="277"/>
      <c r="R13" s="277"/>
      <c r="S13" s="277"/>
      <c r="T13" s="277"/>
      <c r="U13" s="277"/>
      <c r="V13" s="277"/>
      <c r="W13" s="277"/>
      <c r="X13" s="277"/>
      <c r="Y13" s="277"/>
    </row>
    <row r="14" spans="1:25" s="18" customFormat="1">
      <c r="A14" s="65">
        <v>1990</v>
      </c>
      <c r="B14" s="10">
        <v>38755.535557625692</v>
      </c>
      <c r="C14" s="10">
        <v>291651.98385680316</v>
      </c>
      <c r="D14" s="11">
        <v>7344206.9376947712</v>
      </c>
      <c r="E14" s="216">
        <f t="shared" si="1"/>
        <v>0.5277021179606145</v>
      </c>
      <c r="F14" s="143">
        <f t="shared" si="0"/>
        <v>3.9711841772850156</v>
      </c>
      <c r="G14" s="87">
        <f t="shared" si="0"/>
        <v>100</v>
      </c>
      <c r="H14" s="233"/>
      <c r="I14" s="233"/>
      <c r="J14" s="124"/>
    </row>
    <row r="15" spans="1:25" s="18" customFormat="1">
      <c r="A15" s="65">
        <v>1991</v>
      </c>
      <c r="B15" s="10">
        <v>41888.084148073118</v>
      </c>
      <c r="C15" s="10">
        <v>282275.76941673324</v>
      </c>
      <c r="D15" s="11">
        <v>7610441.0443044873</v>
      </c>
      <c r="E15" s="216">
        <f t="shared" si="1"/>
        <v>0.55040284661848049</v>
      </c>
      <c r="F15" s="143">
        <f t="shared" si="0"/>
        <v>3.7090592749283982</v>
      </c>
      <c r="G15" s="87">
        <f t="shared" si="0"/>
        <v>100</v>
      </c>
      <c r="H15" s="233"/>
      <c r="I15" s="233"/>
      <c r="J15" s="124"/>
    </row>
    <row r="16" spans="1:25" s="18" customFormat="1">
      <c r="A16" s="65">
        <v>1992</v>
      </c>
      <c r="B16" s="10">
        <v>50301.92824260403</v>
      </c>
      <c r="C16" s="10">
        <v>277390.14238773275</v>
      </c>
      <c r="D16" s="11">
        <v>8085038.8432453629</v>
      </c>
      <c r="E16" s="216">
        <f t="shared" si="1"/>
        <v>0.62216062554391705</v>
      </c>
      <c r="F16" s="143">
        <f t="shared" si="0"/>
        <v>3.4309067373186224</v>
      </c>
      <c r="G16" s="87">
        <f t="shared" si="0"/>
        <v>100</v>
      </c>
      <c r="H16" s="233"/>
      <c r="I16" s="233"/>
      <c r="J16" s="124"/>
    </row>
    <row r="17" spans="1:10" s="18" customFormat="1">
      <c r="A17" s="65">
        <v>1993</v>
      </c>
      <c r="B17" s="10">
        <v>55278.858067958798</v>
      </c>
      <c r="C17" s="10">
        <v>295197.98900762753</v>
      </c>
      <c r="D17" s="11">
        <v>8788916.4970470946</v>
      </c>
      <c r="E17" s="216">
        <f t="shared" si="1"/>
        <v>0.62896101113864744</v>
      </c>
      <c r="F17" s="143">
        <f t="shared" si="0"/>
        <v>3.3587529146147688</v>
      </c>
      <c r="G17" s="87">
        <f t="shared" si="0"/>
        <v>100</v>
      </c>
      <c r="H17" s="233"/>
      <c r="I17" s="233"/>
      <c r="J17" s="124"/>
    </row>
    <row r="18" spans="1:10" s="18" customFormat="1">
      <c r="A18" s="65">
        <v>1994</v>
      </c>
      <c r="B18" s="10">
        <v>58843.249794242409</v>
      </c>
      <c r="C18" s="10">
        <v>300762.33582980564</v>
      </c>
      <c r="D18" s="11">
        <v>9724513.4809423145</v>
      </c>
      <c r="E18" s="216">
        <f t="shared" si="1"/>
        <v>0.60510224917226851</v>
      </c>
      <c r="F18" s="143">
        <f t="shared" si="0"/>
        <v>3.0928265606215346</v>
      </c>
      <c r="G18" s="87">
        <f t="shared" si="0"/>
        <v>100</v>
      </c>
      <c r="H18" s="233"/>
      <c r="I18" s="233"/>
      <c r="J18" s="124"/>
    </row>
    <row r="19" spans="1:10" s="18" customFormat="1">
      <c r="A19" s="65">
        <v>1995</v>
      </c>
      <c r="B19" s="10">
        <v>69229.354147259131</v>
      </c>
      <c r="C19" s="10">
        <v>303364.7612563275</v>
      </c>
      <c r="D19" s="11">
        <v>10706360.707825746</v>
      </c>
      <c r="E19" s="216">
        <f t="shared" si="1"/>
        <v>0.64661892155993184</v>
      </c>
      <c r="F19" s="143">
        <f t="shared" si="0"/>
        <v>2.8335002858121991</v>
      </c>
      <c r="G19" s="87">
        <f t="shared" si="0"/>
        <v>100</v>
      </c>
      <c r="H19" s="233"/>
      <c r="I19" s="233"/>
      <c r="J19" s="124"/>
    </row>
    <row r="20" spans="1:10" s="18" customFormat="1">
      <c r="A20" s="65">
        <v>1996</v>
      </c>
      <c r="B20" s="10">
        <v>81812.738882306672</v>
      </c>
      <c r="C20" s="10">
        <v>306775.90361445781</v>
      </c>
      <c r="D20" s="11">
        <v>11870787.990062548</v>
      </c>
      <c r="E20" s="216">
        <f t="shared" si="1"/>
        <v>0.68919383406388002</v>
      </c>
      <c r="F20" s="143">
        <f t="shared" si="0"/>
        <v>2.5842926676078339</v>
      </c>
      <c r="G20" s="87">
        <f t="shared" si="0"/>
        <v>100</v>
      </c>
      <c r="H20" s="233"/>
      <c r="I20" s="233"/>
      <c r="J20" s="124"/>
    </row>
    <row r="21" spans="1:10" s="18" customFormat="1">
      <c r="A21" s="65">
        <v>1997</v>
      </c>
      <c r="B21" s="10">
        <v>100398.74284370564</v>
      </c>
      <c r="C21" s="10">
        <v>297869.2706945719</v>
      </c>
      <c r="D21" s="11">
        <v>13291041.72423562</v>
      </c>
      <c r="E21" s="216">
        <f t="shared" si="1"/>
        <v>0.7553865598106807</v>
      </c>
      <c r="F21" s="143">
        <f t="shared" si="0"/>
        <v>2.241128098720965</v>
      </c>
      <c r="G21" s="87">
        <f t="shared" si="0"/>
        <v>100</v>
      </c>
      <c r="H21" s="233"/>
      <c r="I21" s="233"/>
      <c r="J21" s="124"/>
    </row>
    <row r="22" spans="1:10" s="18" customFormat="1">
      <c r="A22" s="65">
        <v>1998</v>
      </c>
      <c r="B22" s="10">
        <v>126396.43112321036</v>
      </c>
      <c r="C22" s="10">
        <v>299816.8990458147</v>
      </c>
      <c r="D22" s="11">
        <v>15072761.280972825</v>
      </c>
      <c r="E22" s="216">
        <f t="shared" si="1"/>
        <v>0.83857515399495852</v>
      </c>
      <c r="F22" s="143">
        <f t="shared" si="0"/>
        <v>1.9891305478598009</v>
      </c>
      <c r="G22" s="87">
        <f t="shared" si="0"/>
        <v>100</v>
      </c>
      <c r="H22" s="233"/>
      <c r="I22" s="233"/>
      <c r="J22" s="124"/>
    </row>
    <row r="23" spans="1:10" s="18" customFormat="1">
      <c r="A23" s="65">
        <v>1999</v>
      </c>
      <c r="B23" s="10">
        <v>145573.28045438512</v>
      </c>
      <c r="C23" s="10">
        <v>302216.04353532061</v>
      </c>
      <c r="D23" s="11">
        <v>17261965.4019657</v>
      </c>
      <c r="E23" s="216">
        <f t="shared" si="1"/>
        <v>0.8433181104499724</v>
      </c>
      <c r="F23" s="143">
        <f t="shared" si="0"/>
        <v>1.7507626536020393</v>
      </c>
      <c r="G23" s="87">
        <f t="shared" si="0"/>
        <v>100</v>
      </c>
      <c r="H23" s="233"/>
      <c r="I23" s="233"/>
      <c r="J23" s="124"/>
    </row>
    <row r="24" spans="1:10" s="18" customFormat="1">
      <c r="A24" s="65">
        <v>2000</v>
      </c>
      <c r="B24" s="10">
        <v>175472.29553121637</v>
      </c>
      <c r="C24" s="10">
        <v>298711.06539178832</v>
      </c>
      <c r="D24" s="11">
        <v>19814639.021945212</v>
      </c>
      <c r="E24" s="216">
        <f t="shared" si="1"/>
        <v>0.88556897421586334</v>
      </c>
      <c r="F24" s="143">
        <f t="shared" si="0"/>
        <v>1.5075271624224811</v>
      </c>
      <c r="G24" s="87">
        <f t="shared" si="0"/>
        <v>100</v>
      </c>
      <c r="H24" s="233"/>
      <c r="I24" s="233"/>
      <c r="J24" s="124"/>
    </row>
    <row r="25" spans="1:10" s="18" customFormat="1">
      <c r="A25" s="65">
        <v>2001</v>
      </c>
      <c r="B25" s="10">
        <v>202662.40740908231</v>
      </c>
      <c r="C25" s="10">
        <v>298792.19679701608</v>
      </c>
      <c r="D25" s="11">
        <v>22003085.568897508</v>
      </c>
      <c r="E25" s="216">
        <f t="shared" si="1"/>
        <v>0.92106357889893431</v>
      </c>
      <c r="F25" s="143">
        <f t="shared" si="0"/>
        <v>1.3579558915108443</v>
      </c>
      <c r="G25" s="87">
        <f t="shared" si="0"/>
        <v>100</v>
      </c>
      <c r="H25" s="233"/>
      <c r="I25" s="233"/>
      <c r="J25" s="124"/>
    </row>
    <row r="26" spans="1:10" s="18" customFormat="1">
      <c r="A26" s="65">
        <v>2002</v>
      </c>
      <c r="B26" s="10">
        <v>199400</v>
      </c>
      <c r="C26" s="10">
        <v>295800</v>
      </c>
      <c r="D26" s="11">
        <v>23739400</v>
      </c>
      <c r="E26" s="216">
        <f t="shared" si="1"/>
        <v>0.8399538320260832</v>
      </c>
      <c r="F26" s="143">
        <f t="shared" si="0"/>
        <v>1.2460298069875397</v>
      </c>
      <c r="G26" s="87">
        <f t="shared" si="0"/>
        <v>100</v>
      </c>
      <c r="H26" s="233"/>
      <c r="I26" s="233"/>
      <c r="J26" s="124"/>
    </row>
    <row r="27" spans="1:10" s="18" customFormat="1">
      <c r="A27" s="65">
        <v>2003</v>
      </c>
      <c r="B27" s="10">
        <v>192537.94350936537</v>
      </c>
      <c r="C27" s="10">
        <v>301082.16650385322</v>
      </c>
      <c r="D27" s="11">
        <v>25747932.50157997</v>
      </c>
      <c r="E27" s="216">
        <f t="shared" si="1"/>
        <v>0.74778020913931897</v>
      </c>
      <c r="F27" s="143">
        <f t="shared" si="0"/>
        <v>1.1693450201695921</v>
      </c>
      <c r="G27" s="87">
        <f t="shared" si="0"/>
        <v>100</v>
      </c>
      <c r="H27" s="233"/>
      <c r="I27" s="233"/>
      <c r="J27" s="124"/>
    </row>
    <row r="28" spans="1:10" s="18" customFormat="1">
      <c r="A28" s="65">
        <v>2004</v>
      </c>
      <c r="B28" s="10">
        <v>193236.14460010675</v>
      </c>
      <c r="C28" s="10">
        <v>303962.0644741127</v>
      </c>
      <c r="D28" s="11">
        <v>29193688.457515202</v>
      </c>
      <c r="E28" s="216">
        <f t="shared" si="1"/>
        <v>0.6619106896386806</v>
      </c>
      <c r="F28" s="143">
        <f t="shared" si="0"/>
        <v>1.0411910263290665</v>
      </c>
      <c r="G28" s="87">
        <f t="shared" si="0"/>
        <v>100</v>
      </c>
      <c r="H28" s="233"/>
      <c r="I28" s="233"/>
      <c r="J28" s="124"/>
    </row>
    <row r="29" spans="1:10" s="18" customFormat="1">
      <c r="A29" s="65">
        <v>2005</v>
      </c>
      <c r="B29" s="10">
        <v>188663.88705490791</v>
      </c>
      <c r="C29" s="10">
        <v>311318.98601778119</v>
      </c>
      <c r="D29" s="11">
        <v>33335367.315361653</v>
      </c>
      <c r="E29" s="216">
        <f t="shared" si="1"/>
        <v>0.56595712676598453</v>
      </c>
      <c r="F29" s="143">
        <f t="shared" si="0"/>
        <v>0.93389997198056585</v>
      </c>
      <c r="G29" s="87">
        <f t="shared" si="0"/>
        <v>100</v>
      </c>
      <c r="H29" s="233"/>
      <c r="I29" s="233"/>
      <c r="J29" s="124"/>
    </row>
    <row r="30" spans="1:10" s="18" customFormat="1">
      <c r="A30" s="65">
        <v>2006</v>
      </c>
      <c r="B30" s="10">
        <v>183427.36621234185</v>
      </c>
      <c r="C30" s="10">
        <v>324256.92746415635</v>
      </c>
      <c r="D30" s="11">
        <v>37418133.750299647</v>
      </c>
      <c r="E30" s="216">
        <f t="shared" si="1"/>
        <v>0.49020982028766447</v>
      </c>
      <c r="F30" s="143">
        <f t="shared" si="0"/>
        <v>0.86657696406774876</v>
      </c>
      <c r="G30" s="87">
        <f t="shared" si="0"/>
        <v>100</v>
      </c>
      <c r="H30" s="233"/>
      <c r="I30" s="233"/>
      <c r="J30" s="124"/>
    </row>
    <row r="31" spans="1:10" s="18" customFormat="1">
      <c r="A31" s="65">
        <v>2007</v>
      </c>
      <c r="B31" s="10">
        <v>186597.55261515643</v>
      </c>
      <c r="C31" s="10">
        <v>350840.05111354508</v>
      </c>
      <c r="D31" s="11">
        <v>40180689.084054306</v>
      </c>
      <c r="E31" s="216">
        <f t="shared" si="1"/>
        <v>0.46439609889420141</v>
      </c>
      <c r="F31" s="143">
        <f t="shared" si="0"/>
        <v>0.87315588435932479</v>
      </c>
      <c r="G31" s="87">
        <f t="shared" si="0"/>
        <v>100</v>
      </c>
      <c r="H31" s="233"/>
      <c r="I31" s="233"/>
      <c r="J31" s="124"/>
    </row>
    <row r="32" spans="1:10" s="18" customFormat="1">
      <c r="A32" s="65">
        <v>2008</v>
      </c>
      <c r="B32" s="10">
        <v>196840.67759819838</v>
      </c>
      <c r="C32" s="10">
        <v>388468.17244407599</v>
      </c>
      <c r="D32" s="11">
        <v>42006233.458277948</v>
      </c>
      <c r="E32" s="216">
        <f t="shared" si="1"/>
        <v>0.46859873259931145</v>
      </c>
      <c r="F32" s="143">
        <f t="shared" si="0"/>
        <v>0.92478696722455744</v>
      </c>
      <c r="G32" s="87">
        <f t="shared" si="0"/>
        <v>100</v>
      </c>
      <c r="H32" s="233"/>
      <c r="I32" s="233"/>
      <c r="J32" s="124"/>
    </row>
    <row r="33" spans="1:10" s="18" customFormat="1">
      <c r="A33" s="65">
        <v>2009</v>
      </c>
      <c r="B33" s="10">
        <v>185206.19714743097</v>
      </c>
      <c r="C33" s="10">
        <v>399248.46511352534</v>
      </c>
      <c r="D33" s="11">
        <v>40436161.722274281</v>
      </c>
      <c r="E33" s="216">
        <f t="shared" si="1"/>
        <v>0.45802120987514505</v>
      </c>
      <c r="F33" s="143">
        <f t="shared" si="0"/>
        <v>0.9873550013368334</v>
      </c>
      <c r="G33" s="87">
        <f t="shared" si="0"/>
        <v>100</v>
      </c>
      <c r="H33" s="233"/>
      <c r="I33" s="233"/>
      <c r="J33" s="124"/>
    </row>
    <row r="34" spans="1:10" s="18" customFormat="1">
      <c r="A34" s="66">
        <v>2010</v>
      </c>
      <c r="B34" s="13">
        <v>181133.64747166878</v>
      </c>
      <c r="C34" s="13">
        <v>415639.60510346055</v>
      </c>
      <c r="D34" s="14">
        <v>41243763.357813761</v>
      </c>
      <c r="E34" s="234">
        <f t="shared" si="1"/>
        <v>0.43917827260385645</v>
      </c>
      <c r="F34" s="215">
        <f t="shared" si="0"/>
        <v>1.0077635289911446</v>
      </c>
      <c r="G34" s="90">
        <f t="shared" si="0"/>
        <v>100</v>
      </c>
      <c r="H34" s="233"/>
      <c r="I34" s="233"/>
      <c r="J34" s="124"/>
    </row>
    <row r="35" spans="1:10" s="18" customFormat="1"/>
    <row r="36" spans="1:10" s="18" customFormat="1">
      <c r="A36" s="384" t="s">
        <v>52</v>
      </c>
      <c r="B36" s="385"/>
      <c r="C36" s="385"/>
      <c r="D36" s="386"/>
      <c r="E36" s="389" t="s">
        <v>77</v>
      </c>
      <c r="F36" s="390"/>
      <c r="G36" s="145"/>
      <c r="H36" s="145"/>
      <c r="I36" s="145"/>
      <c r="J36" s="145"/>
    </row>
    <row r="37" spans="1:10" s="18" customFormat="1">
      <c r="A37" s="15" t="s">
        <v>53</v>
      </c>
      <c r="B37" s="82">
        <f>(POWER(B14/B5,1/($A14-$A5))-1)*100</f>
        <v>4.8868727313235771</v>
      </c>
      <c r="C37" s="83">
        <f>(POWER(C14/C5,1/($A14-$A5))-1)*100</f>
        <v>-1.6860745825543089</v>
      </c>
      <c r="D37" s="84">
        <f>(POWER(D14/D5,1/($A14-$A5))-1)*100</f>
        <v>8.6258209927431384</v>
      </c>
      <c r="E37" s="82">
        <f>E14-E5</f>
        <v>-0.19556088871790378</v>
      </c>
      <c r="F37" s="84">
        <f>F14-F5</f>
        <v>-5.7738270988446612</v>
      </c>
      <c r="G37" s="26"/>
      <c r="H37" s="26"/>
      <c r="I37" s="26"/>
      <c r="J37" s="86"/>
    </row>
    <row r="38" spans="1:10" s="18" customFormat="1">
      <c r="A38" s="16" t="s">
        <v>71</v>
      </c>
      <c r="B38" s="37">
        <f>(POWER(B$24/B14,1/($A$24-$A$14))-1)*100</f>
        <v>16.302079883157038</v>
      </c>
      <c r="C38" s="34">
        <f>(POWER(C$24/C14,1/($A$24-$A$14))-1)*100</f>
        <v>0.23944134746796131</v>
      </c>
      <c r="D38" s="38">
        <f>(POWER(D$24/D14,1/($A$24-$A$14))-1)*100</f>
        <v>10.434336424332891</v>
      </c>
      <c r="E38" s="85">
        <f>E24-E14</f>
        <v>0.35786685625524883</v>
      </c>
      <c r="F38" s="87">
        <f>F24-F14</f>
        <v>-2.4636570148625347</v>
      </c>
      <c r="G38" s="26"/>
      <c r="H38" s="26"/>
      <c r="I38" s="26"/>
      <c r="J38" s="43"/>
    </row>
    <row r="39" spans="1:10" s="18" customFormat="1">
      <c r="A39" s="16" t="s">
        <v>69</v>
      </c>
      <c r="B39" s="37">
        <f>(POWER(B$34/B24,1/($A$34-$A$24))-1)*100</f>
        <v>0.31804441536145145</v>
      </c>
      <c r="C39" s="34">
        <f>(POWER(C$34/C24,1/($A$34-$A$24))-1)*100</f>
        <v>3.3585864657993403</v>
      </c>
      <c r="D39" s="38">
        <f>(POWER(D$34/D24,1/($A$34-$A$24))-1)*100</f>
        <v>7.6061794686050455</v>
      </c>
      <c r="E39" s="85">
        <f>E34-E24</f>
        <v>-0.44639070161200689</v>
      </c>
      <c r="F39" s="87">
        <f>F34-F24</f>
        <v>-0.49976363343133645</v>
      </c>
      <c r="G39" s="26"/>
      <c r="H39" s="26"/>
      <c r="I39" s="26"/>
      <c r="J39" s="43"/>
    </row>
    <row r="40" spans="1:10" s="18" customFormat="1">
      <c r="A40" s="17" t="s">
        <v>70</v>
      </c>
      <c r="B40" s="39">
        <f>(POWER(B34/B5,1/($A$34-$A$5))-1)*100</f>
        <v>7.0342099190243257</v>
      </c>
      <c r="C40" s="40">
        <f>(POWER(C34/C5,1/($A$34-$A$5))-1)*100</f>
        <v>0.69626354125125189</v>
      </c>
      <c r="D40" s="41">
        <f>(POWER(D34/D5,1/($A$34-$A$5))-1)*100</f>
        <v>8.8913754813336752</v>
      </c>
      <c r="E40" s="88">
        <f>E34-E5</f>
        <v>-0.28408473407466184</v>
      </c>
      <c r="F40" s="90">
        <f>F34-F5</f>
        <v>-8.7372477471385324</v>
      </c>
      <c r="G40" s="26"/>
      <c r="H40" s="26"/>
      <c r="I40" s="26"/>
      <c r="J40" s="43"/>
    </row>
    <row r="42" spans="1:10">
      <c r="A42" s="1" t="s">
        <v>48</v>
      </c>
    </row>
    <row r="43" spans="1:10">
      <c r="A43" s="211" t="s">
        <v>73</v>
      </c>
      <c r="B43" s="211"/>
      <c r="C43" s="211"/>
      <c r="D43" s="211"/>
      <c r="E43" s="211"/>
      <c r="F43" s="211"/>
      <c r="G43" s="211"/>
      <c r="H43" s="211"/>
      <c r="I43" s="211"/>
    </row>
    <row r="44" spans="1:10">
      <c r="A44" s="1" t="s">
        <v>78</v>
      </c>
    </row>
  </sheetData>
  <mergeCells count="3">
    <mergeCell ref="A36:D36"/>
    <mergeCell ref="E36:F36"/>
    <mergeCell ref="E3:G3"/>
  </mergeCells>
  <hyperlinks>
    <hyperlink ref="A43" r:id="rId1"/>
  </hyperlinks>
  <pageMargins left="0.7" right="0.7" top="0.75" bottom="0.75" header="0.3" footer="0.3"/>
  <pageSetup scale="68" orientation="portrait" horizontalDpi="0" verticalDpi="0" r:id="rId2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86"/>
  <dimension ref="A1:M43"/>
  <sheetViews>
    <sheetView zoomScaleNormal="100" workbookViewId="0">
      <selection sqref="A1:F2"/>
    </sheetView>
  </sheetViews>
  <sheetFormatPr defaultRowHeight="15"/>
  <cols>
    <col min="1" max="1" width="11.140625" customWidth="1"/>
    <col min="2" max="2" width="12.7109375" customWidth="1"/>
    <col min="3" max="3" width="10.42578125" bestFit="1" customWidth="1"/>
    <col min="4" max="4" width="21.8554687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2.7109375" bestFit="1" customWidth="1"/>
    <col min="11" max="11" width="10.42578125" bestFit="1" customWidth="1"/>
    <col min="12" max="12" width="21.85546875" bestFit="1" customWidth="1"/>
  </cols>
  <sheetData>
    <row r="1" spans="1:13">
      <c r="A1" s="387" t="s">
        <v>157</v>
      </c>
      <c r="B1" s="387"/>
      <c r="C1" s="387"/>
      <c r="D1" s="387"/>
      <c r="E1" s="387"/>
      <c r="F1" s="387"/>
      <c r="G1" s="227"/>
      <c r="H1" s="227"/>
      <c r="I1" s="227"/>
      <c r="J1" s="227"/>
      <c r="K1" s="227"/>
      <c r="L1" s="227"/>
      <c r="M1" s="227"/>
    </row>
    <row r="2" spans="1:13" ht="35.25" customHeight="1">
      <c r="A2" s="387"/>
      <c r="B2" s="387"/>
      <c r="C2" s="387"/>
      <c r="D2" s="387"/>
      <c r="E2" s="387"/>
      <c r="F2" s="387"/>
      <c r="G2" s="227"/>
      <c r="H2" s="227"/>
      <c r="I2" s="227"/>
      <c r="J2" s="227"/>
      <c r="K2" s="227"/>
      <c r="L2" s="227"/>
      <c r="M2" s="227"/>
    </row>
    <row r="3" spans="1:1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>
      <c r="A4" s="233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233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190" t="str">
        <f>IFERROR('8a'!B6/'5h'!$B5*1000, "na")</f>
        <v>na</v>
      </c>
      <c r="C6" s="191" t="str">
        <f>IFERROR('8a'!C6/'5h'!$B5*1000, "na")</f>
        <v>na</v>
      </c>
      <c r="D6" s="191" t="str">
        <f>IFERROR('8a'!D6/'5h'!$B5*1000, "na")</f>
        <v>na</v>
      </c>
      <c r="E6" s="153" t="str">
        <f>IFERROR('8a'!E6/'5h'!$B5*1000, "na")</f>
        <v>na</v>
      </c>
      <c r="F6" s="190">
        <f>IFERROR('8a'!F6/'5h'!$C5*1000, "na")</f>
        <v>1.5951138112590673</v>
      </c>
      <c r="G6" s="191">
        <f>IFERROR('8a'!G6/'5h'!$C5*1000, "na")</f>
        <v>31.108058528494837</v>
      </c>
      <c r="H6" s="191">
        <f>IFERROR('8a'!H6/'5h'!$C5*1000, "na")</f>
        <v>1725.9936816682077</v>
      </c>
      <c r="I6" s="153">
        <f>IFERROR('8a'!I6/'5h'!$C5*1000, "na")</f>
        <v>1758.6968540079617</v>
      </c>
      <c r="J6" s="190">
        <f>IFERROR('8a'!J6/'5h'!$D5*1000, "na")</f>
        <v>3.4066208289704871</v>
      </c>
      <c r="K6" s="191">
        <f>IFERROR('8a'!K6/'5h'!$D5*1000, "na")</f>
        <v>16.391389519081109</v>
      </c>
      <c r="L6" s="191">
        <f>IFERROR('8a'!L6/'5h'!$D5*1000, "na")</f>
        <v>384.2126228660145</v>
      </c>
      <c r="M6" s="153">
        <f>IFERROR('8a'!M6/'5h'!$D5*1000, "na")</f>
        <v>404.01063321406605</v>
      </c>
    </row>
    <row r="7" spans="1:13">
      <c r="A7" s="185">
        <v>1982</v>
      </c>
      <c r="B7" s="112" t="str">
        <f>IFERROR('8a'!B7/'5h'!$B6*1000, "na")</f>
        <v>na</v>
      </c>
      <c r="C7" s="113" t="str">
        <f>IFERROR('8a'!C7/'5h'!$B6*1000, "na")</f>
        <v>na</v>
      </c>
      <c r="D7" s="113" t="str">
        <f>IFERROR('8a'!D7/'5h'!$B6*1000, "na")</f>
        <v>na</v>
      </c>
      <c r="E7" s="97" t="str">
        <f>IFERROR('8a'!E7/'5h'!$B6*1000, "na")</f>
        <v>na</v>
      </c>
      <c r="F7" s="112">
        <f>IFERROR('8a'!F7/'5h'!$C6*1000, "na")</f>
        <v>1.6726910649658835</v>
      </c>
      <c r="G7" s="113">
        <f>IFERROR('8a'!G7/'5h'!$C6*1000, "na")</f>
        <v>30.133840773693279</v>
      </c>
      <c r="H7" s="113">
        <f>IFERROR('8a'!H7/'5h'!$C6*1000, "na")</f>
        <v>2187.2394944024459</v>
      </c>
      <c r="I7" s="97">
        <f>IFERROR('8a'!I7/'5h'!$C6*1000, "na")</f>
        <v>2219.0460262411048</v>
      </c>
      <c r="J7" s="112">
        <f>IFERROR('8a'!J7/'5h'!$D6*1000, "na")</f>
        <v>5.4631689437452788</v>
      </c>
      <c r="K7" s="113">
        <f>IFERROR('8a'!K7/'5h'!$D6*1000, "na")</f>
        <v>22.384158681394297</v>
      </c>
      <c r="L7" s="113">
        <f>IFERROR('8a'!L7/'5h'!$D6*1000, "na")</f>
        <v>479.95941286366536</v>
      </c>
      <c r="M7" s="97">
        <f>IFERROR('8a'!M7/'5h'!$D6*1000, "na")</f>
        <v>507.80674048880491</v>
      </c>
    </row>
    <row r="8" spans="1:13">
      <c r="A8" s="185">
        <v>1983</v>
      </c>
      <c r="B8" s="112" t="str">
        <f>IFERROR('8a'!B8/'5h'!$B7*1000, "na")</f>
        <v>na</v>
      </c>
      <c r="C8" s="113" t="str">
        <f>IFERROR('8a'!C8/'5h'!$B7*1000, "na")</f>
        <v>na</v>
      </c>
      <c r="D8" s="113" t="str">
        <f>IFERROR('8a'!D8/'5h'!$B7*1000, "na")</f>
        <v>na</v>
      </c>
      <c r="E8" s="97" t="str">
        <f>IFERROR('8a'!E8/'5h'!$B7*1000, "na")</f>
        <v>na</v>
      </c>
      <c r="F8" s="112">
        <f>IFERROR('8a'!F8/'5h'!$C7*1000, "na")</f>
        <v>1.4468622198101053</v>
      </c>
      <c r="G8" s="113">
        <f>IFERROR('8a'!G8/'5h'!$C7*1000, "na")</f>
        <v>24.577721818392543</v>
      </c>
      <c r="H8" s="113">
        <f>IFERROR('8a'!H8/'5h'!$C7*1000, "na")</f>
        <v>2619.0715480198091</v>
      </c>
      <c r="I8" s="97">
        <f>IFERROR('8a'!I8/'5h'!$C7*1000, "na")</f>
        <v>2645.0961320580118</v>
      </c>
      <c r="J8" s="112">
        <f>IFERROR('8a'!J8/'5h'!$D7*1000, "na")</f>
        <v>8.4625784271685429</v>
      </c>
      <c r="K8" s="113">
        <f>IFERROR('8a'!K8/'5h'!$D7*1000, "na")</f>
        <v>29.407940080540524</v>
      </c>
      <c r="L8" s="113">
        <f>IFERROR('8a'!L8/'5h'!$D7*1000, "na")</f>
        <v>557.85905242856802</v>
      </c>
      <c r="M8" s="97">
        <f>IFERROR('8a'!M8/'5h'!$D7*1000, "na")</f>
        <v>595.72957093627713</v>
      </c>
    </row>
    <row r="9" spans="1:13">
      <c r="A9" s="185">
        <v>1984</v>
      </c>
      <c r="B9" s="112" t="str">
        <f>IFERROR('8a'!B9/'5h'!$B8*1000, "na")</f>
        <v>na</v>
      </c>
      <c r="C9" s="113" t="str">
        <f>IFERROR('8a'!C9/'5h'!$B8*1000, "na")</f>
        <v>na</v>
      </c>
      <c r="D9" s="113" t="str">
        <f>IFERROR('8a'!D9/'5h'!$B8*1000, "na")</f>
        <v>na</v>
      </c>
      <c r="E9" s="97" t="str">
        <f>IFERROR('8a'!E9/'5h'!$B8*1000, "na")</f>
        <v>na</v>
      </c>
      <c r="F9" s="112">
        <f>IFERROR('8a'!F9/'5h'!$C8*1000, "na")</f>
        <v>1.2961326371139517</v>
      </c>
      <c r="G9" s="113">
        <f>IFERROR('8a'!G9/'5h'!$C8*1000, "na")</f>
        <v>18.9387877678795</v>
      </c>
      <c r="H9" s="113">
        <f>IFERROR('8a'!H9/'5h'!$C8*1000, "na")</f>
        <v>2941.5702052599877</v>
      </c>
      <c r="I9" s="97">
        <f>IFERROR('8a'!I9/'5h'!$C8*1000, "na")</f>
        <v>2961.8051256649806</v>
      </c>
      <c r="J9" s="112">
        <f>IFERROR('8a'!J9/'5h'!$D8*1000, "na")</f>
        <v>14.963344767755697</v>
      </c>
      <c r="K9" s="113">
        <f>IFERROR('8a'!K9/'5h'!$D8*1000, "na")</f>
        <v>39.505473617197488</v>
      </c>
      <c r="L9" s="113">
        <f>IFERROR('8a'!L9/'5h'!$D8*1000, "na")</f>
        <v>632.42662856377797</v>
      </c>
      <c r="M9" s="97">
        <f>IFERROR('8a'!M9/'5h'!$D8*1000, "na")</f>
        <v>686.89544694873121</v>
      </c>
    </row>
    <row r="10" spans="1:13">
      <c r="A10" s="185">
        <v>1985</v>
      </c>
      <c r="B10" s="112" t="str">
        <f>IFERROR('8a'!B10/'5h'!$B9*1000, "na")</f>
        <v>na</v>
      </c>
      <c r="C10" s="113" t="str">
        <f>IFERROR('8a'!C10/'5h'!$B9*1000, "na")</f>
        <v>na</v>
      </c>
      <c r="D10" s="113" t="str">
        <f>IFERROR('8a'!D10/'5h'!$B9*1000, "na")</f>
        <v>na</v>
      </c>
      <c r="E10" s="97" t="str">
        <f>IFERROR('8a'!E10/'5h'!$B9*1000, "na")</f>
        <v>na</v>
      </c>
      <c r="F10" s="112">
        <f>IFERROR('8a'!F10/'5h'!$C9*1000, "na")</f>
        <v>1.287425066144134</v>
      </c>
      <c r="G10" s="113">
        <f>IFERROR('8a'!G10/'5h'!$C9*1000, "na")</f>
        <v>16.933948009661069</v>
      </c>
      <c r="H10" s="113">
        <f>IFERROR('8a'!H10/'5h'!$C9*1000, "na")</f>
        <v>3393.2426127023705</v>
      </c>
      <c r="I10" s="97">
        <f>IFERROR('8a'!I10/'5h'!$C9*1000, "na")</f>
        <v>3411.4639857781758</v>
      </c>
      <c r="J10" s="112">
        <f>IFERROR('8a'!J10/'5h'!$D9*1000, "na")</f>
        <v>23.316515375892891</v>
      </c>
      <c r="K10" s="113">
        <f>IFERROR('8a'!K10/'5h'!$D9*1000, "na")</f>
        <v>52.28013804854406</v>
      </c>
      <c r="L10" s="113">
        <f>IFERROR('8a'!L10/'5h'!$D9*1000, "na")</f>
        <v>713.47435360944303</v>
      </c>
      <c r="M10" s="97">
        <f>IFERROR('8a'!M10/'5h'!$D9*1000, "na")</f>
        <v>789.07100703387994</v>
      </c>
    </row>
    <row r="11" spans="1:13">
      <c r="A11" s="185">
        <v>1986</v>
      </c>
      <c r="B11" s="112" t="str">
        <f>IFERROR('8a'!B11/'5h'!$B10*1000, "na")</f>
        <v>na</v>
      </c>
      <c r="C11" s="113" t="str">
        <f>IFERROR('8a'!C11/'5h'!$B10*1000, "na")</f>
        <v>na</v>
      </c>
      <c r="D11" s="113" t="str">
        <f>IFERROR('8a'!D11/'5h'!$B10*1000, "na")</f>
        <v>na</v>
      </c>
      <c r="E11" s="97" t="str">
        <f>IFERROR('8a'!E11/'5h'!$B10*1000, "na")</f>
        <v>na</v>
      </c>
      <c r="F11" s="112">
        <f>IFERROR('8a'!F11/'5h'!$C10*1000, "na")</f>
        <v>1.2887933120766393</v>
      </c>
      <c r="G11" s="113">
        <f>IFERROR('8a'!G11/'5h'!$C10*1000, "na")</f>
        <v>15.704766395451836</v>
      </c>
      <c r="H11" s="113">
        <f>IFERROR('8a'!H11/'5h'!$C10*1000, "na")</f>
        <v>3762.3784455751588</v>
      </c>
      <c r="I11" s="97">
        <f>IFERROR('8a'!I11/'5h'!$C10*1000, "na")</f>
        <v>3779.372005282687</v>
      </c>
      <c r="J11" s="112">
        <f>IFERROR('8a'!J11/'5h'!$D10*1000, "na")</f>
        <v>30.519927794012901</v>
      </c>
      <c r="K11" s="113">
        <f>IFERROR('8a'!K11/'5h'!$D10*1000, "na")</f>
        <v>66.006038602781246</v>
      </c>
      <c r="L11" s="113">
        <f>IFERROR('8a'!L11/'5h'!$D10*1000, "na")</f>
        <v>808.8674935786886</v>
      </c>
      <c r="M11" s="97">
        <f>IFERROR('8a'!M11/'5h'!$D10*1000, "na")</f>
        <v>905.39345997548287</v>
      </c>
    </row>
    <row r="12" spans="1:13">
      <c r="A12" s="185">
        <v>1987</v>
      </c>
      <c r="B12" s="112" t="str">
        <f>IFERROR('8a'!B12/'5h'!$B11*1000, "na")</f>
        <v>na</v>
      </c>
      <c r="C12" s="113" t="str">
        <f>IFERROR('8a'!C12/'5h'!$B11*1000, "na")</f>
        <v>na</v>
      </c>
      <c r="D12" s="113" t="str">
        <f>IFERROR('8a'!D12/'5h'!$B11*1000, "na")</f>
        <v>na</v>
      </c>
      <c r="E12" s="97" t="str">
        <f>IFERROR('8a'!E12/'5h'!$B11*1000, "na")</f>
        <v>na</v>
      </c>
      <c r="F12" s="112">
        <f>IFERROR('8a'!F12/'5h'!$C11*1000, "na")</f>
        <v>2.1100340166479388</v>
      </c>
      <c r="G12" s="113">
        <f>IFERROR('8a'!G12/'5h'!$C11*1000, "na")</f>
        <v>15.998243643315247</v>
      </c>
      <c r="H12" s="113">
        <f>IFERROR('8a'!H12/'5h'!$C11*1000, "na")</f>
        <v>4060.1903886196478</v>
      </c>
      <c r="I12" s="97">
        <f>IFERROR('8a'!I12/'5h'!$C11*1000, "na")</f>
        <v>4078.2986662796111</v>
      </c>
      <c r="J12" s="112">
        <f>IFERROR('8a'!J12/'5h'!$D11*1000, "na")</f>
        <v>40.497262206593753</v>
      </c>
      <c r="K12" s="113">
        <f>IFERROR('8a'!K12/'5h'!$D11*1000, "na")</f>
        <v>83.70668001964917</v>
      </c>
      <c r="L12" s="113">
        <f>IFERROR('8a'!L12/'5h'!$D11*1000, "na")</f>
        <v>891.80315039263746</v>
      </c>
      <c r="M12" s="97">
        <f>IFERROR('8a'!M12/'5h'!$D11*1000, "na")</f>
        <v>1016.0070926188804</v>
      </c>
    </row>
    <row r="13" spans="1:13">
      <c r="A13" s="185">
        <v>1988</v>
      </c>
      <c r="B13" s="112" t="str">
        <f>IFERROR('8a'!B13/'5h'!$B12*1000, "na")</f>
        <v>na</v>
      </c>
      <c r="C13" s="113" t="str">
        <f>IFERROR('8a'!C13/'5h'!$B12*1000, "na")</f>
        <v>na</v>
      </c>
      <c r="D13" s="113" t="str">
        <f>IFERROR('8a'!D13/'5h'!$B12*1000, "na")</f>
        <v>na</v>
      </c>
      <c r="E13" s="97" t="str">
        <f>IFERROR('8a'!E13/'5h'!$B12*1000, "na")</f>
        <v>na</v>
      </c>
      <c r="F13" s="112">
        <f>IFERROR('8a'!F13/'5h'!$C12*1000, "na")</f>
        <v>7.2781456812211776</v>
      </c>
      <c r="G13" s="113">
        <f>IFERROR('8a'!G13/'5h'!$C12*1000, "na")</f>
        <v>34.731219589001498</v>
      </c>
      <c r="H13" s="113">
        <f>IFERROR('8a'!H13/'5h'!$C12*1000, "na")</f>
        <v>4563.6096589562785</v>
      </c>
      <c r="I13" s="97">
        <f>IFERROR('8a'!I13/'5h'!$C12*1000, "na")</f>
        <v>4605.6190242265011</v>
      </c>
      <c r="J13" s="112">
        <f>IFERROR('8a'!J13/'5h'!$D12*1000, "na")</f>
        <v>49.327888987655903</v>
      </c>
      <c r="K13" s="113">
        <f>IFERROR('8a'!K13/'5h'!$D12*1000, "na")</f>
        <v>106.36285469037236</v>
      </c>
      <c r="L13" s="113">
        <f>IFERROR('8a'!L13/'5h'!$D12*1000, "na")</f>
        <v>972.31839554520434</v>
      </c>
      <c r="M13" s="97">
        <f>IFERROR('8a'!M13/'5h'!$D12*1000, "na")</f>
        <v>1128.0091392232325</v>
      </c>
    </row>
    <row r="14" spans="1:13">
      <c r="A14" s="185">
        <v>1989</v>
      </c>
      <c r="B14" s="112" t="str">
        <f>IFERROR('8a'!B14/'5h'!$B13*1000, "na")</f>
        <v>na</v>
      </c>
      <c r="C14" s="113" t="str">
        <f>IFERROR('8a'!C14/'5h'!$B13*1000, "na")</f>
        <v>na</v>
      </c>
      <c r="D14" s="113" t="str">
        <f>IFERROR('8a'!D14/'5h'!$B13*1000, "na")</f>
        <v>na</v>
      </c>
      <c r="E14" s="97" t="str">
        <f>IFERROR('8a'!E14/'5h'!$B13*1000, "na")</f>
        <v>na</v>
      </c>
      <c r="F14" s="112">
        <f>IFERROR('8a'!F14/'5h'!$C13*1000, "na")</f>
        <v>17.934970430871015</v>
      </c>
      <c r="G14" s="113">
        <f>IFERROR('8a'!G14/'5h'!$C13*1000, "na")</f>
        <v>99.378021947295636</v>
      </c>
      <c r="H14" s="113">
        <f>IFERROR('8a'!H14/'5h'!$C13*1000, "na")</f>
        <v>5025.4557498028416</v>
      </c>
      <c r="I14" s="97">
        <f>IFERROR('8a'!I14/'5h'!$C13*1000, "na")</f>
        <v>5142.7687421810097</v>
      </c>
      <c r="J14" s="112">
        <f>IFERROR('8a'!J14/'5h'!$D13*1000, "na")</f>
        <v>60.57344776751917</v>
      </c>
      <c r="K14" s="113">
        <f>IFERROR('8a'!K14/'5h'!$D13*1000, "na")</f>
        <v>144.48601781731381</v>
      </c>
      <c r="L14" s="113">
        <f>IFERROR('8a'!L14/'5h'!$D13*1000, "na")</f>
        <v>1061.5997579325899</v>
      </c>
      <c r="M14" s="97">
        <f>IFERROR('8a'!M14/'5h'!$D13*1000, "na")</f>
        <v>1266.659223517423</v>
      </c>
    </row>
    <row r="15" spans="1:13">
      <c r="A15" s="185">
        <v>1990</v>
      </c>
      <c r="B15" s="112">
        <f>IFERROR('8a'!B15/'5h'!$B14*1000, "na")</f>
        <v>85.16910258657937</v>
      </c>
      <c r="C15" s="113">
        <f>IFERROR('8a'!C15/'5h'!$B14*1000, "na")</f>
        <v>729.29951570588355</v>
      </c>
      <c r="D15" s="113">
        <f>IFERROR('8a'!D15/'5h'!$B14*1000, "na")</f>
        <v>4495.372232683435</v>
      </c>
      <c r="E15" s="97">
        <f>IFERROR('8a'!E15/'5h'!$B14*1000, "na")</f>
        <v>5309.8408509758983</v>
      </c>
      <c r="F15" s="112">
        <f>IFERROR('8a'!F15/'5h'!$C14*1000, "na")</f>
        <v>32.609521118601997</v>
      </c>
      <c r="G15" s="113">
        <f>IFERROR('8a'!G15/'5h'!$C14*1000, "na")</f>
        <v>206.53605875502663</v>
      </c>
      <c r="H15" s="113">
        <f>IFERROR('8a'!H15/'5h'!$C14*1000, "na")</f>
        <v>5269.3151755395684</v>
      </c>
      <c r="I15" s="97">
        <f>IFERROR('8a'!I15/'5h'!$C14*1000, "na")</f>
        <v>5508.4607554131962</v>
      </c>
      <c r="J15" s="112">
        <f>IFERROR('8a'!J15/'5h'!$D14*1000, "na")</f>
        <v>63.721943374945205</v>
      </c>
      <c r="K15" s="113">
        <f>IFERROR('8a'!K15/'5h'!$D14*1000, "na")</f>
        <v>198.2734908429409</v>
      </c>
      <c r="L15" s="113">
        <f>IFERROR('8a'!L15/'5h'!$D14*1000, "na")</f>
        <v>1158.9178099476323</v>
      </c>
      <c r="M15" s="97">
        <f>IFERROR('8a'!M15/'5h'!$D14*1000, "na")</f>
        <v>1420.9132441655181</v>
      </c>
    </row>
    <row r="16" spans="1:13">
      <c r="A16" s="185">
        <v>1991</v>
      </c>
      <c r="B16" s="112">
        <f>IFERROR('8a'!B16/'5h'!$B15*1000, "na")</f>
        <v>100.40758137876888</v>
      </c>
      <c r="C16" s="113">
        <f>IFERROR('8a'!C16/'5h'!$B15*1000, "na")</f>
        <v>929.10085213415448</v>
      </c>
      <c r="D16" s="113">
        <f>IFERROR('8a'!D16/'5h'!$B15*1000, "na")</f>
        <v>5184.8765023768756</v>
      </c>
      <c r="E16" s="97">
        <f>IFERROR('8a'!E16/'5h'!$B15*1000, "na")</f>
        <v>6214.3849358897996</v>
      </c>
      <c r="F16" s="112">
        <f>IFERROR('8a'!F16/'5h'!$C15*1000, "na")</f>
        <v>48.884289928916303</v>
      </c>
      <c r="G16" s="113">
        <f>IFERROR('8a'!G16/'5h'!$C15*1000, "na")</f>
        <v>354.85197433758196</v>
      </c>
      <c r="H16" s="113">
        <f>IFERROR('8a'!H16/'5h'!$C15*1000, "na")</f>
        <v>5430.3417474728185</v>
      </c>
      <c r="I16" s="97">
        <f>IFERROR('8a'!I16/'5h'!$C15*1000, "na")</f>
        <v>5834.0780117393169</v>
      </c>
      <c r="J16" s="112">
        <f>IFERROR('8a'!J16/'5h'!$D15*1000, "na")</f>
        <v>65.791588909239621</v>
      </c>
      <c r="K16" s="113">
        <f>IFERROR('8a'!K16/'5h'!$D15*1000, "na")</f>
        <v>255.18428408698679</v>
      </c>
      <c r="L16" s="113">
        <f>IFERROR('8a'!L16/'5h'!$D15*1000, "na")</f>
        <v>1266.5018529442395</v>
      </c>
      <c r="M16" s="97">
        <f>IFERROR('8a'!M16/'5h'!$D15*1000, "na")</f>
        <v>1587.4777259404659</v>
      </c>
    </row>
    <row r="17" spans="1:13">
      <c r="A17" s="185">
        <v>1992</v>
      </c>
      <c r="B17" s="112">
        <f>IFERROR('8a'!B17/'5h'!$B16*1000, "na")</f>
        <v>132.11237415013707</v>
      </c>
      <c r="C17" s="113">
        <f>IFERROR('8a'!C17/'5h'!$B16*1000, "na")</f>
        <v>1156.9795897064682</v>
      </c>
      <c r="D17" s="113">
        <f>IFERROR('8a'!D17/'5h'!$B16*1000, "na")</f>
        <v>7847.8894567124562</v>
      </c>
      <c r="E17" s="97">
        <f>IFERROR('8a'!E17/'5h'!$B16*1000, "na")</f>
        <v>9136.9814205690618</v>
      </c>
      <c r="F17" s="112">
        <f>IFERROR('8a'!F17/'5h'!$C16*1000, "na")</f>
        <v>80.969501942435386</v>
      </c>
      <c r="G17" s="113">
        <f>IFERROR('8a'!G17/'5h'!$C16*1000, "na")</f>
        <v>559.91370798035098</v>
      </c>
      <c r="H17" s="113">
        <f>IFERROR('8a'!H17/'5h'!$C16*1000, "na")</f>
        <v>5277.0872178350146</v>
      </c>
      <c r="I17" s="97">
        <f>IFERROR('8a'!I17/'5h'!$C16*1000, "na")</f>
        <v>5917.9704277578012</v>
      </c>
      <c r="J17" s="112">
        <f>IFERROR('8a'!J17/'5h'!$D16*1000, "na")</f>
        <v>75.341502131053431</v>
      </c>
      <c r="K17" s="113">
        <f>IFERROR('8a'!K17/'5h'!$D16*1000, "na")</f>
        <v>323.88756127886046</v>
      </c>
      <c r="L17" s="113">
        <f>IFERROR('8a'!L17/'5h'!$D16*1000, "na")</f>
        <v>1362.8052440914601</v>
      </c>
      <c r="M17" s="97">
        <f>IFERROR('8a'!M17/'5h'!$D16*1000, "na")</f>
        <v>1762.0343075013741</v>
      </c>
    </row>
    <row r="18" spans="1:13">
      <c r="A18" s="185">
        <v>1993</v>
      </c>
      <c r="B18" s="112">
        <f>IFERROR('8a'!B18/'5h'!$B17*1000, "na")</f>
        <v>191.11776899647978</v>
      </c>
      <c r="C18" s="113">
        <f>IFERROR('8a'!C18/'5h'!$B17*1000, "na")</f>
        <v>1473.838753795111</v>
      </c>
      <c r="D18" s="113">
        <f>IFERROR('8a'!D18/'5h'!$B17*1000, "na")</f>
        <v>9996.011628026592</v>
      </c>
      <c r="E18" s="97">
        <f>IFERROR('8a'!E18/'5h'!$B17*1000, "na")</f>
        <v>11660.968150818184</v>
      </c>
      <c r="F18" s="112">
        <f>IFERROR('8a'!F18/'5h'!$C17*1000, "na")</f>
        <v>194.59993169901281</v>
      </c>
      <c r="G18" s="113">
        <f>IFERROR('8a'!G18/'5h'!$C17*1000, "na")</f>
        <v>1410.4129093779634</v>
      </c>
      <c r="H18" s="113">
        <f>IFERROR('8a'!H18/'5h'!$C17*1000, "na")</f>
        <v>5444.5913853685624</v>
      </c>
      <c r="I18" s="97">
        <f>IFERROR('8a'!I18/'5h'!$C17*1000, "na")</f>
        <v>7049.6042264455391</v>
      </c>
      <c r="J18" s="112">
        <f>IFERROR('8a'!J18/'5h'!$D17*1000, "na")</f>
        <v>91.772450225164533</v>
      </c>
      <c r="K18" s="113">
        <f>IFERROR('8a'!K18/'5h'!$D17*1000, "na")</f>
        <v>401.81109409736877</v>
      </c>
      <c r="L18" s="113">
        <f>IFERROR('8a'!L18/'5h'!$D17*1000, "na")</f>
        <v>1448.1097477990045</v>
      </c>
      <c r="M18" s="97">
        <f>IFERROR('8a'!M18/'5h'!$D17*1000, "na")</f>
        <v>1941.6932921215378</v>
      </c>
    </row>
    <row r="19" spans="1:13">
      <c r="A19" s="185">
        <v>1994</v>
      </c>
      <c r="B19" s="112">
        <f>IFERROR('8a'!B19/'5h'!$B18*1000, "na")</f>
        <v>247.99856487062303</v>
      </c>
      <c r="C19" s="113">
        <f>IFERROR('8a'!C19/'5h'!$B18*1000, "na")</f>
        <v>1997.1594950376361</v>
      </c>
      <c r="D19" s="113">
        <f>IFERROR('8a'!D19/'5h'!$B18*1000, "na")</f>
        <v>13238.722328603008</v>
      </c>
      <c r="E19" s="97">
        <f>IFERROR('8a'!E19/'5h'!$B18*1000, "na")</f>
        <v>15483.880388511265</v>
      </c>
      <c r="F19" s="112">
        <f>IFERROR('8a'!F19/'5h'!$C18*1000, "na")</f>
        <v>292.46137868808</v>
      </c>
      <c r="G19" s="113">
        <f>IFERROR('8a'!G19/'5h'!$C18*1000, "na")</f>
        <v>2280.7329227953155</v>
      </c>
      <c r="H19" s="113">
        <f>IFERROR('8a'!H19/'5h'!$C18*1000, "na")</f>
        <v>5813.9529972619312</v>
      </c>
      <c r="I19" s="97">
        <f>IFERROR('8a'!I19/'5h'!$C18*1000, "na")</f>
        <v>8387.1472987453271</v>
      </c>
      <c r="J19" s="112">
        <f>IFERROR('8a'!J19/'5h'!$D18*1000, "na")</f>
        <v>113.37509740397019</v>
      </c>
      <c r="K19" s="113">
        <f>IFERROR('8a'!K19/'5h'!$D18*1000, "na")</f>
        <v>468.85684702063639</v>
      </c>
      <c r="L19" s="113">
        <f>IFERROR('8a'!L19/'5h'!$D18*1000, "na")</f>
        <v>1544.4070545448387</v>
      </c>
      <c r="M19" s="97">
        <f>IFERROR('8a'!M19/'5h'!$D18*1000, "na")</f>
        <v>2126.6389989694453</v>
      </c>
    </row>
    <row r="20" spans="1:13">
      <c r="A20" s="185">
        <v>1995</v>
      </c>
      <c r="B20" s="112">
        <f>IFERROR('8a'!B20/'5h'!$B19*1000, "na")</f>
        <v>411.09732232689453</v>
      </c>
      <c r="C20" s="113">
        <f>IFERROR('8a'!C20/'5h'!$B19*1000, "na")</f>
        <v>3017.1686245219539</v>
      </c>
      <c r="D20" s="113">
        <f>IFERROR('8a'!D20/'5h'!$B19*1000, "na")</f>
        <v>20444.78660769897</v>
      </c>
      <c r="E20" s="97">
        <f>IFERROR('8a'!E20/'5h'!$B19*1000, "na")</f>
        <v>23873.052554547819</v>
      </c>
      <c r="F20" s="112">
        <f>IFERROR('8a'!F20/'5h'!$C19*1000, "na")</f>
        <v>393.0661143091765</v>
      </c>
      <c r="G20" s="113">
        <f>IFERROR('8a'!G20/'5h'!$C19*1000, "na")</f>
        <v>2627.79497220859</v>
      </c>
      <c r="H20" s="113">
        <f>IFERROR('8a'!H20/'5h'!$C19*1000, "na")</f>
        <v>6006.138480723972</v>
      </c>
      <c r="I20" s="97">
        <f>IFERROR('8a'!I20/'5h'!$C19*1000, "na")</f>
        <v>9026.9995672417372</v>
      </c>
      <c r="J20" s="112">
        <f>IFERROR('8a'!J20/'5h'!$D19*1000, "na")</f>
        <v>159.45402911299925</v>
      </c>
      <c r="K20" s="113">
        <f>IFERROR('8a'!K20/'5h'!$D19*1000, "na")</f>
        <v>551.705069216776</v>
      </c>
      <c r="L20" s="113">
        <f>IFERROR('8a'!L20/'5h'!$D19*1000, "na")</f>
        <v>1703.2289239955035</v>
      </c>
      <c r="M20" s="97">
        <f>IFERROR('8a'!M20/'5h'!$D19*1000, "na")</f>
        <v>2414.3880223252786</v>
      </c>
    </row>
    <row r="21" spans="1:13">
      <c r="A21" s="185">
        <v>1996</v>
      </c>
      <c r="B21" s="112">
        <f>IFERROR('8a'!B21/'5h'!$B20*1000, "na")</f>
        <v>654.43431994825721</v>
      </c>
      <c r="C21" s="113">
        <f>IFERROR('8a'!C21/'5h'!$B20*1000, "na")</f>
        <v>4116.8421311147049</v>
      </c>
      <c r="D21" s="113">
        <f>IFERROR('8a'!D21/'5h'!$B20*1000, "na")</f>
        <v>28519.516047123921</v>
      </c>
      <c r="E21" s="97">
        <f>IFERROR('8a'!E21/'5h'!$B20*1000, "na")</f>
        <v>33290.792498186878</v>
      </c>
      <c r="F21" s="112">
        <f>IFERROR('8a'!F21/'5h'!$C20*1000, "na")</f>
        <v>529.45473533849429</v>
      </c>
      <c r="G21" s="113">
        <f>IFERROR('8a'!G21/'5h'!$C20*1000, "na")</f>
        <v>2913.5368420122604</v>
      </c>
      <c r="H21" s="113">
        <f>IFERROR('8a'!H21/'5h'!$C20*1000, "na")</f>
        <v>6337.7069192392073</v>
      </c>
      <c r="I21" s="97">
        <f>IFERROR('8a'!I21/'5h'!$C20*1000, "na")</f>
        <v>9780.6984965899628</v>
      </c>
      <c r="J21" s="112">
        <f>IFERROR('8a'!J21/'5h'!$D20*1000, "na")</f>
        <v>232.62331655435017</v>
      </c>
      <c r="K21" s="113">
        <f>IFERROR('8a'!K21/'5h'!$D20*1000, "na")</f>
        <v>667.23090643638352</v>
      </c>
      <c r="L21" s="113">
        <f>IFERROR('8a'!L21/'5h'!$D20*1000, "na")</f>
        <v>1968.7889510029811</v>
      </c>
      <c r="M21" s="97">
        <f>IFERROR('8a'!M21/'5h'!$D20*1000, "na")</f>
        <v>2868.6431739937148</v>
      </c>
    </row>
    <row r="22" spans="1:13">
      <c r="A22" s="185">
        <v>1997</v>
      </c>
      <c r="B22" s="112">
        <f>IFERROR('8a'!B22/'5h'!$B21*1000, "na")</f>
        <v>1249.4333732256218</v>
      </c>
      <c r="C22" s="113">
        <f>IFERROR('8a'!C22/'5h'!$B21*1000, "na")</f>
        <v>5859.0097455011119</v>
      </c>
      <c r="D22" s="113">
        <f>IFERROR('8a'!D22/'5h'!$B21*1000, "na")</f>
        <v>38558.422646412728</v>
      </c>
      <c r="E22" s="97">
        <f>IFERROR('8a'!E22/'5h'!$B21*1000, "na")</f>
        <v>45666.865765139468</v>
      </c>
      <c r="F22" s="112">
        <f>IFERROR('8a'!F22/'5h'!$C21*1000, "na")</f>
        <v>714.35406628683393</v>
      </c>
      <c r="G22" s="113">
        <f>IFERROR('8a'!G22/'5h'!$C21*1000, "na")</f>
        <v>3076.0782703099103</v>
      </c>
      <c r="H22" s="113">
        <f>IFERROR('8a'!H22/'5h'!$C21*1000, "na")</f>
        <v>6442.448932012283</v>
      </c>
      <c r="I22" s="97">
        <f>IFERROR('8a'!I22/'5h'!$C21*1000, "na")</f>
        <v>10232.881268609028</v>
      </c>
      <c r="J22" s="112">
        <f>IFERROR('8a'!J22/'5h'!$D21*1000, "na")</f>
        <v>354.20815105122131</v>
      </c>
      <c r="K22" s="113">
        <f>IFERROR('8a'!K22/'5h'!$D21*1000, "na")</f>
        <v>903.20353234937272</v>
      </c>
      <c r="L22" s="113">
        <f>IFERROR('8a'!L22/'5h'!$D21*1000, "na")</f>
        <v>2239.5870235701536</v>
      </c>
      <c r="M22" s="97">
        <f>IFERROR('8a'!M22/'5h'!$D21*1000, "na")</f>
        <v>3496.9987069707472</v>
      </c>
    </row>
    <row r="23" spans="1:13">
      <c r="A23" s="185">
        <v>1998</v>
      </c>
      <c r="B23" s="112">
        <f>IFERROR('8a'!B23/'5h'!$B22*1000, "na")</f>
        <v>1803.7858527562253</v>
      </c>
      <c r="C23" s="113">
        <f>IFERROR('8a'!C23/'5h'!$B22*1000, "na")</f>
        <v>6623.4400819632992</v>
      </c>
      <c r="D23" s="113">
        <f>IFERROR('8a'!D23/'5h'!$B22*1000, "na")</f>
        <v>45915.815436342724</v>
      </c>
      <c r="E23" s="97">
        <f>IFERROR('8a'!E23/'5h'!$B22*1000, "na")</f>
        <v>54343.041371062252</v>
      </c>
      <c r="F23" s="112">
        <f>IFERROR('8a'!F23/'5h'!$C22*1000, "na")</f>
        <v>1029.038272317867</v>
      </c>
      <c r="G23" s="113">
        <f>IFERROR('8a'!G23/'5h'!$C22*1000, "na")</f>
        <v>3404.9695646026257</v>
      </c>
      <c r="H23" s="113">
        <f>IFERROR('8a'!H23/'5h'!$C22*1000, "na")</f>
        <v>6520.979538431734</v>
      </c>
      <c r="I23" s="97">
        <f>IFERROR('8a'!I23/'5h'!$C22*1000, "na")</f>
        <v>10954.987375352228</v>
      </c>
      <c r="J23" s="112">
        <f>IFERROR('8a'!J23/'5h'!$D22*1000, "na")</f>
        <v>523.31915855830187</v>
      </c>
      <c r="K23" s="113">
        <f>IFERROR('8a'!K23/'5h'!$D22*1000, "na")</f>
        <v>1238.3727929817355</v>
      </c>
      <c r="L23" s="113">
        <f>IFERROR('8a'!L23/'5h'!$D22*1000, "na")</f>
        <v>2523.5971455038539</v>
      </c>
      <c r="M23" s="97">
        <f>IFERROR('8a'!M23/'5h'!$D22*1000, "na")</f>
        <v>4285.2890970438912</v>
      </c>
    </row>
    <row r="24" spans="1:13">
      <c r="A24" s="185">
        <v>1999</v>
      </c>
      <c r="B24" s="112">
        <f>IFERROR('8a'!B24/'5h'!$B23*1000, "na")</f>
        <v>1916.2788880115943</v>
      </c>
      <c r="C24" s="113">
        <f>IFERROR('8a'!C24/'5h'!$B23*1000, "na")</f>
        <v>6219.8886872449493</v>
      </c>
      <c r="D24" s="113">
        <f>IFERROR('8a'!D24/'5h'!$B23*1000, "na")</f>
        <v>47883.989586143914</v>
      </c>
      <c r="E24" s="97">
        <f>IFERROR('8a'!E24/'5h'!$B23*1000, "na")</f>
        <v>56020.157161400464</v>
      </c>
      <c r="F24" s="112">
        <f>IFERROR('8a'!F24/'5h'!$C23*1000, "na")</f>
        <v>1282.5782200711803</v>
      </c>
      <c r="G24" s="113">
        <f>IFERROR('8a'!G24/'5h'!$C23*1000, "na")</f>
        <v>3703.2896549002271</v>
      </c>
      <c r="H24" s="113">
        <f>IFERROR('8a'!H24/'5h'!$C23*1000, "na")</f>
        <v>6690.94445702543</v>
      </c>
      <c r="I24" s="97">
        <f>IFERROR('8a'!I24/'5h'!$C23*1000, "na")</f>
        <v>11676.812331996838</v>
      </c>
      <c r="J24" s="112">
        <f>IFERROR('8a'!J24/'5h'!$D23*1000, "na")</f>
        <v>846.64047923288615</v>
      </c>
      <c r="K24" s="113">
        <f>IFERROR('8a'!K24/'5h'!$D23*1000, "na")</f>
        <v>1804.4774401798018</v>
      </c>
      <c r="L24" s="113">
        <f>IFERROR('8a'!L24/'5h'!$D23*1000, "na")</f>
        <v>2967.4564735989957</v>
      </c>
      <c r="M24" s="97">
        <f>IFERROR('8a'!M24/'5h'!$D23*1000, "na")</f>
        <v>5618.5743930116832</v>
      </c>
    </row>
    <row r="25" spans="1:13">
      <c r="A25" s="185">
        <v>2000</v>
      </c>
      <c r="B25" s="112">
        <f>IFERROR('8a'!B25/'5h'!$B24*1000, "na")</f>
        <v>2182.9749109436166</v>
      </c>
      <c r="C25" s="113">
        <f>IFERROR('8a'!C25/'5h'!$B24*1000, "na")</f>
        <v>6714.9226079360533</v>
      </c>
      <c r="D25" s="113">
        <f>IFERROR('8a'!D25/'5h'!$B24*1000, "na")</f>
        <v>52720.080947538416</v>
      </c>
      <c r="E25" s="97">
        <f>IFERROR('8a'!E25/'5h'!$B24*1000, "na")</f>
        <v>61617.978466418084</v>
      </c>
      <c r="F25" s="112">
        <f>IFERROR('8a'!F25/'5h'!$C24*1000, "na")</f>
        <v>1179.885629289834</v>
      </c>
      <c r="G25" s="113">
        <f>IFERROR('8a'!G25/'5h'!$C24*1000, "na")</f>
        <v>3021.4142592100166</v>
      </c>
      <c r="H25" s="113">
        <f>IFERROR('8a'!H25/'5h'!$C24*1000, "na")</f>
        <v>6472.7967253652887</v>
      </c>
      <c r="I25" s="97">
        <f>IFERROR('8a'!I25/'5h'!$C24*1000, "na")</f>
        <v>10674.096613865138</v>
      </c>
      <c r="J25" s="112">
        <f>IFERROR('8a'!J25/'5h'!$D24*1000, "na")</f>
        <v>1221.6757447269092</v>
      </c>
      <c r="K25" s="113">
        <f>IFERROR('8a'!K25/'5h'!$D24*1000, "na")</f>
        <v>2504.6847179411548</v>
      </c>
      <c r="L25" s="113">
        <f>IFERROR('8a'!L25/'5h'!$D24*1000, "na")</f>
        <v>3788.1584124151282</v>
      </c>
      <c r="M25" s="97">
        <f>IFERROR('8a'!M25/'5h'!$D24*1000, "na")</f>
        <v>7514.5188750831921</v>
      </c>
    </row>
    <row r="26" spans="1:13">
      <c r="A26" s="185">
        <v>2001</v>
      </c>
      <c r="B26" s="112">
        <f>IFERROR('8a'!B26/'5h'!$B25*1000, "na")</f>
        <v>2286.4982753207828</v>
      </c>
      <c r="C26" s="113">
        <f>IFERROR('8a'!C26/'5h'!$B25*1000, "na")</f>
        <v>6810.910371726156</v>
      </c>
      <c r="D26" s="113">
        <f>IFERROR('8a'!D26/'5h'!$B25*1000, "na")</f>
        <v>57566.051451168954</v>
      </c>
      <c r="E26" s="97">
        <f>IFERROR('8a'!E26/'5h'!$B25*1000, "na")</f>
        <v>66663.460098215888</v>
      </c>
      <c r="F26" s="112">
        <f>IFERROR('8a'!F26/'5h'!$C25*1000, "na")</f>
        <v>1019.7304381042527</v>
      </c>
      <c r="G26" s="113">
        <f>IFERROR('8a'!G26/'5h'!$C25*1000, "na")</f>
        <v>2344.9680231256229</v>
      </c>
      <c r="H26" s="113">
        <f>IFERROR('8a'!H26/'5h'!$C25*1000, "na")</f>
        <v>6353.1638299985361</v>
      </c>
      <c r="I26" s="97">
        <f>IFERROR('8a'!I26/'5h'!$C25*1000, "na")</f>
        <v>9717.8622912284118</v>
      </c>
      <c r="J26" s="112">
        <f>IFERROR('8a'!J26/'5h'!$D25*1000, "na")</f>
        <v>1346.6404088778106</v>
      </c>
      <c r="K26" s="113">
        <f>IFERROR('8a'!K26/'5h'!$D25*1000, "na")</f>
        <v>2974.0636028227937</v>
      </c>
      <c r="L26" s="113">
        <f>IFERROR('8a'!L26/'5h'!$D25*1000, "na")</f>
        <v>4456.7635868723337</v>
      </c>
      <c r="M26" s="97">
        <f>IFERROR('8a'!M26/'5h'!$D25*1000, "na")</f>
        <v>8777.4675985729391</v>
      </c>
    </row>
    <row r="27" spans="1:13">
      <c r="A27" s="185">
        <v>2002</v>
      </c>
      <c r="B27" s="112">
        <f>IFERROR('8a'!B27/'5h'!$B26*1000, "na")</f>
        <v>1918.3673469387754</v>
      </c>
      <c r="C27" s="113">
        <f>IFERROR('8a'!C27/'5h'!$B26*1000, "na")</f>
        <v>5206.7435669920142</v>
      </c>
      <c r="D27" s="113">
        <f>IFERROR('8a'!D27/'5h'!$B26*1000, "na")</f>
        <v>57943.21206743567</v>
      </c>
      <c r="E27" s="97">
        <f>IFERROR('8a'!E27/'5h'!$B26*1000, "na")</f>
        <v>65068.322981366466</v>
      </c>
      <c r="F27" s="112">
        <f>IFERROR('8a'!F27/'5h'!$C26*1000, "na")</f>
        <v>876.951331496786</v>
      </c>
      <c r="G27" s="113">
        <f>IFERROR('8a'!G27/'5h'!$C26*1000, "na")</f>
        <v>1831.9559228650137</v>
      </c>
      <c r="H27" s="113">
        <f>IFERROR('8a'!H27/'5h'!$C26*1000, "na")</f>
        <v>6359.0449954086316</v>
      </c>
      <c r="I27" s="97">
        <f>IFERROR('8a'!I27/'5h'!$C26*1000, "na")</f>
        <v>9067.9522497704311</v>
      </c>
      <c r="J27" s="112">
        <f>IFERROR('8a'!J27/'5h'!$D26*1000, "na")</f>
        <v>1484.9119711838864</v>
      </c>
      <c r="K27" s="113">
        <f>IFERROR('8a'!K27/'5h'!$D26*1000, "na")</f>
        <v>3309.8099753739848</v>
      </c>
      <c r="L27" s="113">
        <f>IFERROR('8a'!L27/'5h'!$D26*1000, "na")</f>
        <v>4780.9387290035647</v>
      </c>
      <c r="M27" s="97">
        <f>IFERROR('8a'!M27/'5h'!$D26*1000, "na")</f>
        <v>9575.6606755614375</v>
      </c>
    </row>
    <row r="28" spans="1:13">
      <c r="A28" s="185">
        <v>2003</v>
      </c>
      <c r="B28" s="112">
        <f>IFERROR('8a'!B28/'5h'!$B27*1000, "na")</f>
        <v>1573.9282498623809</v>
      </c>
      <c r="C28" s="113">
        <f>IFERROR('8a'!C28/'5h'!$B27*1000, "na")</f>
        <v>4010.5220724477322</v>
      </c>
      <c r="D28" s="113">
        <f>IFERROR('8a'!D28/'5h'!$B27*1000, "na")</f>
        <v>57035.643068874902</v>
      </c>
      <c r="E28" s="97">
        <f>IFERROR('8a'!E28/'5h'!$B27*1000, "na")</f>
        <v>62620.093391185015</v>
      </c>
      <c r="F28" s="112">
        <f>IFERROR('8a'!F28/'5h'!$C27*1000, "na")</f>
        <v>806.31618255156661</v>
      </c>
      <c r="G28" s="113">
        <f>IFERROR('8a'!G28/'5h'!$C27*1000, "na")</f>
        <v>1524.7842357867085</v>
      </c>
      <c r="H28" s="113">
        <f>IFERROR('8a'!H28/'5h'!$C27*1000, "na")</f>
        <v>6258.74263852063</v>
      </c>
      <c r="I28" s="97">
        <f>IFERROR('8a'!I28/'5h'!$C27*1000, "na")</f>
        <v>8589.8430568589047</v>
      </c>
      <c r="J28" s="112">
        <f>IFERROR('8a'!J28/'5h'!$D27*1000, "na")</f>
        <v>1621.0643249207455</v>
      </c>
      <c r="K28" s="113">
        <f>IFERROR('8a'!K28/'5h'!$D27*1000, "na")</f>
        <v>3628.4663049546389</v>
      </c>
      <c r="L28" s="113">
        <f>IFERROR('8a'!L28/'5h'!$D27*1000, "na")</f>
        <v>4883.3216149931377</v>
      </c>
      <c r="M28" s="97">
        <f>IFERROR('8a'!M28/'5h'!$D27*1000, "na")</f>
        <v>10132.852244868523</v>
      </c>
    </row>
    <row r="29" spans="1:13">
      <c r="A29" s="185">
        <v>2004</v>
      </c>
      <c r="B29" s="112">
        <f>IFERROR('8a'!B29/'5h'!$B28*1000, "na")</f>
        <v>1278.1392070863192</v>
      </c>
      <c r="C29" s="113">
        <f>IFERROR('8a'!C29/'5h'!$B28*1000, "na")</f>
        <v>3102.2097513494523</v>
      </c>
      <c r="D29" s="113">
        <f>IFERROR('8a'!D29/'5h'!$B28*1000, "na")</f>
        <v>54055.953790577187</v>
      </c>
      <c r="E29" s="97">
        <f>IFERROR('8a'!E29/'5h'!$B28*1000, "na")</f>
        <v>58436.302749012961</v>
      </c>
      <c r="F29" s="112">
        <f>IFERROR('8a'!F29/'5h'!$C28*1000, "na")</f>
        <v>745.66981322582978</v>
      </c>
      <c r="G29" s="113">
        <f>IFERROR('8a'!G29/'5h'!$C28*1000, "na")</f>
        <v>1295.8632581780707</v>
      </c>
      <c r="H29" s="113">
        <f>IFERROR('8a'!H29/'5h'!$C28*1000, "na")</f>
        <v>5940.5506892559461</v>
      </c>
      <c r="I29" s="97">
        <f>IFERROR('8a'!I29/'5h'!$C28*1000, "na")</f>
        <v>7982.0837606598461</v>
      </c>
      <c r="J29" s="112">
        <f>IFERROR('8a'!J29/'5h'!$D28*1000, "na")</f>
        <v>1749.0145287212595</v>
      </c>
      <c r="K29" s="113">
        <f>IFERROR('8a'!K29/'5h'!$D28*1000, "na")</f>
        <v>4065.0473225002706</v>
      </c>
      <c r="L29" s="113">
        <f>IFERROR('8a'!L29/'5h'!$D28*1000, "na")</f>
        <v>5094.9858061138348</v>
      </c>
      <c r="M29" s="97">
        <f>IFERROR('8a'!M29/'5h'!$D28*1000, "na")</f>
        <v>10909.047657335364</v>
      </c>
    </row>
    <row r="30" spans="1:13">
      <c r="A30" s="185">
        <v>2005</v>
      </c>
      <c r="B30" s="112">
        <f>IFERROR('8a'!B30/'5h'!$B29*1000, "na")</f>
        <v>1062.6339186526711</v>
      </c>
      <c r="C30" s="113">
        <f>IFERROR('8a'!C30/'5h'!$B29*1000, "na")</f>
        <v>2449.4074184181195</v>
      </c>
      <c r="D30" s="113">
        <f>IFERROR('8a'!D30/'5h'!$B29*1000, "na")</f>
        <v>51056.550824271748</v>
      </c>
      <c r="E30" s="97">
        <f>IFERROR('8a'!E30/'5h'!$B29*1000, "na")</f>
        <v>54568.592161342538</v>
      </c>
      <c r="F30" s="112">
        <f>IFERROR('8a'!F30/'5h'!$C29*1000, "na")</f>
        <v>754.72816925614291</v>
      </c>
      <c r="G30" s="113">
        <f>IFERROR('8a'!G30/'5h'!$C29*1000, "na")</f>
        <v>1189.2538683458292</v>
      </c>
      <c r="H30" s="113">
        <f>IFERROR('8a'!H30/'5h'!$C29*1000, "na")</f>
        <v>5792.5273619962973</v>
      </c>
      <c r="I30" s="97">
        <f>IFERROR('8a'!I30/'5h'!$C29*1000, "na")</f>
        <v>7736.5093995982688</v>
      </c>
      <c r="J30" s="112">
        <f>IFERROR('8a'!J30/'5h'!$D29*1000, "na")</f>
        <v>1815.0889701462388</v>
      </c>
      <c r="K30" s="113">
        <f>IFERROR('8a'!K30/'5h'!$D29*1000, "na")</f>
        <v>4537.7819282178498</v>
      </c>
      <c r="L30" s="113">
        <f>IFERROR('8a'!L30/'5h'!$D29*1000, "na")</f>
        <v>5339.0017609757087</v>
      </c>
      <c r="M30" s="97">
        <f>IFERROR('8a'!M30/'5h'!$D29*1000, "na")</f>
        <v>11691.872659339799</v>
      </c>
    </row>
    <row r="31" spans="1:13">
      <c r="A31" s="185">
        <v>2006</v>
      </c>
      <c r="B31" s="112">
        <f>IFERROR('8a'!B31/'5h'!$B30*1000, "na")</f>
        <v>960.08552730400913</v>
      </c>
      <c r="C31" s="113">
        <f>IFERROR('8a'!C31/'5h'!$B30*1000, "na")</f>
        <v>1998.9531508117677</v>
      </c>
      <c r="D31" s="113">
        <f>IFERROR('8a'!D31/'5h'!$B30*1000, "na")</f>
        <v>48297.811270033642</v>
      </c>
      <c r="E31" s="97">
        <f>IFERROR('8a'!E31/'5h'!$B30*1000, "na")</f>
        <v>51256.849948149415</v>
      </c>
      <c r="F31" s="112">
        <f>IFERROR('8a'!F31/'5h'!$C30*1000, "na")</f>
        <v>892.7071880239962</v>
      </c>
      <c r="G31" s="113">
        <f>IFERROR('8a'!G31/'5h'!$C30*1000, "na")</f>
        <v>1180.4455718598367</v>
      </c>
      <c r="H31" s="113">
        <f>IFERROR('8a'!H31/'5h'!$C30*1000, "na")</f>
        <v>5802.4279243017636</v>
      </c>
      <c r="I31" s="97">
        <f>IFERROR('8a'!I31/'5h'!$C30*1000, "na")</f>
        <v>7875.5806841855974</v>
      </c>
      <c r="J31" s="112">
        <f>IFERROR('8a'!J31/'5h'!$D30*1000, "na")</f>
        <v>2075.8241688263161</v>
      </c>
      <c r="K31" s="113">
        <f>IFERROR('8a'!K31/'5h'!$D30*1000, "na")</f>
        <v>5028.1770135689194</v>
      </c>
      <c r="L31" s="113">
        <f>IFERROR('8a'!L31/'5h'!$D30*1000, "na")</f>
        <v>6025.1007692953772</v>
      </c>
      <c r="M31" s="97">
        <f>IFERROR('8a'!M31/'5h'!$D30*1000, "na")</f>
        <v>13129.101951690613</v>
      </c>
    </row>
    <row r="32" spans="1:13">
      <c r="A32" s="185">
        <v>2007</v>
      </c>
      <c r="B32" s="112">
        <f>IFERROR('8a'!B32/'5h'!$B31*1000, "na")</f>
        <v>1100.3735336214586</v>
      </c>
      <c r="C32" s="113">
        <f>IFERROR('8a'!C32/'5h'!$B31*1000, "na")</f>
        <v>1930.8157176268876</v>
      </c>
      <c r="D32" s="113">
        <f>IFERROR('8a'!D32/'5h'!$B31*1000, "na")</f>
        <v>45413.524194815291</v>
      </c>
      <c r="E32" s="97">
        <f>IFERROR('8a'!E32/'5h'!$B31*1000, "na")</f>
        <v>48444.713446063637</v>
      </c>
      <c r="F32" s="112">
        <f>IFERROR('8a'!F32/'5h'!$C31*1000, "na")</f>
        <v>1197.7890936503572</v>
      </c>
      <c r="G32" s="113">
        <f>IFERROR('8a'!G32/'5h'!$C31*1000, "na")</f>
        <v>1320.448639398915</v>
      </c>
      <c r="H32" s="113">
        <f>IFERROR('8a'!H32/'5h'!$C31*1000, "na")</f>
        <v>5955.9879234970003</v>
      </c>
      <c r="I32" s="97">
        <f>IFERROR('8a'!I32/'5h'!$C31*1000, "na")</f>
        <v>8474.2256565462721</v>
      </c>
      <c r="J32" s="112">
        <f>IFERROR('8a'!J32/'5h'!$D31*1000, "na")</f>
        <v>2397.7051876717424</v>
      </c>
      <c r="K32" s="113">
        <f>IFERROR('8a'!K32/'5h'!$D31*1000, "na")</f>
        <v>5592.5924958548212</v>
      </c>
      <c r="L32" s="113">
        <f>IFERROR('8a'!L32/'5h'!$D31*1000, "na")</f>
        <v>6071.7910568775769</v>
      </c>
      <c r="M32" s="97">
        <f>IFERROR('8a'!M32/'5h'!$D31*1000, "na")</f>
        <v>14062.088740404139</v>
      </c>
    </row>
    <row r="33" spans="1:13">
      <c r="A33" s="185">
        <v>2008</v>
      </c>
      <c r="B33" s="112">
        <f>IFERROR('8a'!B33/'5h'!$B32*1000, "na")</f>
        <v>1303.2685207775658</v>
      </c>
      <c r="C33" s="113">
        <f>IFERROR('8a'!C33/'5h'!$B32*1000, "na")</f>
        <v>1917.5461308417471</v>
      </c>
      <c r="D33" s="113">
        <f>IFERROR('8a'!D33/'5h'!$B32*1000, "na")</f>
        <v>43314.309237081885</v>
      </c>
      <c r="E33" s="97">
        <f>IFERROR('8a'!E33/'5h'!$B32*1000, "na")</f>
        <v>46535.1238887012</v>
      </c>
      <c r="F33" s="112">
        <f>IFERROR('8a'!F33/'5h'!$C32*1000, "na")</f>
        <v>1646.3935341629417</v>
      </c>
      <c r="G33" s="113">
        <f>IFERROR('8a'!G33/'5h'!$C32*1000, "na")</f>
        <v>1539.1219224310159</v>
      </c>
      <c r="H33" s="113">
        <f>IFERROR('8a'!H33/'5h'!$C32*1000, "na")</f>
        <v>6388.9617875384029</v>
      </c>
      <c r="I33" s="97">
        <f>IFERROR('8a'!I33/'5h'!$C32*1000, "na")</f>
        <v>9574.4772441323603</v>
      </c>
      <c r="J33" s="112">
        <f>IFERROR('8a'!J33/'5h'!$D32*1000, "na")</f>
        <v>2731.1791404737987</v>
      </c>
      <c r="K33" s="113">
        <f>IFERROR('8a'!K33/'5h'!$D32*1000, "na")</f>
        <v>6279.242694915195</v>
      </c>
      <c r="L33" s="113">
        <f>IFERROR('8a'!L33/'5h'!$D32*1000, "na")</f>
        <v>6508.9109697425883</v>
      </c>
      <c r="M33" s="97">
        <f>IFERROR('8a'!M33/'5h'!$D32*1000, "na")</f>
        <v>15519.332805131582</v>
      </c>
    </row>
    <row r="34" spans="1:13">
      <c r="A34" s="57">
        <f>A33+1</f>
        <v>2009</v>
      </c>
      <c r="B34" s="112">
        <f>IFERROR('8a'!B34/'5h'!$B33*1000, "na")</f>
        <v>1450.9919032988078</v>
      </c>
      <c r="C34" s="113">
        <f>IFERROR('8a'!C34/'5h'!$B33*1000, "na")</f>
        <v>1875.7352535701427</v>
      </c>
      <c r="D34" s="113">
        <f>IFERROR('8a'!D34/'5h'!$B33*1000, "na")</f>
        <v>43240.985242257477</v>
      </c>
      <c r="E34" s="97">
        <f>IFERROR('8a'!E34/'5h'!$B33*1000, "na")</f>
        <v>46567.712399126431</v>
      </c>
      <c r="F34" s="112">
        <f>IFERROR('8a'!F34/'5h'!$C33*1000, "na")</f>
        <v>1938.4542744100079</v>
      </c>
      <c r="G34" s="113">
        <f>IFERROR('8a'!G34/'5h'!$C33*1000, "na")</f>
        <v>1570.4480420122595</v>
      </c>
      <c r="H34" s="113">
        <f>IFERROR('8a'!H34/'5h'!$C33*1000, "na")</f>
        <v>6858.5725232621226</v>
      </c>
      <c r="I34" s="97">
        <f>IFERROR('8a'!I34/'5h'!$C33*1000, "na")</f>
        <v>10367.47483968439</v>
      </c>
      <c r="J34" s="112">
        <f>IFERROR('8a'!J34/'5h'!$D33*1000, "na")</f>
        <v>2952.3512628516769</v>
      </c>
      <c r="K34" s="113">
        <f>IFERROR('8a'!K34/'5h'!$D33*1000, "na")</f>
        <v>6947.5086624304822</v>
      </c>
      <c r="L34" s="113">
        <f>IFERROR('8a'!L34/'5h'!$D33*1000, "na")</f>
        <v>6873.1864910807772</v>
      </c>
      <c r="M34" s="97">
        <f>IFERROR('8a'!M34/'5h'!$D33*1000, "na")</f>
        <v>16773.046416362937</v>
      </c>
    </row>
    <row r="35" spans="1:13">
      <c r="A35" s="58">
        <f t="shared" ref="A35" si="0">A34+1</f>
        <v>2010</v>
      </c>
      <c r="B35" s="114">
        <f>IFERROR('8a'!B35/'5h'!$B34*1000, "na")</f>
        <v>1643.484076648768</v>
      </c>
      <c r="C35" s="115">
        <f>IFERROR('8a'!C35/'5h'!$B34*1000, "na")</f>
        <v>1797.9695007027979</v>
      </c>
      <c r="D35" s="115">
        <f>IFERROR('8a'!D35/'5h'!$B34*1000, "na")</f>
        <v>41029.570426226092</v>
      </c>
      <c r="E35" s="98">
        <f>IFERROR('8a'!E35/'5h'!$B34*1000, "na")</f>
        <v>44471.024003577659</v>
      </c>
      <c r="F35" s="114">
        <f>IFERROR('8a'!F35/'5h'!$C34*1000, "na")</f>
        <v>2330.7010854378264</v>
      </c>
      <c r="G35" s="115">
        <f>IFERROR('8a'!G35/'5h'!$C34*1000, "na")</f>
        <v>1594.1731390632024</v>
      </c>
      <c r="H35" s="115">
        <f>IFERROR('8a'!H35/'5h'!$C34*1000, "na")</f>
        <v>7158.1084368197753</v>
      </c>
      <c r="I35" s="98">
        <f>IFERROR('8a'!I35/'5h'!$C34*1000, "na")</f>
        <v>11082.982661320804</v>
      </c>
      <c r="J35" s="114">
        <f>IFERROR('8a'!J35/'5h'!$D34*1000, "na")</f>
        <v>3688.7853404800535</v>
      </c>
      <c r="K35" s="115">
        <f>IFERROR('8a'!K35/'5h'!$D34*1000, "na")</f>
        <v>7338.0008111262678</v>
      </c>
      <c r="L35" s="115">
        <f>IFERROR('8a'!L35/'5h'!$D34*1000, "na")</f>
        <v>6722.7082136550625</v>
      </c>
      <c r="M35" s="98">
        <f>IFERROR('8a'!M35/'5h'!$D34*1000, "na")</f>
        <v>17749.494365261384</v>
      </c>
    </row>
    <row r="36" spans="1:13">
      <c r="A36" s="23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M38" si="1">IFERROR((POWER(C15/C6,1/($A15-$A6))-1)*100, "na")</f>
        <v>na</v>
      </c>
      <c r="D38" s="83" t="str">
        <f t="shared" si="1"/>
        <v>na</v>
      </c>
      <c r="E38" s="84" t="str">
        <f t="shared" si="1"/>
        <v>na</v>
      </c>
      <c r="F38" s="82">
        <f>IFERROR((POWER(F15/F6,1/($A15-$A6))-1)*100, "na")</f>
        <v>39.835349350086744</v>
      </c>
      <c r="G38" s="83">
        <f t="shared" si="1"/>
        <v>23.409046705863702</v>
      </c>
      <c r="H38" s="83">
        <f t="shared" si="1"/>
        <v>13.202813135317658</v>
      </c>
      <c r="I38" s="84">
        <f t="shared" si="1"/>
        <v>13.525455355975534</v>
      </c>
      <c r="J38" s="82">
        <f t="shared" si="1"/>
        <v>38.461639055510318</v>
      </c>
      <c r="K38" s="83">
        <f t="shared" si="1"/>
        <v>31.915042048644992</v>
      </c>
      <c r="L38" s="83">
        <f t="shared" si="1"/>
        <v>13.051327803232592</v>
      </c>
      <c r="M38" s="84">
        <f t="shared" si="1"/>
        <v>14.99688730827453</v>
      </c>
    </row>
    <row r="39" spans="1:13">
      <c r="A39" s="28" t="s">
        <v>71</v>
      </c>
      <c r="B39" s="37">
        <f>IFERROR((POWER(B$25/B15,1/($A$25-$A$15))-1)*100,"na")</f>
        <v>38.317352405190455</v>
      </c>
      <c r="C39" s="86">
        <f t="shared" ref="C39:M39" si="2">IFERROR((POWER(C$25/C15,1/($A$25-$A$15))-1)*100,"na")</f>
        <v>24.857176213750499</v>
      </c>
      <c r="D39" s="86">
        <f t="shared" si="2"/>
        <v>27.914872114388899</v>
      </c>
      <c r="E39" s="87">
        <f t="shared" si="2"/>
        <v>27.779914784569936</v>
      </c>
      <c r="F39" s="85">
        <f t="shared" si="2"/>
        <v>43.16918379023604</v>
      </c>
      <c r="G39" s="86">
        <f t="shared" si="2"/>
        <v>30.774009383024172</v>
      </c>
      <c r="H39" s="86">
        <f t="shared" si="2"/>
        <v>2.0783823829734649</v>
      </c>
      <c r="I39" s="87">
        <f t="shared" si="2"/>
        <v>6.8390670478935878</v>
      </c>
      <c r="J39" s="85">
        <f t="shared" si="2"/>
        <v>34.358978675808551</v>
      </c>
      <c r="K39" s="86">
        <f t="shared" si="2"/>
        <v>28.869113594824714</v>
      </c>
      <c r="L39" s="86">
        <f t="shared" si="2"/>
        <v>12.573857873620975</v>
      </c>
      <c r="M39" s="87">
        <f t="shared" si="2"/>
        <v>18.122699022589785</v>
      </c>
    </row>
    <row r="40" spans="1:13">
      <c r="A40" s="28" t="s">
        <v>69</v>
      </c>
      <c r="B40" s="37">
        <f>IFERROR((POWER(B$35/B25,1/($A$35-$A$25))-1)*100,"na")</f>
        <v>-2.7987890162206597</v>
      </c>
      <c r="C40" s="86">
        <f t="shared" ref="C40:M40" si="3">IFERROR((POWER(C$35/C25,1/($A$35-$A$25))-1)*100,"na")</f>
        <v>-12.345517336800571</v>
      </c>
      <c r="D40" s="86">
        <f t="shared" si="3"/>
        <v>-2.4758687782060362</v>
      </c>
      <c r="E40" s="87">
        <f t="shared" si="3"/>
        <v>-3.2085561419221031</v>
      </c>
      <c r="F40" s="85">
        <f t="shared" si="3"/>
        <v>7.0445761004991558</v>
      </c>
      <c r="G40" s="86">
        <f t="shared" si="3"/>
        <v>-6.1935887953143753</v>
      </c>
      <c r="H40" s="86">
        <f t="shared" si="3"/>
        <v>1.0114558386667305</v>
      </c>
      <c r="I40" s="87">
        <f t="shared" si="3"/>
        <v>0.37661651592473255</v>
      </c>
      <c r="J40" s="85">
        <f t="shared" si="3"/>
        <v>11.684458578586288</v>
      </c>
      <c r="K40" s="86">
        <f>IFERROR((POWER(K$35/K25,1/($A$35-$A$25))-1)*100,"na")</f>
        <v>11.348012351244607</v>
      </c>
      <c r="L40" s="86">
        <f t="shared" si="3"/>
        <v>5.903816928784944</v>
      </c>
      <c r="M40" s="87">
        <f t="shared" si="3"/>
        <v>8.9754022108752949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M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>
        <f t="shared" si="4"/>
        <v>28.566378418056605</v>
      </c>
      <c r="G41" s="89">
        <f t="shared" si="4"/>
        <v>14.539130534287658</v>
      </c>
      <c r="H41" s="89">
        <f t="shared" si="4"/>
        <v>5.0272603373851643</v>
      </c>
      <c r="I41" s="90">
        <f t="shared" si="4"/>
        <v>6.5535151912460066</v>
      </c>
      <c r="J41" s="88">
        <f t="shared" si="4"/>
        <v>27.244783086275358</v>
      </c>
      <c r="K41" s="89">
        <f t="shared" si="4"/>
        <v>23.427656225129457</v>
      </c>
      <c r="L41" s="89">
        <f t="shared" si="4"/>
        <v>10.372562415750576</v>
      </c>
      <c r="M41" s="90">
        <f t="shared" si="4"/>
        <v>13.932608585466987</v>
      </c>
    </row>
    <row r="42" spans="1:13">
      <c r="A42" s="26"/>
      <c r="B42" s="3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269" t="s">
        <v>235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</row>
  </sheetData>
  <mergeCells count="5">
    <mergeCell ref="A1:F2"/>
    <mergeCell ref="B4:E4"/>
    <mergeCell ref="F4:I4"/>
    <mergeCell ref="J4:M4"/>
    <mergeCell ref="A37:M37"/>
  </mergeCells>
  <pageMargins left="0.7" right="0.7" top="0.75" bottom="0.75" header="0.3" footer="0.3"/>
  <pageSetup scale="70" orientation="landscape" horizontalDpi="0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87"/>
  <dimension ref="A1:M43"/>
  <sheetViews>
    <sheetView zoomScaleNormal="100" workbookViewId="0">
      <selection activeCell="B15" sqref="B15"/>
    </sheetView>
  </sheetViews>
  <sheetFormatPr defaultRowHeight="15"/>
  <cols>
    <col min="1" max="1" width="12.42578125" customWidth="1"/>
    <col min="2" max="2" width="12.7109375" bestFit="1" customWidth="1"/>
    <col min="3" max="3" width="10.42578125" bestFit="1" customWidth="1"/>
    <col min="4" max="4" width="33.28515625" bestFit="1" customWidth="1"/>
    <col min="6" max="6" width="12.7109375" bestFit="1" customWidth="1"/>
    <col min="7" max="7" width="10.42578125" bestFit="1" customWidth="1"/>
    <col min="8" max="8" width="21.85546875" bestFit="1" customWidth="1"/>
    <col min="10" max="10" width="10.85546875" customWidth="1"/>
    <col min="12" max="12" width="18.42578125" customWidth="1"/>
  </cols>
  <sheetData>
    <row r="1" spans="1:13">
      <c r="A1" s="387" t="s">
        <v>258</v>
      </c>
      <c r="B1" s="387"/>
      <c r="C1" s="387"/>
      <c r="D1" s="387"/>
      <c r="E1" s="387"/>
      <c r="F1" s="387"/>
      <c r="G1" s="387"/>
      <c r="H1" s="387"/>
    </row>
    <row r="2" spans="1:13">
      <c r="A2" s="387"/>
      <c r="B2" s="387"/>
      <c r="C2" s="387"/>
      <c r="D2" s="387"/>
      <c r="E2" s="387"/>
      <c r="F2" s="387"/>
      <c r="G2" s="387"/>
      <c r="H2" s="387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273" t="s">
        <v>0</v>
      </c>
      <c r="C5" s="274" t="s">
        <v>1</v>
      </c>
      <c r="D5" s="274" t="s">
        <v>2</v>
      </c>
      <c r="E5" s="275" t="s">
        <v>88</v>
      </c>
      <c r="F5" s="273" t="s">
        <v>0</v>
      </c>
      <c r="G5" s="274" t="s">
        <v>1</v>
      </c>
      <c r="H5" s="274" t="s">
        <v>2</v>
      </c>
      <c r="I5" s="275" t="s">
        <v>88</v>
      </c>
      <c r="J5" s="273" t="s">
        <v>0</v>
      </c>
      <c r="K5" s="274" t="s">
        <v>1</v>
      </c>
      <c r="L5" s="274" t="s">
        <v>2</v>
      </c>
      <c r="M5" s="275" t="s">
        <v>88</v>
      </c>
    </row>
    <row r="6" spans="1:13">
      <c r="A6" s="184">
        <v>1981</v>
      </c>
      <c r="B6" s="85" t="str">
        <f>IFERROR('8c'!B6/'8c'!J6*100, "na")</f>
        <v>na</v>
      </c>
      <c r="C6" s="86" t="str">
        <f>IFERROR('8c'!C6/'8c'!K6*100, "na")</f>
        <v>na</v>
      </c>
      <c r="D6" s="86" t="str">
        <f>IFERROR('8c'!D6/'8c'!L6*100, "na")</f>
        <v>na</v>
      </c>
      <c r="E6" s="87" t="str">
        <f>IFERROR('8c'!E6/'8c'!M6*100, "na")</f>
        <v>na</v>
      </c>
      <c r="F6" s="85">
        <f>IFERROR('8c'!F6/'8c'!J6*100, "na")</f>
        <v>46.823931730057723</v>
      </c>
      <c r="G6" s="86">
        <f>IFERROR('8c'!G6/'8c'!K6*100, "na")</f>
        <v>189.78292531137856</v>
      </c>
      <c r="H6" s="86">
        <f>IFERROR('8c'!H6/'8c'!L6*100, "na")</f>
        <v>449.22878087483065</v>
      </c>
      <c r="I6" s="87">
        <f>IFERROR('8c'!I6/'8c'!M6*100, "na")</f>
        <v>435.30954619110531</v>
      </c>
      <c r="J6" s="341">
        <f>IFERROR('8c'!J6/'8c'!J6*100, "na")</f>
        <v>100</v>
      </c>
      <c r="K6" s="342">
        <f>IFERROR('8c'!K6/'8c'!K6*100, "na")</f>
        <v>100</v>
      </c>
      <c r="L6" s="342">
        <f>IFERROR('8c'!L6/'8c'!L6*100, "na")</f>
        <v>100</v>
      </c>
      <c r="M6" s="343">
        <f>IFERROR('8c'!M6/'8c'!M6*100, "na")</f>
        <v>100</v>
      </c>
    </row>
    <row r="7" spans="1:13">
      <c r="A7" s="185">
        <v>1982</v>
      </c>
      <c r="B7" s="85" t="str">
        <f>IFERROR('8c'!B7/'8c'!J7*100, "na")</f>
        <v>na</v>
      </c>
      <c r="C7" s="86" t="str">
        <f>IFERROR('8c'!C7/'8c'!K7*100, "na")</f>
        <v>na</v>
      </c>
      <c r="D7" s="86" t="str">
        <f>IFERROR('8c'!D7/'8c'!L7*100, "na")</f>
        <v>na</v>
      </c>
      <c r="E7" s="87" t="str">
        <f>IFERROR('8c'!E7/'8c'!M7*100, "na")</f>
        <v>na</v>
      </c>
      <c r="F7" s="85">
        <f>IFERROR('8c'!F7/'8c'!J7*100, "na")</f>
        <v>30.617597262499611</v>
      </c>
      <c r="G7" s="86">
        <f>IFERROR('8c'!G7/'8c'!K7*100, "na")</f>
        <v>134.621279283284</v>
      </c>
      <c r="H7" s="86">
        <f>IFERROR('8c'!H7/'8c'!L7*100, "na")</f>
        <v>455.71342821517726</v>
      </c>
      <c r="I7" s="87">
        <f>IFERROR('8c'!I7/'8c'!M7*100, "na")</f>
        <v>436.98632753576572</v>
      </c>
      <c r="J7" s="341">
        <f>IFERROR('8c'!J7/'8c'!J7*100, "na")</f>
        <v>100</v>
      </c>
      <c r="K7" s="342">
        <f>IFERROR('8c'!K7/'8c'!K7*100, "na")</f>
        <v>100</v>
      </c>
      <c r="L7" s="342">
        <f>IFERROR('8c'!L7/'8c'!L7*100, "na")</f>
        <v>100</v>
      </c>
      <c r="M7" s="343">
        <f>IFERROR('8c'!M7/'8c'!M7*100, "na")</f>
        <v>100</v>
      </c>
    </row>
    <row r="8" spans="1:13">
      <c r="A8" s="185">
        <v>1983</v>
      </c>
      <c r="B8" s="85" t="str">
        <f>IFERROR('8c'!B8/'8c'!J8*100, "na")</f>
        <v>na</v>
      </c>
      <c r="C8" s="86" t="str">
        <f>IFERROR('8c'!C8/'8c'!K8*100, "na")</f>
        <v>na</v>
      </c>
      <c r="D8" s="86" t="str">
        <f>IFERROR('8c'!D8/'8c'!L8*100, "na")</f>
        <v>na</v>
      </c>
      <c r="E8" s="87" t="str">
        <f>IFERROR('8c'!E8/'8c'!M8*100, "na")</f>
        <v>na</v>
      </c>
      <c r="F8" s="85">
        <f>IFERROR('8c'!F8/'8c'!J8*100, "na")</f>
        <v>17.097179450237658</v>
      </c>
      <c r="G8" s="86">
        <f>IFERROR('8c'!G8/'8c'!K8*100, "na")</f>
        <v>83.575122062547408</v>
      </c>
      <c r="H8" s="86">
        <f>IFERROR('8c'!H8/'8c'!L8*100, "na")</f>
        <v>469.48625044588164</v>
      </c>
      <c r="I8" s="87">
        <f>IFERROR('8c'!I8/'8c'!M8*100, "na")</f>
        <v>444.00954075535515</v>
      </c>
      <c r="J8" s="341">
        <f>IFERROR('8c'!J8/'8c'!J8*100, "na")</f>
        <v>100</v>
      </c>
      <c r="K8" s="342">
        <f>IFERROR('8c'!K8/'8c'!K8*100, "na")</f>
        <v>100</v>
      </c>
      <c r="L8" s="342">
        <f>IFERROR('8c'!L8/'8c'!L8*100, "na")</f>
        <v>100</v>
      </c>
      <c r="M8" s="343">
        <f>IFERROR('8c'!M8/'8c'!M8*100, "na")</f>
        <v>100</v>
      </c>
    </row>
    <row r="9" spans="1:13">
      <c r="A9" s="185">
        <v>1984</v>
      </c>
      <c r="B9" s="85" t="str">
        <f>IFERROR('8c'!B9/'8c'!J9*100, "na")</f>
        <v>na</v>
      </c>
      <c r="C9" s="86" t="str">
        <f>IFERROR('8c'!C9/'8c'!K9*100, "na")</f>
        <v>na</v>
      </c>
      <c r="D9" s="86" t="str">
        <f>IFERROR('8c'!D9/'8c'!L9*100, "na")</f>
        <v>na</v>
      </c>
      <c r="E9" s="87" t="str">
        <f>IFERROR('8c'!E9/'8c'!M9*100, "na")</f>
        <v>na</v>
      </c>
      <c r="F9" s="85">
        <f>IFERROR('8c'!F9/'8c'!J9*100, "na")</f>
        <v>8.6620515481737055</v>
      </c>
      <c r="G9" s="86">
        <f>IFERROR('8c'!G9/'8c'!K9*100, "na")</f>
        <v>47.939655024500411</v>
      </c>
      <c r="H9" s="86">
        <f>IFERROR('8c'!H9/'8c'!L9*100, "na")</f>
        <v>465.12434366342319</v>
      </c>
      <c r="I9" s="87">
        <f>IFERROR('8c'!I9/'8c'!M9*100, "na")</f>
        <v>431.18718268139071</v>
      </c>
      <c r="J9" s="341">
        <f>IFERROR('8c'!J9/'8c'!J9*100, "na")</f>
        <v>100</v>
      </c>
      <c r="K9" s="342">
        <f>IFERROR('8c'!K9/'8c'!K9*100, "na")</f>
        <v>100</v>
      </c>
      <c r="L9" s="342">
        <f>IFERROR('8c'!L9/'8c'!L9*100, "na")</f>
        <v>100</v>
      </c>
      <c r="M9" s="343">
        <f>IFERROR('8c'!M9/'8c'!M9*100, "na")</f>
        <v>100</v>
      </c>
    </row>
    <row r="10" spans="1:13">
      <c r="A10" s="185">
        <v>1985</v>
      </c>
      <c r="B10" s="85" t="str">
        <f>IFERROR('8c'!B10/'8c'!J10*100, "na")</f>
        <v>na</v>
      </c>
      <c r="C10" s="86" t="str">
        <f>IFERROR('8c'!C10/'8c'!K10*100, "na")</f>
        <v>na</v>
      </c>
      <c r="D10" s="86" t="str">
        <f>IFERROR('8c'!D10/'8c'!L10*100, "na")</f>
        <v>na</v>
      </c>
      <c r="E10" s="87" t="str">
        <f>IFERROR('8c'!E10/'8c'!M10*100, "na")</f>
        <v>na</v>
      </c>
      <c r="F10" s="85">
        <f>IFERROR('8c'!F10/'8c'!J10*100, "na")</f>
        <v>5.5215157384761353</v>
      </c>
      <c r="G10" s="86">
        <f>IFERROR('8c'!G10/'8c'!K10*100, "na")</f>
        <v>32.390786715094869</v>
      </c>
      <c r="H10" s="86">
        <f>IFERROR('8c'!H10/'8c'!L10*100, "na")</f>
        <v>475.59419557774839</v>
      </c>
      <c r="I10" s="87">
        <f>IFERROR('8c'!I10/'8c'!M10*100, "na")</f>
        <v>432.33928954022502</v>
      </c>
      <c r="J10" s="341">
        <f>IFERROR('8c'!J10/'8c'!J10*100, "na")</f>
        <v>100</v>
      </c>
      <c r="K10" s="342">
        <f>IFERROR('8c'!K10/'8c'!K10*100, "na")</f>
        <v>100</v>
      </c>
      <c r="L10" s="342">
        <f>IFERROR('8c'!L10/'8c'!L10*100, "na")</f>
        <v>100</v>
      </c>
      <c r="M10" s="343">
        <f>IFERROR('8c'!M10/'8c'!M10*100, "na")</f>
        <v>100</v>
      </c>
    </row>
    <row r="11" spans="1:13">
      <c r="A11" s="185">
        <v>1986</v>
      </c>
      <c r="B11" s="85" t="str">
        <f>IFERROR('8c'!B11/'8c'!J11*100, "na")</f>
        <v>na</v>
      </c>
      <c r="C11" s="86" t="str">
        <f>IFERROR('8c'!C11/'8c'!K11*100, "na")</f>
        <v>na</v>
      </c>
      <c r="D11" s="86" t="str">
        <f>IFERROR('8c'!D11/'8c'!L11*100, "na")</f>
        <v>na</v>
      </c>
      <c r="E11" s="87" t="str">
        <f>IFERROR('8c'!E11/'8c'!M11*100, "na")</f>
        <v>na</v>
      </c>
      <c r="F11" s="85">
        <f>IFERROR('8c'!F11/'8c'!J11*100, "na")</f>
        <v>4.2227927954975772</v>
      </c>
      <c r="G11" s="86">
        <f>IFERROR('8c'!G11/'8c'!K11*100, "na")</f>
        <v>23.792923689848731</v>
      </c>
      <c r="H11" s="86">
        <f>IFERROR('8c'!H11/'8c'!L11*100, "na")</f>
        <v>465.14150654382121</v>
      </c>
      <c r="I11" s="87">
        <f>IFERROR('8c'!I11/'8c'!M11*100, "na")</f>
        <v>417.42868403147384</v>
      </c>
      <c r="J11" s="341">
        <f>IFERROR('8c'!J11/'8c'!J11*100, "na")</f>
        <v>100</v>
      </c>
      <c r="K11" s="342">
        <f>IFERROR('8c'!K11/'8c'!K11*100, "na")</f>
        <v>100</v>
      </c>
      <c r="L11" s="342">
        <f>IFERROR('8c'!L11/'8c'!L11*100, "na")</f>
        <v>100</v>
      </c>
      <c r="M11" s="343">
        <f>IFERROR('8c'!M11/'8c'!M11*100, "na")</f>
        <v>100</v>
      </c>
    </row>
    <row r="12" spans="1:13">
      <c r="A12" s="185">
        <v>1987</v>
      </c>
      <c r="B12" s="85" t="str">
        <f>IFERROR('8c'!B12/'8c'!J12*100, "na")</f>
        <v>na</v>
      </c>
      <c r="C12" s="86" t="str">
        <f>IFERROR('8c'!C12/'8c'!K12*100, "na")</f>
        <v>na</v>
      </c>
      <c r="D12" s="86" t="str">
        <f>IFERROR('8c'!D12/'8c'!L12*100, "na")</f>
        <v>na</v>
      </c>
      <c r="E12" s="87" t="str">
        <f>IFERROR('8c'!E12/'8c'!M12*100, "na")</f>
        <v>na</v>
      </c>
      <c r="F12" s="85">
        <f>IFERROR('8c'!F12/'8c'!J12*100, "na")</f>
        <v>5.2103127512268808</v>
      </c>
      <c r="G12" s="86">
        <f>IFERROR('8c'!G12/'8c'!K12*100, "na")</f>
        <v>19.112266356233274</v>
      </c>
      <c r="H12" s="86">
        <f>IFERROR('8c'!H12/'8c'!L12*100, "na")</f>
        <v>455.27876716201916</v>
      </c>
      <c r="I12" s="87">
        <f>IFERROR('8c'!I12/'8c'!M12*100, "na")</f>
        <v>401.40454686859579</v>
      </c>
      <c r="J12" s="341">
        <f>IFERROR('8c'!J12/'8c'!J12*100, "na")</f>
        <v>100</v>
      </c>
      <c r="K12" s="342">
        <f>IFERROR('8c'!K12/'8c'!K12*100, "na")</f>
        <v>100</v>
      </c>
      <c r="L12" s="342">
        <f>IFERROR('8c'!L12/'8c'!L12*100, "na")</f>
        <v>100</v>
      </c>
      <c r="M12" s="343">
        <f>IFERROR('8c'!M12/'8c'!M12*100, "na")</f>
        <v>100</v>
      </c>
    </row>
    <row r="13" spans="1:13">
      <c r="A13" s="185">
        <v>1988</v>
      </c>
      <c r="B13" s="85" t="str">
        <f>IFERROR('8c'!B13/'8c'!J13*100, "na")</f>
        <v>na</v>
      </c>
      <c r="C13" s="86" t="str">
        <f>IFERROR('8c'!C13/'8c'!K13*100, "na")</f>
        <v>na</v>
      </c>
      <c r="D13" s="86" t="str">
        <f>IFERROR('8c'!D13/'8c'!L13*100, "na")</f>
        <v>na</v>
      </c>
      <c r="E13" s="87" t="str">
        <f>IFERROR('8c'!E13/'8c'!M13*100, "na")</f>
        <v>na</v>
      </c>
      <c r="F13" s="85">
        <f>IFERROR('8c'!F13/'8c'!J13*100, "na")</f>
        <v>14.754626298811417</v>
      </c>
      <c r="G13" s="86">
        <f>IFERROR('8c'!G13/'8c'!K13*100, "na")</f>
        <v>32.653523347136399</v>
      </c>
      <c r="H13" s="86">
        <f>IFERROR('8c'!H13/'8c'!L13*100, "na")</f>
        <v>469.35342166362528</v>
      </c>
      <c r="I13" s="87">
        <f>IFERROR('8c'!I13/'8c'!M13*100, "na")</f>
        <v>408.29625080857176</v>
      </c>
      <c r="J13" s="341">
        <f>IFERROR('8c'!J13/'8c'!J13*100, "na")</f>
        <v>100</v>
      </c>
      <c r="K13" s="342">
        <f>IFERROR('8c'!K13/'8c'!K13*100, "na")</f>
        <v>100</v>
      </c>
      <c r="L13" s="342">
        <f>IFERROR('8c'!L13/'8c'!L13*100, "na")</f>
        <v>100</v>
      </c>
      <c r="M13" s="343">
        <f>IFERROR('8c'!M13/'8c'!M13*100, "na")</f>
        <v>100</v>
      </c>
    </row>
    <row r="14" spans="1:13">
      <c r="A14" s="185">
        <v>1989</v>
      </c>
      <c r="B14" s="85" t="str">
        <f>IFERROR('8c'!B14/'8c'!J14*100, "na")</f>
        <v>na</v>
      </c>
      <c r="C14" s="86" t="str">
        <f>IFERROR('8c'!C14/'8c'!K14*100, "na")</f>
        <v>na</v>
      </c>
      <c r="D14" s="86" t="str">
        <f>IFERROR('8c'!D14/'8c'!L14*100, "na")</f>
        <v>na</v>
      </c>
      <c r="E14" s="87" t="str">
        <f>IFERROR('8c'!E14/'8c'!M14*100, "na")</f>
        <v>na</v>
      </c>
      <c r="F14" s="85">
        <f>IFERROR('8c'!F14/'8c'!J14*100, "na")</f>
        <v>29.60863396732082</v>
      </c>
      <c r="G14" s="86">
        <f>IFERROR('8c'!G14/'8c'!K14*100, "na")</f>
        <v>68.780372972108538</v>
      </c>
      <c r="H14" s="86">
        <f>IFERROR('8c'!H14/'8c'!L14*100, "na")</f>
        <v>473.38516349981603</v>
      </c>
      <c r="I14" s="87">
        <f>IFERROR('8c'!I14/'8c'!M14*100, "na")</f>
        <v>406.01044437981545</v>
      </c>
      <c r="J14" s="341">
        <f>IFERROR('8c'!J14/'8c'!J14*100, "na")</f>
        <v>100</v>
      </c>
      <c r="K14" s="342">
        <f>IFERROR('8c'!K14/'8c'!K14*100, "na")</f>
        <v>100</v>
      </c>
      <c r="L14" s="342">
        <f>IFERROR('8c'!L14/'8c'!L14*100, "na")</f>
        <v>100</v>
      </c>
      <c r="M14" s="343">
        <f>IFERROR('8c'!M14/'8c'!M14*100, "na")</f>
        <v>100</v>
      </c>
    </row>
    <row r="15" spans="1:13">
      <c r="A15" s="185">
        <v>1990</v>
      </c>
      <c r="B15" s="85">
        <f>IFERROR('8c'!B15/'8c'!J15*100, "na")</f>
        <v>133.65741544547268</v>
      </c>
      <c r="C15" s="86">
        <f>IFERROR('8c'!C15/'8c'!K15*100, "na")</f>
        <v>367.82502421545911</v>
      </c>
      <c r="D15" s="86">
        <f>IFERROR('8c'!D15/'8c'!L15*100, "na")</f>
        <v>387.89396401515012</v>
      </c>
      <c r="E15" s="87">
        <f>IFERROR('8c'!E15/'8c'!M15*100, "na")</f>
        <v>373.69212179412762</v>
      </c>
      <c r="F15" s="85">
        <f>IFERROR('8c'!F15/'8c'!J15*100, "na")</f>
        <v>51.174712181524143</v>
      </c>
      <c r="G15" s="86">
        <f>IFERROR('8c'!G15/'8c'!K15*100, "na")</f>
        <v>104.16725800154029</v>
      </c>
      <c r="H15" s="86">
        <f>IFERROR('8c'!H15/'8c'!L15*100, "na")</f>
        <v>454.6754852078484</v>
      </c>
      <c r="I15" s="87">
        <f>IFERROR('8c'!I15/'8c'!M15*100, "na")</f>
        <v>387.67044913063893</v>
      </c>
      <c r="J15" s="341">
        <f>IFERROR('8c'!J15/'8c'!J15*100, "na")</f>
        <v>100</v>
      </c>
      <c r="K15" s="342">
        <f>IFERROR('8c'!K15/'8c'!K15*100, "na")</f>
        <v>100</v>
      </c>
      <c r="L15" s="342">
        <f>IFERROR('8c'!L15/'8c'!L15*100, "na")</f>
        <v>100</v>
      </c>
      <c r="M15" s="343">
        <f>IFERROR('8c'!M15/'8c'!M15*100, "na")</f>
        <v>100</v>
      </c>
    </row>
    <row r="16" spans="1:13">
      <c r="A16" s="185">
        <v>1991</v>
      </c>
      <c r="B16" s="85">
        <f>IFERROR('8c'!B16/'8c'!J16*100, "na")</f>
        <v>152.61461691901451</v>
      </c>
      <c r="C16" s="86">
        <f>IFERROR('8c'!C16/'8c'!K16*100, "na")</f>
        <v>364.09015369357314</v>
      </c>
      <c r="D16" s="86">
        <f>IFERROR('8c'!D16/'8c'!L16*100, "na")</f>
        <v>409.38562311011088</v>
      </c>
      <c r="E16" s="87">
        <f>IFERROR('8c'!E16/'8c'!M16*100, "na")</f>
        <v>391.46281137319426</v>
      </c>
      <c r="F16" s="85">
        <f>IFERROR('8c'!F16/'8c'!J16*100, "na")</f>
        <v>74.301731785734546</v>
      </c>
      <c r="G16" s="86">
        <f>IFERROR('8c'!G16/'8c'!K16*100, "na")</f>
        <v>139.0571428045391</v>
      </c>
      <c r="H16" s="86">
        <f>IFERROR('8c'!H16/'8c'!L16*100, "na")</f>
        <v>428.76698007578051</v>
      </c>
      <c r="I16" s="87">
        <f>IFERROR('8c'!I16/'8c'!M16*100, "na")</f>
        <v>367.50613356058568</v>
      </c>
      <c r="J16" s="341">
        <f>IFERROR('8c'!J16/'8c'!J16*100, "na")</f>
        <v>100</v>
      </c>
      <c r="K16" s="342">
        <f>IFERROR('8c'!K16/'8c'!K16*100, "na")</f>
        <v>100</v>
      </c>
      <c r="L16" s="342">
        <f>IFERROR('8c'!L16/'8c'!L16*100, "na")</f>
        <v>100</v>
      </c>
      <c r="M16" s="343">
        <f>IFERROR('8c'!M16/'8c'!M16*100, "na")</f>
        <v>100</v>
      </c>
    </row>
    <row r="17" spans="1:13">
      <c r="A17" s="185">
        <v>1992</v>
      </c>
      <c r="B17" s="85">
        <f>IFERROR('8c'!B17/'8c'!J17*100, "na")</f>
        <v>175.35139387098104</v>
      </c>
      <c r="C17" s="86">
        <f>IFERROR('8c'!C17/'8c'!K17*100, "na")</f>
        <v>357.21643188091832</v>
      </c>
      <c r="D17" s="86">
        <f>IFERROR('8c'!D17/'8c'!L17*100, "na")</f>
        <v>575.86287481190311</v>
      </c>
      <c r="E17" s="87">
        <f>IFERROR('8c'!E17/'8c'!M17*100, "na")</f>
        <v>518.54730533173438</v>
      </c>
      <c r="F17" s="85">
        <f>IFERROR('8c'!F17/'8c'!J17*100, "na")</f>
        <v>107.46998619909685</v>
      </c>
      <c r="G17" s="86">
        <f>IFERROR('8c'!G17/'8c'!K17*100, "na")</f>
        <v>172.87286543810089</v>
      </c>
      <c r="H17" s="86">
        <f>IFERROR('8c'!H17/'8c'!L17*100, "na")</f>
        <v>387.22240325345132</v>
      </c>
      <c r="I17" s="87">
        <f>IFERROR('8c'!I17/'8c'!M17*100, "na")</f>
        <v>335.86011365179883</v>
      </c>
      <c r="J17" s="341">
        <f>IFERROR('8c'!J17/'8c'!J17*100, "na")</f>
        <v>100</v>
      </c>
      <c r="K17" s="342">
        <f>IFERROR('8c'!K17/'8c'!K17*100, "na")</f>
        <v>100</v>
      </c>
      <c r="L17" s="342">
        <f>IFERROR('8c'!L17/'8c'!L17*100, "na")</f>
        <v>100</v>
      </c>
      <c r="M17" s="343">
        <f>IFERROR('8c'!M17/'8c'!M17*100, "na")</f>
        <v>100</v>
      </c>
    </row>
    <row r="18" spans="1:13">
      <c r="A18" s="185">
        <v>1993</v>
      </c>
      <c r="B18" s="85">
        <f>IFERROR('8c'!B18/'8c'!J18*100, "na")</f>
        <v>208.25178855699136</v>
      </c>
      <c r="C18" s="86">
        <f>IFERROR('8c'!C18/'8c'!K18*100, "na")</f>
        <v>366.79892005121275</v>
      </c>
      <c r="D18" s="86">
        <f>IFERROR('8c'!D18/'8c'!L18*100, "na")</f>
        <v>690.27997658462164</v>
      </c>
      <c r="E18" s="87">
        <f>IFERROR('8c'!E18/'8c'!M18*100, "na")</f>
        <v>600.55664806243158</v>
      </c>
      <c r="F18" s="85">
        <f>IFERROR('8c'!F18/'8c'!J18*100, "na")</f>
        <v>212.04613282260647</v>
      </c>
      <c r="G18" s="86">
        <f>IFERROR('8c'!G18/'8c'!K18*100, "na")</f>
        <v>351.01392920629155</v>
      </c>
      <c r="H18" s="86">
        <f>IFERROR('8c'!H18/'8c'!L18*100, "na")</f>
        <v>375.97919588925134</v>
      </c>
      <c r="I18" s="87">
        <f>IFERROR('8c'!I18/'8c'!M18*100, "na")</f>
        <v>363.06476697681654</v>
      </c>
      <c r="J18" s="341">
        <f>IFERROR('8c'!J18/'8c'!J18*100, "na")</f>
        <v>100</v>
      </c>
      <c r="K18" s="342">
        <f>IFERROR('8c'!K18/'8c'!K18*100, "na")</f>
        <v>100</v>
      </c>
      <c r="L18" s="342">
        <f>IFERROR('8c'!L18/'8c'!L18*100, "na")</f>
        <v>100</v>
      </c>
      <c r="M18" s="343">
        <f>IFERROR('8c'!M18/'8c'!M18*100, "na")</f>
        <v>100</v>
      </c>
    </row>
    <row r="19" spans="1:13">
      <c r="A19" s="185">
        <v>1994</v>
      </c>
      <c r="B19" s="85">
        <f>IFERROR('8c'!B19/'8c'!J19*100, "na")</f>
        <v>218.74165539807385</v>
      </c>
      <c r="C19" s="86">
        <f>IFERROR('8c'!C19/'8c'!K19*100, "na")</f>
        <v>425.96359799982457</v>
      </c>
      <c r="D19" s="86">
        <f>IFERROR('8c'!D19/'8c'!L19*100, "na")</f>
        <v>857.20421242861187</v>
      </c>
      <c r="E19" s="87">
        <f>IFERROR('8c'!E19/'8c'!M19*100, "na")</f>
        <v>728.09162232116716</v>
      </c>
      <c r="F19" s="85">
        <f>IFERROR('8c'!F19/'8c'!J19*100, "na")</f>
        <v>257.95909806013412</v>
      </c>
      <c r="G19" s="86">
        <f>IFERROR('8c'!G19/'8c'!K19*100, "na")</f>
        <v>486.44547632999178</v>
      </c>
      <c r="H19" s="86">
        <f>IFERROR('8c'!H19/'8c'!L19*100, "na")</f>
        <v>376.45211346016521</v>
      </c>
      <c r="I19" s="87">
        <f>IFERROR('8c'!I19/'8c'!M19*100, "na")</f>
        <v>394.38509793198006</v>
      </c>
      <c r="J19" s="341">
        <f>IFERROR('8c'!J19/'8c'!J19*100, "na")</f>
        <v>100</v>
      </c>
      <c r="K19" s="342">
        <f>IFERROR('8c'!K19/'8c'!K19*100, "na")</f>
        <v>100</v>
      </c>
      <c r="L19" s="342">
        <f>IFERROR('8c'!L19/'8c'!L19*100, "na")</f>
        <v>100</v>
      </c>
      <c r="M19" s="343">
        <f>IFERROR('8c'!M19/'8c'!M19*100, "na")</f>
        <v>100</v>
      </c>
    </row>
    <row r="20" spans="1:13">
      <c r="A20" s="185">
        <v>1995</v>
      </c>
      <c r="B20" s="85">
        <f>IFERROR('8c'!B20/'8c'!J20*100, "na")</f>
        <v>257.81557519350287</v>
      </c>
      <c r="C20" s="86">
        <f>IFERROR('8c'!C20/'8c'!K20*100, "na")</f>
        <v>546.88071451024632</v>
      </c>
      <c r="D20" s="86">
        <f>IFERROR('8c'!D20/'8c'!L20*100, "na")</f>
        <v>1200.3545923667596</v>
      </c>
      <c r="E20" s="87">
        <f>IFERROR('8c'!E20/'8c'!M20*100, "na")</f>
        <v>988.78276125458342</v>
      </c>
      <c r="F20" s="85">
        <f>IFERROR('8c'!F20/'8c'!J20*100, "na")</f>
        <v>246.50748337668213</v>
      </c>
      <c r="G20" s="86">
        <f>IFERROR('8c'!G20/'8c'!K20*100, "na")</f>
        <v>476.30430076329003</v>
      </c>
      <c r="H20" s="86">
        <f>IFERROR('8c'!H20/'8c'!L20*100, "na")</f>
        <v>352.63248504696179</v>
      </c>
      <c r="I20" s="87">
        <f>IFERROR('8c'!I20/'8c'!M20*100, "na")</f>
        <v>373.88354662842897</v>
      </c>
      <c r="J20" s="341">
        <f>IFERROR('8c'!J20/'8c'!J20*100, "na")</f>
        <v>100</v>
      </c>
      <c r="K20" s="342">
        <f>IFERROR('8c'!K20/'8c'!K20*100, "na")</f>
        <v>100</v>
      </c>
      <c r="L20" s="342">
        <f>IFERROR('8c'!L20/'8c'!L20*100, "na")</f>
        <v>100</v>
      </c>
      <c r="M20" s="343">
        <f>IFERROR('8c'!M20/'8c'!M20*100, "na")</f>
        <v>100</v>
      </c>
    </row>
    <row r="21" spans="1:13">
      <c r="A21" s="185">
        <v>1996</v>
      </c>
      <c r="B21" s="85">
        <f>IFERROR('8c'!B21/'8c'!J21*100, "na")</f>
        <v>281.32791228404443</v>
      </c>
      <c r="C21" s="86">
        <f>IFERROR('8c'!C21/'8c'!K21*100, "na")</f>
        <v>617.00411227986501</v>
      </c>
      <c r="D21" s="86">
        <f>IFERROR('8c'!D21/'8c'!L21*100, "na")</f>
        <v>1448.5816792396627</v>
      </c>
      <c r="E21" s="87">
        <f>IFERROR('8c'!E21/'8c'!M21*100, "na")</f>
        <v>1160.5065697954883</v>
      </c>
      <c r="F21" s="85">
        <f>IFERROR('8c'!F21/'8c'!J21*100, "na")</f>
        <v>227.60174826017169</v>
      </c>
      <c r="G21" s="86">
        <f>IFERROR('8c'!G21/'8c'!K21*100, "na")</f>
        <v>436.66095408757099</v>
      </c>
      <c r="H21" s="86">
        <f>IFERROR('8c'!H21/'8c'!L21*100, "na")</f>
        <v>321.90890323772499</v>
      </c>
      <c r="I21" s="87">
        <f>IFERROR('8c'!I21/'8c'!M21*100, "na")</f>
        <v>340.9520774580447</v>
      </c>
      <c r="J21" s="341">
        <f>IFERROR('8c'!J21/'8c'!J21*100, "na")</f>
        <v>100</v>
      </c>
      <c r="K21" s="342">
        <f>IFERROR('8c'!K21/'8c'!K21*100, "na")</f>
        <v>100</v>
      </c>
      <c r="L21" s="342">
        <f>IFERROR('8c'!L21/'8c'!L21*100, "na")</f>
        <v>100</v>
      </c>
      <c r="M21" s="343">
        <f>IFERROR('8c'!M21/'8c'!M21*100, "na")</f>
        <v>100</v>
      </c>
    </row>
    <row r="22" spans="1:13">
      <c r="A22" s="185">
        <v>1997</v>
      </c>
      <c r="B22" s="85">
        <f>IFERROR('8c'!B22/'8c'!J22*100, "na")</f>
        <v>352.73987047377233</v>
      </c>
      <c r="C22" s="86">
        <f>IFERROR('8c'!C22/'8c'!K22*100, "na")</f>
        <v>648.69207611056584</v>
      </c>
      <c r="D22" s="86">
        <f>IFERROR('8c'!D22/'8c'!L22*100, "na")</f>
        <v>1721.6755696747282</v>
      </c>
      <c r="E22" s="87">
        <f>IFERROR('8c'!E22/'8c'!M22*100, "na")</f>
        <v>1305.8874077965588</v>
      </c>
      <c r="F22" s="85">
        <f>IFERROR('8c'!F22/'8c'!J22*100, "na")</f>
        <v>201.67634882674753</v>
      </c>
      <c r="G22" s="86">
        <f>IFERROR('8c'!G22/'8c'!K22*100, "na")</f>
        <v>340.57420726738667</v>
      </c>
      <c r="H22" s="86">
        <f>IFERROR('8c'!H22/'8c'!L22*100, "na")</f>
        <v>287.66236204308308</v>
      </c>
      <c r="I22" s="87">
        <f>IFERROR('8c'!I22/'8c'!M22*100, "na")</f>
        <v>292.61896060216725</v>
      </c>
      <c r="J22" s="341">
        <f>IFERROR('8c'!J22/'8c'!J22*100, "na")</f>
        <v>100</v>
      </c>
      <c r="K22" s="342">
        <f>IFERROR('8c'!K22/'8c'!K22*100, "na")</f>
        <v>100</v>
      </c>
      <c r="L22" s="342">
        <f>IFERROR('8c'!L22/'8c'!L22*100, "na")</f>
        <v>100</v>
      </c>
      <c r="M22" s="343">
        <f>IFERROR('8c'!M22/'8c'!M22*100, "na")</f>
        <v>100</v>
      </c>
    </row>
    <row r="23" spans="1:13">
      <c r="A23" s="185">
        <v>1998</v>
      </c>
      <c r="B23" s="85">
        <f>IFERROR('8c'!B23/'8c'!J23*100, "na")</f>
        <v>344.68179183913242</v>
      </c>
      <c r="C23" s="86">
        <f>IFERROR('8c'!C23/'8c'!K23*100, "na")</f>
        <v>534.85025829867266</v>
      </c>
      <c r="D23" s="86">
        <f>IFERROR('8c'!D23/'8c'!L23*100, "na")</f>
        <v>1819.4590019309644</v>
      </c>
      <c r="E23" s="87">
        <f>IFERROR('8c'!E23/'8c'!M23*100, "na")</f>
        <v>1268.1301107211077</v>
      </c>
      <c r="F23" s="85">
        <f>IFERROR('8c'!F23/'8c'!J23*100, "na")</f>
        <v>196.63684302190975</v>
      </c>
      <c r="G23" s="86">
        <f>IFERROR('8c'!G23/'8c'!K23*100, "na")</f>
        <v>274.95513337338355</v>
      </c>
      <c r="H23" s="86">
        <f>IFERROR('8c'!H23/'8c'!L23*100, "na")</f>
        <v>258.40017888947864</v>
      </c>
      <c r="I23" s="87">
        <f>IFERROR('8c'!I23/'8c'!M23*100, "na")</f>
        <v>255.64173448436128</v>
      </c>
      <c r="J23" s="341">
        <f>IFERROR('8c'!J23/'8c'!J23*100, "na")</f>
        <v>100</v>
      </c>
      <c r="K23" s="342">
        <f>IFERROR('8c'!K23/'8c'!K23*100, "na")</f>
        <v>100</v>
      </c>
      <c r="L23" s="342">
        <f>IFERROR('8c'!L23/'8c'!L23*100, "na")</f>
        <v>100</v>
      </c>
      <c r="M23" s="343">
        <f>IFERROR('8c'!M23/'8c'!M23*100, "na")</f>
        <v>100</v>
      </c>
    </row>
    <row r="24" spans="1:13">
      <c r="A24" s="185">
        <v>1999</v>
      </c>
      <c r="B24" s="85">
        <f>IFERROR('8c'!B24/'8c'!J24*100, "na")</f>
        <v>226.3391528063805</v>
      </c>
      <c r="C24" s="86">
        <f>IFERROR('8c'!C24/'8c'!K24*100, "na")</f>
        <v>344.69196171414518</v>
      </c>
      <c r="D24" s="86">
        <f>IFERROR('8c'!D24/'8c'!L24*100, "na")</f>
        <v>1613.6374707484479</v>
      </c>
      <c r="E24" s="87">
        <f>IFERROR('8c'!E24/'8c'!M24*100, "na")</f>
        <v>997.05286862585058</v>
      </c>
      <c r="F24" s="85">
        <f>IFERROR('8c'!F24/'8c'!J24*100, "na")</f>
        <v>151.49030214492973</v>
      </c>
      <c r="G24" s="86">
        <f>IFERROR('8c'!G24/'8c'!K24*100, "na")</f>
        <v>205.2278167872924</v>
      </c>
      <c r="H24" s="86">
        <f>IFERROR('8c'!H24/'8c'!L24*100, "na")</f>
        <v>225.47742541647148</v>
      </c>
      <c r="I24" s="87">
        <f>IFERROR('8c'!I24/'8c'!M24*100, "na")</f>
        <v>207.82517975592384</v>
      </c>
      <c r="J24" s="341">
        <f>IFERROR('8c'!J24/'8c'!J24*100, "na")</f>
        <v>100</v>
      </c>
      <c r="K24" s="342">
        <f>IFERROR('8c'!K24/'8c'!K24*100, "na")</f>
        <v>100</v>
      </c>
      <c r="L24" s="342">
        <f>IFERROR('8c'!L24/'8c'!L24*100, "na")</f>
        <v>100</v>
      </c>
      <c r="M24" s="343">
        <f>IFERROR('8c'!M24/'8c'!M24*100, "na")</f>
        <v>100</v>
      </c>
    </row>
    <row r="25" spans="1:13">
      <c r="A25" s="185">
        <v>2000</v>
      </c>
      <c r="B25" s="85">
        <f>IFERROR('8c'!B25/'8c'!J25*100, "na")</f>
        <v>178.68693230310421</v>
      </c>
      <c r="C25" s="86">
        <f>IFERROR('8c'!C25/'8c'!K25*100, "na")</f>
        <v>268.09452542417012</v>
      </c>
      <c r="D25" s="86">
        <f>IFERROR('8c'!D25/'8c'!L25*100, "na")</f>
        <v>1391.7073999533959</v>
      </c>
      <c r="E25" s="87">
        <f>IFERROR('8c'!E25/'8c'!M25*100, "na")</f>
        <v>819.98567693711357</v>
      </c>
      <c r="F25" s="85">
        <f>IFERROR('8c'!F25/'8c'!J25*100, "na")</f>
        <v>96.57927927132441</v>
      </c>
      <c r="G25" s="86">
        <f>IFERROR('8c'!G25/'8c'!K25*100, "na")</f>
        <v>120.63052237942395</v>
      </c>
      <c r="H25" s="86">
        <f>IFERROR('8c'!H25/'8c'!L25*100, "na")</f>
        <v>170.86921983388171</v>
      </c>
      <c r="I25" s="87">
        <f>IFERROR('8c'!I25/'8c'!M25*100, "na")</f>
        <v>142.0463078382642</v>
      </c>
      <c r="J25" s="341">
        <f>IFERROR('8c'!J25/'8c'!J25*100, "na")</f>
        <v>100</v>
      </c>
      <c r="K25" s="342">
        <f>IFERROR('8c'!K25/'8c'!K25*100, "na")</f>
        <v>100</v>
      </c>
      <c r="L25" s="342">
        <f>IFERROR('8c'!L25/'8c'!L25*100, "na")</f>
        <v>100</v>
      </c>
      <c r="M25" s="343">
        <f>IFERROR('8c'!M25/'8c'!M25*100, "na")</f>
        <v>100</v>
      </c>
    </row>
    <row r="26" spans="1:13">
      <c r="A26" s="185">
        <v>2001</v>
      </c>
      <c r="B26" s="85">
        <f>IFERROR('8c'!B26/'8c'!J26*100, "na")</f>
        <v>169.79278657070594</v>
      </c>
      <c r="C26" s="86">
        <f>IFERROR('8c'!C26/'8c'!K26*100, "na")</f>
        <v>229.01024595646408</v>
      </c>
      <c r="D26" s="86">
        <f>IFERROR('8c'!D26/'8c'!L26*100, "na")</f>
        <v>1291.6559366248018</v>
      </c>
      <c r="E26" s="87">
        <f>IFERROR('8c'!E26/'8c'!M26*100, "na")</f>
        <v>759.48397814711598</v>
      </c>
      <c r="F26" s="85">
        <f>IFERROR('8c'!F26/'8c'!J26*100, "na")</f>
        <v>75.724033779293748</v>
      </c>
      <c r="G26" s="86">
        <f>IFERROR('8c'!G26/'8c'!K26*100, "na")</f>
        <v>78.847272159880077</v>
      </c>
      <c r="H26" s="86">
        <f>IFERROR('8c'!H26/'8c'!L26*100, "na")</f>
        <v>142.55106213648315</v>
      </c>
      <c r="I26" s="87">
        <f>IFERROR('8c'!I26/'8c'!M26*100, "na")</f>
        <v>110.71373584800659</v>
      </c>
      <c r="J26" s="341">
        <f>IFERROR('8c'!J26/'8c'!J26*100, "na")</f>
        <v>100</v>
      </c>
      <c r="K26" s="342">
        <f>IFERROR('8c'!K26/'8c'!K26*100, "na")</f>
        <v>100</v>
      </c>
      <c r="L26" s="342">
        <f>IFERROR('8c'!L26/'8c'!L26*100, "na")</f>
        <v>100</v>
      </c>
      <c r="M26" s="343">
        <f>IFERROR('8c'!M26/'8c'!M26*100, "na")</f>
        <v>100</v>
      </c>
    </row>
    <row r="27" spans="1:13">
      <c r="A27" s="185">
        <v>2002</v>
      </c>
      <c r="B27" s="85">
        <f>IFERROR('8c'!B27/'8c'!J27*100, "na")</f>
        <v>129.19064457466155</v>
      </c>
      <c r="C27" s="86">
        <f>IFERROR('8c'!C27/'8c'!K27*100, "na")</f>
        <v>157.31246221782536</v>
      </c>
      <c r="D27" s="86">
        <f>IFERROR('8c'!D27/'8c'!L27*100, "na")</f>
        <v>1211.9630757014972</v>
      </c>
      <c r="E27" s="87">
        <f>IFERROR('8c'!E27/'8c'!M27*100, "na")</f>
        <v>679.51784410480275</v>
      </c>
      <c r="F27" s="85">
        <f>IFERROR('8c'!F27/'8c'!J27*100, "na")</f>
        <v>59.057462564438268</v>
      </c>
      <c r="G27" s="86">
        <f>IFERROR('8c'!G27/'8c'!K27*100, "na")</f>
        <v>55.349277949348604</v>
      </c>
      <c r="H27" s="86">
        <f>IFERROR('8c'!H27/'8c'!L27*100, "na")</f>
        <v>133.00829305407086</v>
      </c>
      <c r="I27" s="87">
        <f>IFERROR('8c'!I27/'8c'!M27*100, "na")</f>
        <v>94.697927976011556</v>
      </c>
      <c r="J27" s="341">
        <f>IFERROR('8c'!J27/'8c'!J27*100, "na")</f>
        <v>100</v>
      </c>
      <c r="K27" s="342">
        <f>IFERROR('8c'!K27/'8c'!K27*100, "na")</f>
        <v>100</v>
      </c>
      <c r="L27" s="342">
        <f>IFERROR('8c'!L27/'8c'!L27*100, "na")</f>
        <v>100</v>
      </c>
      <c r="M27" s="343">
        <f>IFERROR('8c'!M27/'8c'!M27*100, "na")</f>
        <v>100</v>
      </c>
    </row>
    <row r="28" spans="1:13">
      <c r="A28" s="185">
        <v>2003</v>
      </c>
      <c r="B28" s="85">
        <f>IFERROR('8c'!B28/'8c'!J28*100, "na")</f>
        <v>97.092276084684727</v>
      </c>
      <c r="C28" s="86">
        <f>IFERROR('8c'!C28/'8c'!K28*100, "na")</f>
        <v>110.52940100260543</v>
      </c>
      <c r="D28" s="86">
        <f>IFERROR('8c'!D28/'8c'!L28*100, "na")</f>
        <v>1167.9681898026095</v>
      </c>
      <c r="E28" s="87">
        <f>IFERROR('8c'!E28/'8c'!M28*100, "na")</f>
        <v>617.99078756819995</v>
      </c>
      <c r="F28" s="85">
        <f>IFERROR('8c'!F28/'8c'!J28*100, "na")</f>
        <v>49.739925193344057</v>
      </c>
      <c r="G28" s="86">
        <f>IFERROR('8c'!G28/'8c'!K28*100, "na")</f>
        <v>42.022830243858927</v>
      </c>
      <c r="H28" s="86">
        <f>IFERROR('8c'!H28/'8c'!L28*100, "na")</f>
        <v>128.16568581730462</v>
      </c>
      <c r="I28" s="87">
        <f>IFERROR('8c'!I28/'8c'!M28*100, "na")</f>
        <v>84.77221269271908</v>
      </c>
      <c r="J28" s="341">
        <f>IFERROR('8c'!J28/'8c'!J28*100, "na")</f>
        <v>100</v>
      </c>
      <c r="K28" s="342">
        <f>IFERROR('8c'!K28/'8c'!K28*100, "na")</f>
        <v>100</v>
      </c>
      <c r="L28" s="342">
        <f>IFERROR('8c'!L28/'8c'!L28*100, "na")</f>
        <v>100</v>
      </c>
      <c r="M28" s="343">
        <f>IFERROR('8c'!M28/'8c'!M28*100, "na")</f>
        <v>100</v>
      </c>
    </row>
    <row r="29" spans="1:13">
      <c r="A29" s="185">
        <v>2004</v>
      </c>
      <c r="B29" s="85">
        <f>IFERROR('8c'!B29/'8c'!J29*100, "na")</f>
        <v>73.07767809229081</v>
      </c>
      <c r="C29" s="86">
        <f>IFERROR('8c'!C29/'8c'!K29*100, "na")</f>
        <v>76.31423462596716</v>
      </c>
      <c r="D29" s="86">
        <f>IFERROR('8c'!D29/'8c'!L29*100, "na")</f>
        <v>1060.9637759090833</v>
      </c>
      <c r="E29" s="87">
        <f>IFERROR('8c'!E29/'8c'!M29*100, "na")</f>
        <v>535.66823232016725</v>
      </c>
      <c r="F29" s="85">
        <f>IFERROR('8c'!F29/'8c'!J29*100, "na")</f>
        <v>42.633711783458104</v>
      </c>
      <c r="G29" s="86">
        <f>IFERROR('8c'!G29/'8c'!K29*100, "na")</f>
        <v>31.878183828399564</v>
      </c>
      <c r="H29" s="86">
        <f>IFERROR('8c'!H29/'8c'!L29*100, "na")</f>
        <v>116.5960203878774</v>
      </c>
      <c r="I29" s="87">
        <f>IFERROR('8c'!I29/'8c'!M29*100, "na")</f>
        <v>73.169391237305717</v>
      </c>
      <c r="J29" s="341">
        <f>IFERROR('8c'!J29/'8c'!J29*100, "na")</f>
        <v>100</v>
      </c>
      <c r="K29" s="342">
        <f>IFERROR('8c'!K29/'8c'!K29*100, "na")</f>
        <v>100</v>
      </c>
      <c r="L29" s="342">
        <f>IFERROR('8c'!L29/'8c'!L29*100, "na")</f>
        <v>100</v>
      </c>
      <c r="M29" s="343">
        <f>IFERROR('8c'!M29/'8c'!M29*100, "na")</f>
        <v>100</v>
      </c>
    </row>
    <row r="30" spans="1:13">
      <c r="A30" s="185">
        <v>2005</v>
      </c>
      <c r="B30" s="85">
        <f>IFERROR('8c'!B30/'8c'!J30*100, "na")</f>
        <v>58.544453529848539</v>
      </c>
      <c r="C30" s="86">
        <f>IFERROR('8c'!C30/'8c'!K30*100, "na")</f>
        <v>53.978076892295476</v>
      </c>
      <c r="D30" s="86">
        <f>IFERROR('8c'!D30/'8c'!L30*100, "na")</f>
        <v>956.29394988139325</v>
      </c>
      <c r="E30" s="87">
        <f>IFERROR('8c'!E30/'8c'!M30*100, "na")</f>
        <v>466.72242977049194</v>
      </c>
      <c r="F30" s="85">
        <f>IFERROR('8c'!F30/'8c'!J30*100, "na")</f>
        <v>41.580780979311207</v>
      </c>
      <c r="G30" s="86">
        <f>IFERROR('8c'!G30/'8c'!K30*100, "na")</f>
        <v>26.20782327485913</v>
      </c>
      <c r="H30" s="86">
        <f>IFERROR('8c'!H30/'8c'!L30*100, "na")</f>
        <v>108.49457672659966</v>
      </c>
      <c r="I30" s="87">
        <f>IFERROR('8c'!I30/'8c'!M30*100, "na")</f>
        <v>66.169976572727435</v>
      </c>
      <c r="J30" s="341">
        <f>IFERROR('8c'!J30/'8c'!J30*100, "na")</f>
        <v>100</v>
      </c>
      <c r="K30" s="342">
        <f>IFERROR('8c'!K30/'8c'!K30*100, "na")</f>
        <v>100</v>
      </c>
      <c r="L30" s="342">
        <f>IFERROR('8c'!L30/'8c'!L30*100, "na")</f>
        <v>100</v>
      </c>
      <c r="M30" s="343">
        <f>IFERROR('8c'!M30/'8c'!M30*100, "na")</f>
        <v>100</v>
      </c>
    </row>
    <row r="31" spans="1:13">
      <c r="A31" s="185">
        <v>2006</v>
      </c>
      <c r="B31" s="85">
        <f>IFERROR('8c'!B31/'8c'!J31*100, "na")</f>
        <v>46.250811688296679</v>
      </c>
      <c r="C31" s="86">
        <f>IFERROR('8c'!C31/'8c'!K31*100, "na")</f>
        <v>39.755027426787883</v>
      </c>
      <c r="D31" s="86">
        <f>IFERROR('8c'!D31/'8c'!L31*100, "na")</f>
        <v>801.61001648578178</v>
      </c>
      <c r="E31" s="87">
        <f>IFERROR('8c'!E31/'8c'!M31*100, "na")</f>
        <v>390.40636699107324</v>
      </c>
      <c r="F31" s="85">
        <f>IFERROR('8c'!F31/'8c'!J31*100, "na")</f>
        <v>43.004952029667251</v>
      </c>
      <c r="G31" s="86">
        <f>IFERROR('8c'!G31/'8c'!K31*100, "na")</f>
        <v>23.476611278288615</v>
      </c>
      <c r="H31" s="86">
        <f>IFERROR('8c'!H31/'8c'!L31*100, "na")</f>
        <v>96.304246957521769</v>
      </c>
      <c r="I31" s="87">
        <f>IFERROR('8c'!I31/'8c'!M31*100, "na")</f>
        <v>59.985676957680042</v>
      </c>
      <c r="J31" s="341">
        <f>IFERROR('8c'!J31/'8c'!J31*100, "na")</f>
        <v>100</v>
      </c>
      <c r="K31" s="342">
        <f>IFERROR('8c'!K31/'8c'!K31*100, "na")</f>
        <v>100</v>
      </c>
      <c r="L31" s="342">
        <f>IFERROR('8c'!L31/'8c'!L31*100, "na")</f>
        <v>100</v>
      </c>
      <c r="M31" s="343">
        <f>IFERROR('8c'!M31/'8c'!M31*100, "na")</f>
        <v>100</v>
      </c>
    </row>
    <row r="32" spans="1:13">
      <c r="A32" s="185">
        <v>2007</v>
      </c>
      <c r="B32" s="85">
        <f>IFERROR('8c'!B32/'8c'!J32*100, "na")</f>
        <v>45.892778615120768</v>
      </c>
      <c r="C32" s="86">
        <f>IFERROR('8c'!C32/'8c'!K32*100, "na")</f>
        <v>34.524520051442877</v>
      </c>
      <c r="D32" s="86">
        <f>IFERROR('8c'!D32/'8c'!L32*100, "na")</f>
        <v>747.94280253394015</v>
      </c>
      <c r="E32" s="87">
        <f>IFERROR('8c'!E32/'8c'!M32*100, "na")</f>
        <v>344.50581517715096</v>
      </c>
      <c r="F32" s="85">
        <f>IFERROR('8c'!F32/'8c'!J32*100, "na")</f>
        <v>49.955645081347697</v>
      </c>
      <c r="G32" s="86">
        <f>IFERROR('8c'!G32/'8c'!K32*100, "na")</f>
        <v>23.610671444014912</v>
      </c>
      <c r="H32" s="86">
        <f>IFERROR('8c'!H32/'8c'!L32*100, "na")</f>
        <v>98.09276814212167</v>
      </c>
      <c r="I32" s="87">
        <f>IFERROR('8c'!I32/'8c'!M32*100, "na")</f>
        <v>60.262922621143453</v>
      </c>
      <c r="J32" s="341">
        <f>IFERROR('8c'!J32/'8c'!J32*100, "na")</f>
        <v>100</v>
      </c>
      <c r="K32" s="342">
        <f>IFERROR('8c'!K32/'8c'!K32*100, "na")</f>
        <v>100</v>
      </c>
      <c r="L32" s="342">
        <f>IFERROR('8c'!L32/'8c'!L32*100, "na")</f>
        <v>100</v>
      </c>
      <c r="M32" s="343">
        <f>IFERROR('8c'!M32/'8c'!M32*100, "na")</f>
        <v>100</v>
      </c>
    </row>
    <row r="33" spans="1:13">
      <c r="A33" s="185">
        <v>2008</v>
      </c>
      <c r="B33" s="85">
        <f>IFERROR('8c'!B33/'8c'!J33*100, "na")</f>
        <v>47.718163245471978</v>
      </c>
      <c r="C33" s="86">
        <f>IFERROR('8c'!C33/'8c'!K33*100, "na")</f>
        <v>30.537856617558955</v>
      </c>
      <c r="D33" s="86">
        <f>IFERROR('8c'!D33/'8c'!L33*100, "na")</f>
        <v>665.46169456662369</v>
      </c>
      <c r="E33" s="87">
        <f>IFERROR('8c'!E33/'8c'!M33*100, "na")</f>
        <v>299.85260624937445</v>
      </c>
      <c r="F33" s="85">
        <f>IFERROR('8c'!F33/'8c'!J33*100, "na")</f>
        <v>60.281418738330331</v>
      </c>
      <c r="G33" s="86">
        <f>IFERROR('8c'!G33/'8c'!K33*100, "na")</f>
        <v>24.511266679935243</v>
      </c>
      <c r="H33" s="86">
        <f>IFERROR('8c'!H33/'8c'!L33*100, "na")</f>
        <v>98.157154357130054</v>
      </c>
      <c r="I33" s="87">
        <f>IFERROR('8c'!I33/'8c'!M33*100, "na")</f>
        <v>61.693871536581057</v>
      </c>
      <c r="J33" s="341">
        <f>IFERROR('8c'!J33/'8c'!J33*100, "na")</f>
        <v>100</v>
      </c>
      <c r="K33" s="342">
        <f>IFERROR('8c'!K33/'8c'!K33*100, "na")</f>
        <v>100</v>
      </c>
      <c r="L33" s="342">
        <f>IFERROR('8c'!L33/'8c'!L33*100, "na")</f>
        <v>100</v>
      </c>
      <c r="M33" s="343">
        <f>IFERROR('8c'!M33/'8c'!M33*100, "na")</f>
        <v>100</v>
      </c>
    </row>
    <row r="34" spans="1:13">
      <c r="A34" s="57">
        <f>A33+1</f>
        <v>2009</v>
      </c>
      <c r="B34" s="85">
        <f>IFERROR('8c'!B34/'8c'!J34*100, "na")</f>
        <v>49.146994179049493</v>
      </c>
      <c r="C34" s="86">
        <f>IFERROR('8c'!C34/'8c'!K34*100, "na")</f>
        <v>26.998674556728723</v>
      </c>
      <c r="D34" s="86">
        <f>IFERROR('8c'!D34/'8c'!L34*100, "na")</f>
        <v>629.12573808917602</v>
      </c>
      <c r="E34" s="87">
        <f>IFERROR('8c'!E34/'8c'!M34*100, "na")</f>
        <v>277.63419502432976</v>
      </c>
      <c r="F34" s="85">
        <f>IFERROR('8c'!F34/'8c'!J34*100, "na")</f>
        <v>65.657982463023529</v>
      </c>
      <c r="G34" s="86">
        <f>IFERROR('8c'!G34/'8c'!K34*100, "na")</f>
        <v>22.604477638216601</v>
      </c>
      <c r="H34" s="86">
        <f>IFERROR('8c'!H34/'8c'!L34*100, "na")</f>
        <v>99.787377109036413</v>
      </c>
      <c r="I34" s="87">
        <f>IFERROR('8c'!I34/'8c'!M34*100, "na")</f>
        <v>61.810327011140956</v>
      </c>
      <c r="J34" s="341">
        <f>IFERROR('8c'!J34/'8c'!J34*100, "na")</f>
        <v>100</v>
      </c>
      <c r="K34" s="342">
        <f>IFERROR('8c'!K34/'8c'!K34*100, "na")</f>
        <v>100</v>
      </c>
      <c r="L34" s="342">
        <f>IFERROR('8c'!L34/'8c'!L34*100, "na")</f>
        <v>100</v>
      </c>
      <c r="M34" s="343">
        <f>IFERROR('8c'!M34/'8c'!M34*100, "na")</f>
        <v>100</v>
      </c>
    </row>
    <row r="35" spans="1:13">
      <c r="A35" s="58">
        <f t="shared" ref="A35" si="0">A34+1</f>
        <v>2010</v>
      </c>
      <c r="B35" s="88">
        <f>IFERROR('8c'!B35/'8c'!J35*100, "na")</f>
        <v>44.553529819517422</v>
      </c>
      <c r="C35" s="89">
        <f>IFERROR('8c'!C35/'8c'!K35*100, "na")</f>
        <v>24.502170917951123</v>
      </c>
      <c r="D35" s="89">
        <f>IFERROR('8c'!D35/'8c'!L35*100, "na")</f>
        <v>610.31312266219516</v>
      </c>
      <c r="E35" s="90">
        <f>IFERROR('8c'!E35/'8c'!M35*100, "na")</f>
        <v>250.54811753181326</v>
      </c>
      <c r="F35" s="88">
        <f>IFERROR('8c'!F35/'8c'!J35*100, "na")</f>
        <v>63.183429511637343</v>
      </c>
      <c r="G35" s="89">
        <f>IFERROR('8c'!G35/'8c'!K35*100, "na")</f>
        <v>21.724897286002371</v>
      </c>
      <c r="H35" s="89">
        <f>IFERROR('8c'!H35/'8c'!L35*100, "na")</f>
        <v>106.47655988222624</v>
      </c>
      <c r="I35" s="90">
        <f>IFERROR('8c'!I35/'8c'!M35*100, "na")</f>
        <v>62.44111766367827</v>
      </c>
      <c r="J35" s="344">
        <f>IFERROR('8c'!J35/'8c'!J35*100, "na")</f>
        <v>100</v>
      </c>
      <c r="K35" s="345">
        <f>IFERROR('8c'!K35/'8c'!K35*100, "na")</f>
        <v>100</v>
      </c>
      <c r="L35" s="345">
        <f>IFERROR('8c'!L35/'8c'!L35*100, "na")</f>
        <v>100</v>
      </c>
      <c r="M35" s="346">
        <f>IFERROR('8c'!M35/'8c'!M35*100, "na")</f>
        <v>100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6"/>
    </row>
    <row r="38" spans="1:13">
      <c r="A38" s="27" t="s">
        <v>53</v>
      </c>
      <c r="B38" s="82" t="str">
        <f>IFERROR((POWER(B15/B6,1/($A15-$A6))-1)*100, "na")</f>
        <v>na</v>
      </c>
      <c r="C38" s="83" t="str">
        <f t="shared" ref="C38:I38" si="1">IFERROR((POWER(C15/C6,1/($A15-$A6))-1)*100, "na")</f>
        <v>na</v>
      </c>
      <c r="D38" s="83" t="str">
        <f t="shared" si="1"/>
        <v>na</v>
      </c>
      <c r="E38" s="84" t="str">
        <f>IFERROR((POWER(E15/E6,1/($A15-$A6))-1)*100, "na")</f>
        <v>na</v>
      </c>
      <c r="F38" s="82">
        <f>IFERROR((POWER(F15/F6,1/($A15-$A6))-1)*100, "na")</f>
        <v>0.99212338084897489</v>
      </c>
      <c r="G38" s="83">
        <f t="shared" si="1"/>
        <v>-6.4480859882867891</v>
      </c>
      <c r="H38" s="83">
        <f t="shared" si="1"/>
        <v>0.13399695079101548</v>
      </c>
      <c r="I38" s="84">
        <f t="shared" si="1"/>
        <v>-1.2795406786572427</v>
      </c>
    </row>
    <row r="39" spans="1:13">
      <c r="A39" s="28" t="s">
        <v>71</v>
      </c>
      <c r="B39" s="37">
        <f>IFERROR((POWER(B$25/B15,1/($A$25-$A$15))-1)*100,"na")</f>
        <v>2.9461177573647523</v>
      </c>
      <c r="C39" s="86">
        <f t="shared" ref="C39:I39" si="2">IFERROR((POWER(C$25/C15,1/($A$25-$A$15))-1)*100,"na")</f>
        <v>-3.113187690332142</v>
      </c>
      <c r="D39" s="86">
        <f t="shared" si="2"/>
        <v>13.627510445622493</v>
      </c>
      <c r="E39" s="87">
        <f t="shared" si="2"/>
        <v>8.1755800044268412</v>
      </c>
      <c r="F39" s="85">
        <f t="shared" si="2"/>
        <v>6.5572135195262282</v>
      </c>
      <c r="G39" s="86">
        <f t="shared" si="2"/>
        <v>1.4781631805031337</v>
      </c>
      <c r="H39" s="86">
        <f t="shared" si="2"/>
        <v>-9.3231907379687229</v>
      </c>
      <c r="I39" s="87">
        <f t="shared" si="2"/>
        <v>-9.552467110947326</v>
      </c>
    </row>
    <row r="40" spans="1:13">
      <c r="A40" s="28" t="s">
        <v>69</v>
      </c>
      <c r="B40" s="37">
        <f>IFERROR((POWER(B$35/B25,1/($A$35-$A$25))-1)*100,"na")</f>
        <v>-12.96800627333109</v>
      </c>
      <c r="C40" s="86">
        <f t="shared" ref="C40:I40" si="3">IFERROR((POWER(C$35/C25,1/($A$35-$A$25))-1)*100,"na")</f>
        <v>-21.278807935344645</v>
      </c>
      <c r="D40" s="86">
        <f>IFERROR((POWER(D$35/D25,1/($A$35-$A$25))-1)*100,"na")</f>
        <v>-7.9125436174088959</v>
      </c>
      <c r="E40" s="87">
        <f t="shared" si="3"/>
        <v>-11.180466514104303</v>
      </c>
      <c r="F40" s="85">
        <f>IFERROR((POWER(F$35/F25,1/($A$35-$A$25))-1)*100,"na")</f>
        <v>-4.1544567052024366</v>
      </c>
      <c r="G40" s="86">
        <f t="shared" si="3"/>
        <v>-15.753852068076812</v>
      </c>
      <c r="H40" s="86">
        <f t="shared" si="3"/>
        <v>-4.6196267821093535</v>
      </c>
      <c r="I40" s="87">
        <f t="shared" si="3"/>
        <v>-7.8905748641434625</v>
      </c>
    </row>
    <row r="41" spans="1:13">
      <c r="A41" s="29" t="s">
        <v>70</v>
      </c>
      <c r="B41" s="39" t="str">
        <f>IFERROR((POWER(B35/B6,1/($A$35-$A$6))-1)*100, "na")</f>
        <v>na</v>
      </c>
      <c r="C41" s="89" t="str">
        <f t="shared" ref="C41:H41" si="4">IFERROR((POWER(C35/C6,1/($A$35-$A$6))-1)*100, "na")</f>
        <v>na</v>
      </c>
      <c r="D41" s="89" t="str">
        <f t="shared" si="4"/>
        <v>na</v>
      </c>
      <c r="E41" s="90" t="str">
        <f t="shared" si="4"/>
        <v>na</v>
      </c>
      <c r="F41" s="88">
        <f t="shared" si="4"/>
        <v>1.0386243740029499</v>
      </c>
      <c r="G41" s="89">
        <f>IFERROR((POWER(G35/G6,1/($A$35-$A$6))-1)*100, "na")</f>
        <v>-7.2014052301449416</v>
      </c>
      <c r="H41" s="89">
        <f t="shared" si="4"/>
        <v>-4.8429627448810635</v>
      </c>
      <c r="I41" s="90">
        <f>IFERROR((POWER(I35/I6,1/($A$35-$A$6))-1)*100, "na")</f>
        <v>-6.4767176718204533</v>
      </c>
    </row>
    <row r="43" spans="1:13">
      <c r="A43" s="204" t="s">
        <v>116</v>
      </c>
    </row>
  </sheetData>
  <mergeCells count="5">
    <mergeCell ref="A1:H2"/>
    <mergeCell ref="B4:E4"/>
    <mergeCell ref="F4:I4"/>
    <mergeCell ref="A37:I37"/>
    <mergeCell ref="J4:M4"/>
  </mergeCells>
  <pageMargins left="0.7" right="0.7" top="0.75" bottom="0.75" header="0.3" footer="0.3"/>
  <pageSetup scale="6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M43"/>
  <sheetViews>
    <sheetView zoomScaleNormal="100" workbookViewId="0">
      <selection sqref="A1:G2"/>
    </sheetView>
  </sheetViews>
  <sheetFormatPr defaultRowHeight="15"/>
  <cols>
    <col min="1" max="1" width="11.140625" style="18" customWidth="1"/>
    <col min="2" max="2" width="14.42578125" style="18" customWidth="1"/>
    <col min="3" max="3" width="16" style="18" customWidth="1"/>
    <col min="4" max="4" width="8.42578125" style="18" bestFit="1" customWidth="1"/>
    <col min="5" max="5" width="13.85546875" style="18" customWidth="1"/>
    <col min="6" max="6" width="14" style="18" customWidth="1"/>
    <col min="7" max="7" width="11.5703125" style="18" customWidth="1"/>
    <col min="8" max="16384" width="9.140625" style="18"/>
  </cols>
  <sheetData>
    <row r="1" spans="1:7">
      <c r="A1" s="392" t="s">
        <v>96</v>
      </c>
      <c r="B1" s="392"/>
      <c r="C1" s="392"/>
      <c r="D1" s="392"/>
      <c r="E1" s="392"/>
      <c r="F1" s="392"/>
      <c r="G1" s="392"/>
    </row>
    <row r="2" spans="1:7">
      <c r="A2" s="392"/>
      <c r="B2" s="392"/>
      <c r="C2" s="392"/>
      <c r="D2" s="392"/>
      <c r="E2" s="392"/>
      <c r="F2" s="392"/>
      <c r="G2" s="392"/>
    </row>
    <row r="3" spans="1:7">
      <c r="A3" s="226"/>
      <c r="B3" s="226"/>
      <c r="C3" s="226"/>
      <c r="D3" s="226"/>
      <c r="E3" s="226"/>
      <c r="F3" s="226"/>
      <c r="G3" s="226"/>
    </row>
    <row r="4" spans="1:7">
      <c r="E4" s="389" t="s">
        <v>76</v>
      </c>
      <c r="F4" s="391"/>
      <c r="G4" s="390"/>
    </row>
    <row r="5" spans="1:7" ht="45">
      <c r="B5" s="3" t="s">
        <v>54</v>
      </c>
      <c r="C5" s="4" t="s">
        <v>55</v>
      </c>
      <c r="D5" s="5" t="s">
        <v>56</v>
      </c>
      <c r="E5" s="3" t="s">
        <v>54</v>
      </c>
      <c r="F5" s="4" t="s">
        <v>55</v>
      </c>
      <c r="G5" s="5" t="s">
        <v>56</v>
      </c>
    </row>
    <row r="6" spans="1:7">
      <c r="A6" s="64">
        <v>1981</v>
      </c>
      <c r="B6" s="6" t="s">
        <v>37</v>
      </c>
      <c r="C6" s="7" t="s">
        <v>37</v>
      </c>
      <c r="D6" s="7" t="s">
        <v>37</v>
      </c>
      <c r="E6" s="6" t="s">
        <v>37</v>
      </c>
      <c r="F6" s="7" t="s">
        <v>37</v>
      </c>
      <c r="G6" s="8" t="s">
        <v>37</v>
      </c>
    </row>
    <row r="7" spans="1:7">
      <c r="A7" s="65">
        <v>1982</v>
      </c>
      <c r="B7" s="9" t="s">
        <v>37</v>
      </c>
      <c r="C7" s="10" t="s">
        <v>37</v>
      </c>
      <c r="D7" s="10" t="s">
        <v>37</v>
      </c>
      <c r="E7" s="9" t="s">
        <v>37</v>
      </c>
      <c r="F7" s="10" t="s">
        <v>37</v>
      </c>
      <c r="G7" s="11" t="s">
        <v>37</v>
      </c>
    </row>
    <row r="8" spans="1:7">
      <c r="A8" s="65">
        <v>1983</v>
      </c>
      <c r="B8" s="9" t="s">
        <v>37</v>
      </c>
      <c r="C8" s="10" t="s">
        <v>37</v>
      </c>
      <c r="D8" s="10" t="s">
        <v>37</v>
      </c>
      <c r="E8" s="9" t="s">
        <v>37</v>
      </c>
      <c r="F8" s="10" t="s">
        <v>37</v>
      </c>
      <c r="G8" s="11" t="s">
        <v>37</v>
      </c>
    </row>
    <row r="9" spans="1:7">
      <c r="A9" s="65">
        <v>1984</v>
      </c>
      <c r="B9" s="9" t="s">
        <v>37</v>
      </c>
      <c r="C9" s="10" t="s">
        <v>37</v>
      </c>
      <c r="D9" s="10" t="s">
        <v>37</v>
      </c>
      <c r="E9" s="9" t="s">
        <v>37</v>
      </c>
      <c r="F9" s="10" t="s">
        <v>37</v>
      </c>
      <c r="G9" s="11" t="s">
        <v>37</v>
      </c>
    </row>
    <row r="10" spans="1:7">
      <c r="A10" s="65">
        <v>1985</v>
      </c>
      <c r="B10" s="9" t="s">
        <v>37</v>
      </c>
      <c r="C10" s="10" t="s">
        <v>37</v>
      </c>
      <c r="D10" s="10" t="s">
        <v>37</v>
      </c>
      <c r="E10" s="9" t="s">
        <v>37</v>
      </c>
      <c r="F10" s="10" t="s">
        <v>37</v>
      </c>
      <c r="G10" s="11" t="s">
        <v>37</v>
      </c>
    </row>
    <row r="11" spans="1:7">
      <c r="A11" s="65">
        <v>1986</v>
      </c>
      <c r="B11" s="9" t="s">
        <v>37</v>
      </c>
      <c r="C11" s="10" t="s">
        <v>37</v>
      </c>
      <c r="D11" s="10" t="s">
        <v>37</v>
      </c>
      <c r="E11" s="9" t="s">
        <v>37</v>
      </c>
      <c r="F11" s="10" t="s">
        <v>37</v>
      </c>
      <c r="G11" s="11" t="s">
        <v>37</v>
      </c>
    </row>
    <row r="12" spans="1:7">
      <c r="A12" s="65">
        <v>1987</v>
      </c>
      <c r="B12" s="9" t="s">
        <v>37</v>
      </c>
      <c r="C12" s="10" t="s">
        <v>37</v>
      </c>
      <c r="D12" s="10" t="s">
        <v>37</v>
      </c>
      <c r="E12" s="9" t="s">
        <v>37</v>
      </c>
      <c r="F12" s="10" t="s">
        <v>37</v>
      </c>
      <c r="G12" s="11" t="s">
        <v>37</v>
      </c>
    </row>
    <row r="13" spans="1:7">
      <c r="A13" s="65">
        <v>1988</v>
      </c>
      <c r="B13" s="9" t="s">
        <v>37</v>
      </c>
      <c r="C13" s="10" t="s">
        <v>37</v>
      </c>
      <c r="D13" s="10" t="s">
        <v>37</v>
      </c>
      <c r="E13" s="9" t="s">
        <v>37</v>
      </c>
      <c r="F13" s="10" t="s">
        <v>37</v>
      </c>
      <c r="G13" s="11" t="s">
        <v>37</v>
      </c>
    </row>
    <row r="14" spans="1:7">
      <c r="A14" s="65">
        <v>1989</v>
      </c>
      <c r="B14" s="9" t="s">
        <v>37</v>
      </c>
      <c r="C14" s="10" t="s">
        <v>37</v>
      </c>
      <c r="D14" s="10" t="s">
        <v>37</v>
      </c>
      <c r="E14" s="9" t="s">
        <v>37</v>
      </c>
      <c r="F14" s="10" t="s">
        <v>37</v>
      </c>
      <c r="G14" s="11" t="s">
        <v>37</v>
      </c>
    </row>
    <row r="15" spans="1:7">
      <c r="A15" s="65">
        <v>1990</v>
      </c>
      <c r="B15" s="9" t="s">
        <v>37</v>
      </c>
      <c r="C15" s="10" t="s">
        <v>37</v>
      </c>
      <c r="D15" s="10" t="s">
        <v>37</v>
      </c>
      <c r="E15" s="9" t="s">
        <v>37</v>
      </c>
      <c r="F15" s="10" t="s">
        <v>37</v>
      </c>
      <c r="G15" s="11" t="s">
        <v>37</v>
      </c>
    </row>
    <row r="16" spans="1:7">
      <c r="A16" s="65">
        <v>1991</v>
      </c>
      <c r="B16" s="112">
        <v>49.527000000000001</v>
      </c>
      <c r="C16" s="113">
        <v>61.191000000000003</v>
      </c>
      <c r="D16" s="10" t="s">
        <v>37</v>
      </c>
      <c r="E16" s="9" t="s">
        <v>37</v>
      </c>
      <c r="F16" s="10" t="s">
        <v>37</v>
      </c>
      <c r="G16" s="11" t="s">
        <v>37</v>
      </c>
    </row>
    <row r="17" spans="1:7">
      <c r="A17" s="65">
        <v>1992</v>
      </c>
      <c r="B17" s="112">
        <v>47.304000000000002</v>
      </c>
      <c r="C17" s="113">
        <v>59.906999999999996</v>
      </c>
      <c r="D17" s="10" t="s">
        <v>37</v>
      </c>
      <c r="E17" s="9" t="s">
        <v>37</v>
      </c>
      <c r="F17" s="10" t="s">
        <v>37</v>
      </c>
      <c r="G17" s="11" t="s">
        <v>37</v>
      </c>
    </row>
    <row r="18" spans="1:7">
      <c r="A18" s="65">
        <v>1993</v>
      </c>
      <c r="B18" s="112">
        <v>45.183999999999997</v>
      </c>
      <c r="C18" s="113">
        <v>57.189</v>
      </c>
      <c r="D18" s="10" t="s">
        <v>37</v>
      </c>
      <c r="E18" s="9" t="s">
        <v>37</v>
      </c>
      <c r="F18" s="10" t="s">
        <v>37</v>
      </c>
      <c r="G18" s="11" t="s">
        <v>37</v>
      </c>
    </row>
    <row r="19" spans="1:7">
      <c r="A19" s="65">
        <v>1994</v>
      </c>
      <c r="B19" s="112">
        <v>45.460999999999999</v>
      </c>
      <c r="C19" s="113">
        <v>54.906999999999996</v>
      </c>
      <c r="D19" s="10" t="s">
        <v>37</v>
      </c>
      <c r="E19" s="9" t="s">
        <v>37</v>
      </c>
      <c r="F19" s="10" t="s">
        <v>37</v>
      </c>
      <c r="G19" s="11" t="s">
        <v>37</v>
      </c>
    </row>
    <row r="20" spans="1:7">
      <c r="A20" s="65">
        <v>1995</v>
      </c>
      <c r="B20" s="112">
        <v>48.399000000000001</v>
      </c>
      <c r="C20" s="113">
        <v>52.225999999999999</v>
      </c>
      <c r="D20" s="10" t="s">
        <v>37</v>
      </c>
      <c r="E20" s="9" t="s">
        <v>37</v>
      </c>
      <c r="F20" s="10" t="s">
        <v>37</v>
      </c>
      <c r="G20" s="11" t="s">
        <v>37</v>
      </c>
    </row>
    <row r="21" spans="1:7">
      <c r="A21" s="65">
        <v>1996</v>
      </c>
      <c r="B21" s="112">
        <v>49.823</v>
      </c>
      <c r="C21" s="113">
        <v>48.658999999999999</v>
      </c>
      <c r="D21" s="10" t="s">
        <v>37</v>
      </c>
      <c r="E21" s="9" t="s">
        <v>37</v>
      </c>
      <c r="F21" s="10" t="s">
        <v>37</v>
      </c>
      <c r="G21" s="11" t="s">
        <v>37</v>
      </c>
    </row>
    <row r="22" spans="1:7">
      <c r="A22" s="65">
        <v>1997</v>
      </c>
      <c r="B22" s="112">
        <v>55.414000000000001</v>
      </c>
      <c r="C22" s="113">
        <v>46.098999999999997</v>
      </c>
      <c r="D22" s="113">
        <v>11203.1</v>
      </c>
      <c r="E22" s="216">
        <f>B22/$D22*100</f>
        <v>0.49463095036195337</v>
      </c>
      <c r="F22" s="143">
        <f t="shared" ref="F22:F35" si="0">C22/$D22*100</f>
        <v>0.41148432130392476</v>
      </c>
      <c r="G22" s="87">
        <f t="shared" ref="G22:G35" si="1">D22/$D22*100</f>
        <v>100</v>
      </c>
    </row>
    <row r="23" spans="1:7">
      <c r="A23" s="65">
        <v>1998</v>
      </c>
      <c r="B23" s="112">
        <v>60.366999999999997</v>
      </c>
      <c r="C23" s="113">
        <v>46.323</v>
      </c>
      <c r="D23" s="113">
        <v>11521.205</v>
      </c>
      <c r="E23" s="216">
        <f t="shared" ref="E23:E35" si="2">B23/$D23*100</f>
        <v>0.52396429019360391</v>
      </c>
      <c r="F23" s="143">
        <f t="shared" si="0"/>
        <v>0.40206731847927363</v>
      </c>
      <c r="G23" s="87">
        <f t="shared" si="1"/>
        <v>100</v>
      </c>
    </row>
    <row r="24" spans="1:7">
      <c r="A24" s="65">
        <v>1999</v>
      </c>
      <c r="B24" s="112">
        <v>62.4</v>
      </c>
      <c r="C24" s="113">
        <v>45.988999999999997</v>
      </c>
      <c r="D24" s="113">
        <v>11881.91</v>
      </c>
      <c r="E24" s="216">
        <f t="shared" si="2"/>
        <v>0.52516809166203071</v>
      </c>
      <c r="F24" s="143">
        <f t="shared" si="0"/>
        <v>0.38705056678597966</v>
      </c>
      <c r="G24" s="87">
        <f t="shared" si="1"/>
        <v>100</v>
      </c>
    </row>
    <row r="25" spans="1:7">
      <c r="A25" s="65">
        <v>2000</v>
      </c>
      <c r="B25" s="112">
        <v>62.750999999999998</v>
      </c>
      <c r="C25" s="113">
        <v>47.274999999999999</v>
      </c>
      <c r="D25" s="113">
        <v>12184.945</v>
      </c>
      <c r="E25" s="216">
        <f t="shared" si="2"/>
        <v>0.51498796260467328</v>
      </c>
      <c r="F25" s="143">
        <f t="shared" si="0"/>
        <v>0.38797877216515952</v>
      </c>
      <c r="G25" s="87">
        <f t="shared" si="1"/>
        <v>100</v>
      </c>
    </row>
    <row r="26" spans="1:7">
      <c r="A26" s="65">
        <v>2001</v>
      </c>
      <c r="B26" s="112">
        <v>61.98</v>
      </c>
      <c r="C26" s="113">
        <v>46.966000000000001</v>
      </c>
      <c r="D26" s="113">
        <v>12291.565000000001</v>
      </c>
      <c r="E26" s="216">
        <f t="shared" si="2"/>
        <v>0.50424823852780332</v>
      </c>
      <c r="F26" s="143">
        <f t="shared" si="0"/>
        <v>0.38209943160207832</v>
      </c>
      <c r="G26" s="87">
        <f t="shared" si="1"/>
        <v>100</v>
      </c>
    </row>
    <row r="27" spans="1:7">
      <c r="A27" s="65">
        <v>2002</v>
      </c>
      <c r="B27" s="112">
        <v>57.561999999999998</v>
      </c>
      <c r="C27" s="113">
        <v>46.843000000000004</v>
      </c>
      <c r="D27" s="113">
        <v>12580.195</v>
      </c>
      <c r="E27" s="216">
        <f t="shared" si="2"/>
        <v>0.45756047501648422</v>
      </c>
      <c r="F27" s="143">
        <f t="shared" si="0"/>
        <v>0.3723551185017403</v>
      </c>
      <c r="G27" s="87">
        <f t="shared" si="1"/>
        <v>100</v>
      </c>
    </row>
    <row r="28" spans="1:7">
      <c r="A28" s="65">
        <v>2003</v>
      </c>
      <c r="B28" s="112">
        <v>60.491999999999997</v>
      </c>
      <c r="C28" s="113">
        <v>45.52</v>
      </c>
      <c r="D28" s="113">
        <v>12816.42</v>
      </c>
      <c r="E28" s="216">
        <f t="shared" si="2"/>
        <v>0.4719882775377211</v>
      </c>
      <c r="F28" s="143">
        <f t="shared" si="0"/>
        <v>0.35516938427423572</v>
      </c>
      <c r="G28" s="87">
        <f t="shared" si="1"/>
        <v>100</v>
      </c>
    </row>
    <row r="29" spans="1:7">
      <c r="A29" s="65">
        <v>2004</v>
      </c>
      <c r="B29" s="112">
        <v>59.558999999999997</v>
      </c>
      <c r="C29" s="113">
        <v>43.771000000000001</v>
      </c>
      <c r="D29" s="113">
        <v>13046.07</v>
      </c>
      <c r="E29" s="216">
        <f t="shared" si="2"/>
        <v>0.45652828782920835</v>
      </c>
      <c r="F29" s="143">
        <f t="shared" si="0"/>
        <v>0.33551100063084133</v>
      </c>
      <c r="G29" s="87">
        <f t="shared" si="1"/>
        <v>100</v>
      </c>
    </row>
    <row r="30" spans="1:7">
      <c r="A30" s="65">
        <v>2005</v>
      </c>
      <c r="B30" s="112">
        <v>60.545999999999999</v>
      </c>
      <c r="C30" s="113">
        <v>43.308</v>
      </c>
      <c r="D30" s="113">
        <v>13231.805</v>
      </c>
      <c r="E30" s="216">
        <f t="shared" si="2"/>
        <v>0.45757929473718817</v>
      </c>
      <c r="F30" s="143">
        <f t="shared" si="0"/>
        <v>0.32730228415548746</v>
      </c>
      <c r="G30" s="87">
        <f t="shared" si="1"/>
        <v>100</v>
      </c>
    </row>
    <row r="31" spans="1:7">
      <c r="A31" s="65">
        <v>2006</v>
      </c>
      <c r="B31" s="112">
        <v>61.143000000000001</v>
      </c>
      <c r="C31" s="113">
        <v>42.284999999999997</v>
      </c>
      <c r="D31" s="113">
        <v>13431.99</v>
      </c>
      <c r="E31" s="216">
        <f t="shared" si="2"/>
        <v>0.45520432936593908</v>
      </c>
      <c r="F31" s="143">
        <f t="shared" si="0"/>
        <v>0.3148081557535406</v>
      </c>
      <c r="G31" s="87">
        <f t="shared" si="1"/>
        <v>100</v>
      </c>
    </row>
    <row r="32" spans="1:7">
      <c r="A32" s="65">
        <v>2007</v>
      </c>
      <c r="B32" s="112">
        <v>68.436000000000007</v>
      </c>
      <c r="C32" s="113">
        <v>41.454000000000001</v>
      </c>
      <c r="D32" s="113">
        <v>13720.955</v>
      </c>
      <c r="E32" s="216">
        <f t="shared" si="2"/>
        <v>0.49876994713560391</v>
      </c>
      <c r="F32" s="143">
        <f t="shared" si="0"/>
        <v>0.3021218275258537</v>
      </c>
      <c r="G32" s="87">
        <f t="shared" si="1"/>
        <v>100</v>
      </c>
    </row>
    <row r="33" spans="1:13">
      <c r="A33" s="65">
        <v>2008</v>
      </c>
      <c r="B33" s="112">
        <v>65.959000000000003</v>
      </c>
      <c r="C33" s="113">
        <v>41.738999999999997</v>
      </c>
      <c r="D33" s="113">
        <v>13870.584999999999</v>
      </c>
      <c r="E33" s="216">
        <f t="shared" si="2"/>
        <v>0.47553149344458079</v>
      </c>
      <c r="F33" s="143">
        <f t="shared" si="0"/>
        <v>0.30091737298751275</v>
      </c>
      <c r="G33" s="87">
        <f t="shared" si="1"/>
        <v>100</v>
      </c>
    </row>
    <row r="34" spans="1:13">
      <c r="A34" s="20">
        <f>A33+1</f>
        <v>2009</v>
      </c>
      <c r="B34" s="112">
        <v>68.033000000000001</v>
      </c>
      <c r="C34" s="113">
        <v>36.923000000000002</v>
      </c>
      <c r="D34" s="113">
        <v>13494.645</v>
      </c>
      <c r="E34" s="216">
        <f t="shared" si="2"/>
        <v>0.50414812690515387</v>
      </c>
      <c r="F34" s="143">
        <f t="shared" si="0"/>
        <v>0.27361223655753819</v>
      </c>
      <c r="G34" s="87">
        <f t="shared" si="1"/>
        <v>100</v>
      </c>
    </row>
    <row r="35" spans="1:13">
      <c r="A35" s="21">
        <f t="shared" ref="A35" si="3">A34+1</f>
        <v>2010</v>
      </c>
      <c r="B35" s="114">
        <v>66.793000000000006</v>
      </c>
      <c r="C35" s="115">
        <v>34.844000000000001</v>
      </c>
      <c r="D35" s="115">
        <v>13746.91</v>
      </c>
      <c r="E35" s="234">
        <f t="shared" si="2"/>
        <v>0.48587646241955468</v>
      </c>
      <c r="F35" s="215">
        <f t="shared" si="0"/>
        <v>0.25346787023411077</v>
      </c>
      <c r="G35" s="90">
        <f t="shared" si="1"/>
        <v>100</v>
      </c>
    </row>
    <row r="36" spans="1:13">
      <c r="A36" s="233"/>
      <c r="B36" s="113"/>
      <c r="C36" s="113"/>
      <c r="D36" s="113"/>
    </row>
    <row r="37" spans="1:13">
      <c r="A37" s="384" t="s">
        <v>52</v>
      </c>
      <c r="B37" s="382"/>
      <c r="C37" s="382"/>
      <c r="D37" s="383"/>
      <c r="E37" s="381" t="s">
        <v>77</v>
      </c>
      <c r="F37" s="382"/>
      <c r="G37" s="383"/>
      <c r="H37" s="144"/>
      <c r="I37" s="144"/>
      <c r="J37" s="144"/>
      <c r="K37" s="144"/>
      <c r="L37" s="144"/>
      <c r="M37" s="144"/>
    </row>
    <row r="38" spans="1:13">
      <c r="A38" s="231" t="s">
        <v>53</v>
      </c>
      <c r="B38" s="82" t="s">
        <v>37</v>
      </c>
      <c r="C38" s="83" t="s">
        <v>37</v>
      </c>
      <c r="D38" s="83" t="s">
        <v>37</v>
      </c>
      <c r="E38" s="82" t="s">
        <v>37</v>
      </c>
      <c r="F38" s="83" t="s">
        <v>37</v>
      </c>
      <c r="G38" s="84"/>
    </row>
    <row r="39" spans="1:13">
      <c r="A39" s="232" t="s">
        <v>71</v>
      </c>
      <c r="B39" s="85" t="s">
        <v>37</v>
      </c>
      <c r="C39" s="86" t="s">
        <v>37</v>
      </c>
      <c r="D39" s="86" t="s">
        <v>37</v>
      </c>
      <c r="E39" s="85" t="s">
        <v>37</v>
      </c>
      <c r="F39" s="86" t="s">
        <v>37</v>
      </c>
      <c r="G39" s="87"/>
    </row>
    <row r="40" spans="1:13">
      <c r="A40" s="232" t="s">
        <v>69</v>
      </c>
      <c r="B40" s="85">
        <f>(POWER(B35/B25,1/($A$35-$A$25))-1)*100</f>
        <v>0.62619012896247828</v>
      </c>
      <c r="C40" s="86">
        <f>(POWER(C35/C25,1/($A$35-$A$25))-1)*100</f>
        <v>-3.0049331368389387</v>
      </c>
      <c r="D40" s="86">
        <f t="shared" ref="D40" si="4">(POWER(D35/D25,1/($A$35-$A$25))-1)*100</f>
        <v>1.2134320501933971</v>
      </c>
      <c r="E40" s="216">
        <f>E35-E25</f>
        <v>-2.9111500185118599E-2</v>
      </c>
      <c r="F40" s="143">
        <f t="shared" ref="F40" si="5">F35-F25</f>
        <v>-0.13451090193104875</v>
      </c>
      <c r="G40" s="217"/>
    </row>
    <row r="41" spans="1:13">
      <c r="A41" s="246" t="s">
        <v>70</v>
      </c>
      <c r="B41" s="88" t="s">
        <v>37</v>
      </c>
      <c r="C41" s="89" t="s">
        <v>37</v>
      </c>
      <c r="D41" s="89" t="s">
        <v>37</v>
      </c>
      <c r="E41" s="88" t="s">
        <v>37</v>
      </c>
      <c r="F41" s="89" t="s">
        <v>37</v>
      </c>
      <c r="G41" s="90"/>
    </row>
    <row r="43" spans="1:13">
      <c r="A43" s="18" t="s">
        <v>95</v>
      </c>
    </row>
  </sheetData>
  <mergeCells count="4">
    <mergeCell ref="A37:D37"/>
    <mergeCell ref="A1:G2"/>
    <mergeCell ref="E4:G4"/>
    <mergeCell ref="E37:G37"/>
  </mergeCells>
  <pageMargins left="0.7" right="0.7" top="0.75" bottom="0.75" header="0.3" footer="0.3"/>
  <pageSetup scale="93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88"/>
  <dimension ref="A1:M42"/>
  <sheetViews>
    <sheetView topLeftCell="A31" zoomScaleNormal="100" workbookViewId="0">
      <selection activeCell="B15" sqref="B15"/>
    </sheetView>
  </sheetViews>
  <sheetFormatPr defaultRowHeight="15"/>
  <cols>
    <col min="1" max="1" width="13.140625" customWidth="1"/>
    <col min="2" max="2" width="12.7109375" bestFit="1" customWidth="1"/>
    <col min="3" max="3" width="10.42578125" bestFit="1" customWidth="1"/>
    <col min="4" max="4" width="21.85546875" bestFit="1" customWidth="1"/>
    <col min="5" max="5" width="14.42578125" customWidth="1"/>
    <col min="6" max="6" width="12.7109375" bestFit="1" customWidth="1"/>
    <col min="7" max="7" width="10.42578125" bestFit="1" customWidth="1"/>
    <col min="8" max="8" width="21.85546875" bestFit="1" customWidth="1"/>
    <col min="9" max="9" width="12.5703125" bestFit="1" customWidth="1"/>
    <col min="10" max="10" width="13.28515625" bestFit="1" customWidth="1"/>
    <col min="11" max="11" width="10.85546875" bestFit="1" customWidth="1"/>
    <col min="12" max="12" width="22.28515625" bestFit="1" customWidth="1"/>
    <col min="13" max="13" width="15" customWidth="1"/>
  </cols>
  <sheetData>
    <row r="1" spans="1:13">
      <c r="A1" s="2" t="s">
        <v>117</v>
      </c>
    </row>
    <row r="3" spans="1:13">
      <c r="A3" s="18"/>
      <c r="B3" s="377" t="s">
        <v>3</v>
      </c>
      <c r="C3" s="375"/>
      <c r="D3" s="375"/>
      <c r="E3" s="376"/>
      <c r="F3" s="377" t="s">
        <v>4</v>
      </c>
      <c r="G3" s="375"/>
      <c r="H3" s="375"/>
      <c r="I3" s="376"/>
      <c r="J3" s="377" t="s">
        <v>42</v>
      </c>
      <c r="K3" s="375"/>
      <c r="L3" s="375"/>
      <c r="M3" s="376"/>
    </row>
    <row r="4" spans="1:13" ht="30">
      <c r="A4" s="18"/>
      <c r="B4" s="258" t="s">
        <v>0</v>
      </c>
      <c r="C4" s="259" t="s">
        <v>1</v>
      </c>
      <c r="D4" s="259" t="s">
        <v>2</v>
      </c>
      <c r="E4" s="257" t="s">
        <v>72</v>
      </c>
      <c r="F4" s="258" t="s">
        <v>0</v>
      </c>
      <c r="G4" s="259" t="s">
        <v>1</v>
      </c>
      <c r="H4" s="259" t="s">
        <v>2</v>
      </c>
      <c r="I4" s="257" t="s">
        <v>72</v>
      </c>
      <c r="J4" s="258" t="s">
        <v>39</v>
      </c>
      <c r="K4" s="259" t="s">
        <v>41</v>
      </c>
      <c r="L4" s="259" t="s">
        <v>40</v>
      </c>
      <c r="M4" s="257" t="s">
        <v>72</v>
      </c>
    </row>
    <row r="5" spans="1:13">
      <c r="A5" s="15">
        <v>1981</v>
      </c>
      <c r="B5" s="35">
        <f>IFERROR('7a'!B6/'8a'!B6*100, "na")</f>
        <v>4364.4731919339292</v>
      </c>
      <c r="C5" s="30">
        <f>IFERROR('7a'!C6/'8a'!C6*100, "na")</f>
        <v>95.233024944209859</v>
      </c>
      <c r="D5" s="30">
        <f>IFERROR('7a'!D6/'8a'!D6*100, "na")</f>
        <v>123.13125326625145</v>
      </c>
      <c r="E5" s="36">
        <f>IFERROR('7a'!E6/'8a'!E6*100, "na")</f>
        <v>143.73788021064522</v>
      </c>
      <c r="F5" s="35">
        <f>IFERROR('7a'!F6/'8a'!F6*100, "na")</f>
        <v>7283.6541063111836</v>
      </c>
      <c r="G5" s="30">
        <f>IFERROR('7a'!G6/'8a'!G6*100, "na")</f>
        <v>100.0394541552678</v>
      </c>
      <c r="H5" s="30">
        <f>IFERROR('7a'!H6/'8a'!H6*100, "na")</f>
        <v>123.20763622623178</v>
      </c>
      <c r="I5" s="36">
        <f>IFERROR('7a'!I6/'8a'!I6*100, "na")</f>
        <v>129.29226068607795</v>
      </c>
      <c r="J5" s="278">
        <f>IFERROR('7a'!J6/'8a'!J6*100, "na")</f>
        <v>12780.033003300332</v>
      </c>
      <c r="K5" s="279">
        <f>IFERROR('7a'!K6/'8a'!K6*100, "na")</f>
        <v>1868.1858802502238</v>
      </c>
      <c r="L5" s="279">
        <f>IFERROR('7a'!L6/'8a'!L6*100, "na")</f>
        <v>471.2759738534304</v>
      </c>
      <c r="M5" s="122">
        <f>IFERROR('7a'!M6/'8a'!M6*100, "na")</f>
        <v>631.73848930339909</v>
      </c>
    </row>
    <row r="6" spans="1:13">
      <c r="A6" s="16">
        <v>1982</v>
      </c>
      <c r="B6" s="37">
        <f>IFERROR('7a'!B7/'8a'!B7*100, "na")</f>
        <v>3944.7515643720408</v>
      </c>
      <c r="C6" s="34">
        <f>IFERROR('7a'!C7/'8a'!C7*100, "na")</f>
        <v>96.030180141826222</v>
      </c>
      <c r="D6" s="34">
        <f>IFERROR('7a'!D7/'8a'!D7*100, "na")</f>
        <v>128.11401901236093</v>
      </c>
      <c r="E6" s="38">
        <f>IFERROR('7a'!E7/'8a'!E7*100, "na")</f>
        <v>142.8397643537669</v>
      </c>
      <c r="F6" s="37">
        <f>IFERROR('7a'!F7/'8a'!F7*100, "na")</f>
        <v>6432.988103445</v>
      </c>
      <c r="G6" s="34">
        <f>IFERROR('7a'!G7/'8a'!G7*100, "na")</f>
        <v>87.287924583033131</v>
      </c>
      <c r="H6" s="34">
        <f>IFERROR('7a'!H7/'8a'!H7*100, "na")</f>
        <v>128.12894315277239</v>
      </c>
      <c r="I6" s="38">
        <f>IFERROR('7a'!I7/'8a'!I7*100, "na")</f>
        <v>132.32686636955788</v>
      </c>
      <c r="J6" s="280">
        <f>IFERROR('7a'!J7/'8a'!J7*100, "na")</f>
        <v>9537.8078817733985</v>
      </c>
      <c r="K6" s="281">
        <f>IFERROR('7a'!K7/'8a'!K7*100, "na")</f>
        <v>1624.6357101224014</v>
      </c>
      <c r="L6" s="281">
        <f>IFERROR('7a'!L7/'8a'!L7*100, "na")</f>
        <v>434.25885118260624</v>
      </c>
      <c r="M6" s="125">
        <f>IFERROR('7a'!M7/'8a'!M7*100, "na")</f>
        <v>584.67003077709614</v>
      </c>
    </row>
    <row r="7" spans="1:13">
      <c r="A7" s="16">
        <v>1983</v>
      </c>
      <c r="B7" s="37">
        <f>IFERROR('7a'!B8/'8a'!B8*100, "na")</f>
        <v>2840.8145133235653</v>
      </c>
      <c r="C7" s="34">
        <f>IFERROR('7a'!C8/'8a'!C8*100, "na")</f>
        <v>95.456828166109986</v>
      </c>
      <c r="D7" s="34">
        <f>IFERROR('7a'!D8/'8a'!D8*100, "na")</f>
        <v>131.33701109095134</v>
      </c>
      <c r="E7" s="38">
        <f>IFERROR('7a'!E8/'8a'!E8*100, "na")</f>
        <v>139.0986526366604</v>
      </c>
      <c r="F7" s="37">
        <f>IFERROR('7a'!F8/'8a'!F8*100, "na")</f>
        <v>5286.0482855161881</v>
      </c>
      <c r="G7" s="34">
        <f>IFERROR('7a'!G8/'8a'!G8*100, "na")</f>
        <v>100.02329478394456</v>
      </c>
      <c r="H7" s="34">
        <f>IFERROR('7a'!H8/'8a'!H8*100, "na")</f>
        <v>131.4084986713917</v>
      </c>
      <c r="I7" s="38">
        <f>IFERROR('7a'!I8/'8a'!I8*100, "na")</f>
        <v>133.93645093479546</v>
      </c>
      <c r="J7" s="280">
        <f>IFERROR('7a'!J8/'8a'!J8*100, "na")</f>
        <v>6841.6077738515905</v>
      </c>
      <c r="K7" s="281">
        <f>IFERROR('7a'!K8/'8a'!K8*100, "na")</f>
        <v>1405.6143889729369</v>
      </c>
      <c r="L7" s="281">
        <f>IFERROR('7a'!L8/'8a'!L8*100, "na")</f>
        <v>406.2113508313866</v>
      </c>
      <c r="M7" s="125">
        <f>IFERROR('7a'!M8/'8a'!M8*100, "na")</f>
        <v>546.9638595072978</v>
      </c>
    </row>
    <row r="8" spans="1:13">
      <c r="A8" s="16">
        <v>1984</v>
      </c>
      <c r="B8" s="37">
        <f>IFERROR('7a'!B9/'8a'!B9*100, "na")</f>
        <v>2170.0401619113422</v>
      </c>
      <c r="C8" s="34">
        <f>IFERROR('7a'!C9/'8a'!C9*100, "na")</f>
        <v>97.636528329538834</v>
      </c>
      <c r="D8" s="34">
        <f>IFERROR('7a'!D9/'8a'!D9*100, "na")</f>
        <v>135.45933808098124</v>
      </c>
      <c r="E8" s="38">
        <f>IFERROR('7a'!E9/'8a'!E9*100, "na")</f>
        <v>141.30916877278628</v>
      </c>
      <c r="F8" s="37">
        <f>IFERROR('7a'!F9/'8a'!F9*100, "na")</f>
        <v>3584.5699972325938</v>
      </c>
      <c r="G8" s="34">
        <f>IFERROR('7a'!G9/'8a'!G9*100, "na")</f>
        <v>101.01443830089771</v>
      </c>
      <c r="H8" s="34">
        <f>IFERROR('7a'!H9/'8a'!H9*100, "na")</f>
        <v>135.46150504267973</v>
      </c>
      <c r="I8" s="38">
        <f>IFERROR('7a'!I9/'8a'!I9*100, "na")</f>
        <v>136.75062307625342</v>
      </c>
      <c r="J8" s="280">
        <f>IFERROR('7a'!J9/'8a'!J9*100, "na")</f>
        <v>4596.2611275964382</v>
      </c>
      <c r="K8" s="281">
        <f>IFERROR('7a'!K9/'8a'!K9*100, "na")</f>
        <v>1178.9087833074864</v>
      </c>
      <c r="L8" s="281">
        <f>IFERROR('7a'!L9/'8a'!L9*100, "na")</f>
        <v>377.08891440234731</v>
      </c>
      <c r="M8" s="125">
        <f>IFERROR('7a'!M9/'8a'!M9*100, "na")</f>
        <v>515.11458127565118</v>
      </c>
    </row>
    <row r="9" spans="1:13">
      <c r="A9" s="16">
        <v>1985</v>
      </c>
      <c r="B9" s="37">
        <f>IFERROR('7a'!B10/'8a'!B10*100, "na")</f>
        <v>1944.1080512799172</v>
      </c>
      <c r="C9" s="34">
        <f>IFERROR('7a'!C10/'8a'!C10*100, "na")</f>
        <v>99.353191951442142</v>
      </c>
      <c r="D9" s="34">
        <f>IFERROR('7a'!D10/'8a'!D10*100, "na")</f>
        <v>136.54373567383115</v>
      </c>
      <c r="E9" s="38">
        <f>IFERROR('7a'!E10/'8a'!E10*100, "na")</f>
        <v>143.01360150748721</v>
      </c>
      <c r="F9" s="37">
        <f>IFERROR('7a'!F10/'8a'!F10*100, "na")</f>
        <v>3110.5318393657622</v>
      </c>
      <c r="G9" s="34">
        <f>IFERROR('7a'!G10/'8a'!G10*100, "na")</f>
        <v>101.34949856991153</v>
      </c>
      <c r="H9" s="34">
        <f>IFERROR('7a'!H10/'8a'!H10*100, "na")</f>
        <v>136.56162573054186</v>
      </c>
      <c r="I9" s="38">
        <f>IFERROR('7a'!I10/'8a'!I10*100, "na")</f>
        <v>137.50916129938503</v>
      </c>
      <c r="J9" s="280">
        <f>IFERROR('7a'!J10/'8a'!J10*100, "na")</f>
        <v>3379.0139616055853</v>
      </c>
      <c r="K9" s="281">
        <f>IFERROR('7a'!K10/'8a'!K10*100, "na")</f>
        <v>999.16357987812171</v>
      </c>
      <c r="L9" s="281">
        <f>IFERROR('7a'!L10/'8a'!L10*100, "na")</f>
        <v>350.66629759974694</v>
      </c>
      <c r="M9" s="125">
        <f>IFERROR('7a'!M10/'8a'!M10*100, "na")</f>
        <v>483.11830937220969</v>
      </c>
    </row>
    <row r="10" spans="1:13">
      <c r="A10" s="16">
        <v>1986</v>
      </c>
      <c r="B10" s="37">
        <f>IFERROR('7a'!B11/'8a'!B11*100, "na")</f>
        <v>1591.4406355739484</v>
      </c>
      <c r="C10" s="34">
        <f>IFERROR('7a'!C11/'8a'!C11*100, "na")</f>
        <v>99.796693629943334</v>
      </c>
      <c r="D10" s="34">
        <f>IFERROR('7a'!D11/'8a'!D11*100, "na")</f>
        <v>137.64817416498016</v>
      </c>
      <c r="E10" s="38">
        <f>IFERROR('7a'!E11/'8a'!E11*100, "na")</f>
        <v>143.91054800496332</v>
      </c>
      <c r="F10" s="37">
        <f>IFERROR('7a'!F11/'8a'!F11*100, "na")</f>
        <v>2643.2690229796713</v>
      </c>
      <c r="G10" s="34">
        <f>IFERROR('7a'!G11/'8a'!G11*100, "na")</f>
        <v>118.3182464733229</v>
      </c>
      <c r="H10" s="34">
        <f>IFERROR('7a'!H11/'8a'!H11*100, "na")</f>
        <v>137.70998096054888</v>
      </c>
      <c r="I10" s="38">
        <f>IFERROR('7a'!I11/'8a'!I11*100, "na")</f>
        <v>138.4838145689248</v>
      </c>
      <c r="J10" s="280">
        <f>IFERROR('7a'!J11/'8a'!J11*100, "na")</f>
        <v>2704.1550279329604</v>
      </c>
      <c r="K10" s="281">
        <f>IFERROR('7a'!K11/'8a'!K11*100, "na")</f>
        <v>872.67793780004172</v>
      </c>
      <c r="L10" s="281">
        <f>IFERROR('7a'!L11/'8a'!L11*100, "na")</f>
        <v>327.34118341884766</v>
      </c>
      <c r="M10" s="125">
        <f>IFERROR('7a'!M11/'8a'!M11*100, "na")</f>
        <v>447.21802213438292</v>
      </c>
    </row>
    <row r="11" spans="1:13">
      <c r="A11" s="16">
        <v>1987</v>
      </c>
      <c r="B11" s="37">
        <f>IFERROR('7a'!B12/'8a'!B12*100, "na")</f>
        <v>1129.0137049821126</v>
      </c>
      <c r="C11" s="34">
        <f>IFERROR('7a'!C12/'8a'!C12*100, "na")</f>
        <v>100.26363075845026</v>
      </c>
      <c r="D11" s="34">
        <f>IFERROR('7a'!D12/'8a'!D12*100, "na")</f>
        <v>139.1312576629239</v>
      </c>
      <c r="E11" s="38">
        <f>IFERROR('7a'!E12/'8a'!E12*100, "na")</f>
        <v>144.91050256301523</v>
      </c>
      <c r="F11" s="37">
        <f>IFERROR('7a'!F12/'8a'!F12*100, "na")</f>
        <v>1576.6001624331252</v>
      </c>
      <c r="G11" s="34">
        <f>IFERROR('7a'!G12/'8a'!G12*100, "na")</f>
        <v>124.76419465370212</v>
      </c>
      <c r="H11" s="34">
        <f>IFERROR('7a'!H12/'8a'!H12*100, "na")</f>
        <v>139.20601582196491</v>
      </c>
      <c r="I11" s="38">
        <f>IFERROR('7a'!I12/'8a'!I12*100, "na")</f>
        <v>139.89304416398997</v>
      </c>
      <c r="J11" s="280">
        <f>IFERROR('7a'!J12/'8a'!J12*100, "na")</f>
        <v>2209.6148359486456</v>
      </c>
      <c r="K11" s="281">
        <f>IFERROR('7a'!K12/'8a'!K12*100, "na")</f>
        <v>766.59332599926665</v>
      </c>
      <c r="L11" s="281">
        <f>IFERROR('7a'!L12/'8a'!L12*100, "na")</f>
        <v>309.20502092050214</v>
      </c>
      <c r="M11" s="125">
        <f>IFERROR('7a'!M12/'8a'!M12*100, "na")</f>
        <v>422.63715334791635</v>
      </c>
    </row>
    <row r="12" spans="1:13">
      <c r="A12" s="16">
        <v>1988</v>
      </c>
      <c r="B12" s="37">
        <f>IFERROR('7a'!B13/'8a'!B13*100, "na")</f>
        <v>867.99176670688212</v>
      </c>
      <c r="C12" s="34">
        <f>IFERROR('7a'!C13/'8a'!C13*100, "na")</f>
        <v>100.41581370596731</v>
      </c>
      <c r="D12" s="34">
        <f>IFERROR('7a'!D13/'8a'!D13*100, "na")</f>
        <v>137.70307716056735</v>
      </c>
      <c r="E12" s="38">
        <f>IFERROR('7a'!E13/'8a'!E13*100, "na")</f>
        <v>143.07935970643069</v>
      </c>
      <c r="F12" s="37">
        <f>IFERROR('7a'!F13/'8a'!F13*100, "na")</f>
        <v>1088.579260433361</v>
      </c>
      <c r="G12" s="34">
        <f>IFERROR('7a'!G13/'8a'!G13*100, "na")</f>
        <v>109.1002172687617</v>
      </c>
      <c r="H12" s="34">
        <f>IFERROR('7a'!H13/'8a'!H13*100, "na")</f>
        <v>137.67950868008111</v>
      </c>
      <c r="I12" s="38">
        <f>IFERROR('7a'!I13/'8a'!I13*100, "na")</f>
        <v>138.96667404148189</v>
      </c>
      <c r="J12" s="280">
        <f>IFERROR('7a'!J13/'8a'!J13*100, "na")</f>
        <v>1904.7466797835714</v>
      </c>
      <c r="K12" s="281">
        <f>IFERROR('7a'!K13/'8a'!K13*100, "na")</f>
        <v>663.86154334709443</v>
      </c>
      <c r="L12" s="281">
        <f>IFERROR('7a'!L13/'8a'!L13*100, "na")</f>
        <v>289.66193042626162</v>
      </c>
      <c r="M12" s="125">
        <f>IFERROR('7a'!M13/'8a'!M13*100, "na")</f>
        <v>395.57389170568399</v>
      </c>
    </row>
    <row r="13" spans="1:13">
      <c r="A13" s="16">
        <v>1989</v>
      </c>
      <c r="B13" s="37">
        <f>IFERROR('7a'!B14/'8a'!B14*100, "na")</f>
        <v>724.33551590760578</v>
      </c>
      <c r="C13" s="34">
        <f>IFERROR('7a'!C14/'8a'!C14*100, "na")</f>
        <v>98.854828556599458</v>
      </c>
      <c r="D13" s="34">
        <f>IFERROR('7a'!D14/'8a'!D14*100, "na")</f>
        <v>138.33351150736974</v>
      </c>
      <c r="E13" s="38">
        <f>IFERROR('7a'!E14/'8a'!E14*100, "na")</f>
        <v>142.30293341622999</v>
      </c>
      <c r="F13" s="37">
        <f>IFERROR('7a'!F14/'8a'!F14*100, "na")</f>
        <v>920.14698615606142</v>
      </c>
      <c r="G13" s="34">
        <f>IFERROR('7a'!G14/'8a'!G14*100, "na")</f>
        <v>102.46314094542126</v>
      </c>
      <c r="H13" s="34">
        <f>IFERROR('7a'!H14/'8a'!H14*100, "na")</f>
        <v>138.34063092255832</v>
      </c>
      <c r="I13" s="38">
        <f>IFERROR('7a'!I14/'8a'!I14*100, "na")</f>
        <v>140.37382362509149</v>
      </c>
      <c r="J13" s="280">
        <f>IFERROR('7a'!J14/'8a'!J14*100, "na")</f>
        <v>1640.1313002964844</v>
      </c>
      <c r="K13" s="281">
        <f>IFERROR('7a'!K14/'8a'!K14*100, "na")</f>
        <v>553.15208043924054</v>
      </c>
      <c r="L13" s="281">
        <f>IFERROR('7a'!L14/'8a'!L14*100, "na")</f>
        <v>274.37269886451531</v>
      </c>
      <c r="M13" s="125">
        <f>IFERROR('7a'!M14/'8a'!M14*100, "na")</f>
        <v>371.48518793525307</v>
      </c>
    </row>
    <row r="14" spans="1:13">
      <c r="A14" s="16">
        <v>1990</v>
      </c>
      <c r="B14" s="37">
        <f>IFERROR('7a'!B15/'8a'!B15*100, "na")</f>
        <v>621.23529898963943</v>
      </c>
      <c r="C14" s="34">
        <f>IFERROR('7a'!C15/'8a'!C15*100, "na")</f>
        <v>101.82790053942952</v>
      </c>
      <c r="D14" s="34">
        <f>IFERROR('7a'!D15/'8a'!D15*100, "na")</f>
        <v>137.83386122438787</v>
      </c>
      <c r="E14" s="38">
        <f>IFERROR('7a'!E15/'8a'!E15*100, "na")</f>
        <v>140.64218210856708</v>
      </c>
      <c r="F14" s="37">
        <f>IFERROR('7a'!F15/'8a'!F15*100, "na")</f>
        <v>812.34146704639545</v>
      </c>
      <c r="G14" s="34">
        <f>IFERROR('7a'!G15/'8a'!G15*100, "na")</f>
        <v>106.88232999459575</v>
      </c>
      <c r="H14" s="34">
        <f>IFERROR('7a'!H15/'8a'!H15*100, "na")</f>
        <v>137.82992504313816</v>
      </c>
      <c r="I14" s="38">
        <f>IFERROR('7a'!I15/'8a'!I15*100, "na")</f>
        <v>140.66260458053702</v>
      </c>
      <c r="J14" s="280">
        <f>IFERROR('7a'!J15/'8a'!J15*100, "na")</f>
        <v>1521.5520628683696</v>
      </c>
      <c r="K14" s="281">
        <f>IFERROR('7a'!K15/'8a'!K15*100, "na")</f>
        <v>470.72731366809279</v>
      </c>
      <c r="L14" s="281">
        <f>IFERROR('7a'!L15/'8a'!L15*100, "na")</f>
        <v>260.64720924080763</v>
      </c>
      <c r="M14" s="125">
        <f>IFERROR('7a'!M15/'8a'!M15*100, "na")</f>
        <v>346.507921600587</v>
      </c>
    </row>
    <row r="15" spans="1:13">
      <c r="A15" s="16">
        <v>1991</v>
      </c>
      <c r="B15" s="37">
        <f>IFERROR('7a'!B16/'8a'!B16*100, "na")</f>
        <v>528.86841256042021</v>
      </c>
      <c r="C15" s="34">
        <f>IFERROR('7a'!C16/'8a'!C16*100, "na")</f>
        <v>99.149935221549541</v>
      </c>
      <c r="D15" s="34">
        <f>IFERROR('7a'!D16/'8a'!D16*100, "na")</f>
        <v>137.69512962825095</v>
      </c>
      <c r="E15" s="38">
        <f>IFERROR('7a'!E16/'8a'!E16*100, "na")</f>
        <v>138.25260881661941</v>
      </c>
      <c r="F15" s="37">
        <f>IFERROR('7a'!F16/'8a'!F16*100, "na")</f>
        <v>712.29491825568289</v>
      </c>
      <c r="G15" s="34">
        <f>IFERROR('7a'!G16/'8a'!G16*100, "na")</f>
        <v>102.53564628953539</v>
      </c>
      <c r="H15" s="34">
        <f>IFERROR('7a'!H16/'8a'!H16*100, "na")</f>
        <v>137.6805764586673</v>
      </c>
      <c r="I15" s="38">
        <f>IFERROR('7a'!I16/'8a'!I16*100, "na")</f>
        <v>140.35766891300517</v>
      </c>
      <c r="J15" s="280">
        <f>IFERROR('7a'!J16/'8a'!J16*100, "na")</f>
        <v>1424.7056659308319</v>
      </c>
      <c r="K15" s="281">
        <f>IFERROR('7a'!K16/'8a'!K16*100, "na")</f>
        <v>410.505645557192</v>
      </c>
      <c r="L15" s="281">
        <f>IFERROR('7a'!L16/'8a'!L16*100, "na")</f>
        <v>250.94798800158472</v>
      </c>
      <c r="M15" s="125">
        <f>IFERROR('7a'!M16/'8a'!M16*100, "na")</f>
        <v>325.24193702026338</v>
      </c>
    </row>
    <row r="16" spans="1:13">
      <c r="A16" s="16">
        <v>1992</v>
      </c>
      <c r="B16" s="37">
        <f>IFERROR('7a'!B17/'8a'!B17*100, "na")</f>
        <v>439.94086396920625</v>
      </c>
      <c r="C16" s="34">
        <f>IFERROR('7a'!C17/'8a'!C17*100, "na")</f>
        <v>96.811766492532499</v>
      </c>
      <c r="D16" s="34">
        <f>IFERROR('7a'!D17/'8a'!D17*100, "na")</f>
        <v>136.42282561659439</v>
      </c>
      <c r="E16" s="34">
        <f>IFERROR('7a'!E17/'8a'!E17*100, "na")</f>
        <v>135.79562741783928</v>
      </c>
      <c r="F16" s="37">
        <f>IFERROR('7a'!F17/'8a'!F17*100, "na")</f>
        <v>617.26755922848599</v>
      </c>
      <c r="G16" s="34">
        <f>IFERROR('7a'!G17/'8a'!G17*100, "na")</f>
        <v>100.78134992346929</v>
      </c>
      <c r="H16" s="34">
        <f>IFERROR('7a'!H17/'8a'!H17*100, "na")</f>
        <v>136.41446313738129</v>
      </c>
      <c r="I16" s="34">
        <f>IFERROR('7a'!I17/'8a'!I17*100, "na")</f>
        <v>139.62214512620159</v>
      </c>
      <c r="J16" s="280">
        <f>IFERROR('7a'!J17/'8a'!J17*100, "na")</f>
        <v>1232.2513922036596</v>
      </c>
      <c r="K16" s="281">
        <f>IFERROR('7a'!K17/'8a'!K17*100, "na")</f>
        <v>357.01477243617114</v>
      </c>
      <c r="L16" s="281">
        <f>IFERROR('7a'!L17/'8a'!L17*100, "na")</f>
        <v>240.67741410193784</v>
      </c>
      <c r="M16" s="125">
        <f>IFERROR('7a'!M17/'8a'!M17*100, "na")</f>
        <v>304.45988177710825</v>
      </c>
    </row>
    <row r="17" spans="1:13">
      <c r="A17" s="16">
        <v>1993</v>
      </c>
      <c r="B17" s="37">
        <f>IFERROR('7a'!B18/'8a'!B18*100, "na")</f>
        <v>360.57410074661766</v>
      </c>
      <c r="C17" s="34">
        <f>IFERROR('7a'!C18/'8a'!C18*100, "na")</f>
        <v>97.059950318916947</v>
      </c>
      <c r="D17" s="34">
        <f>IFERROR('7a'!D18/'8a'!D18*100, "na")</f>
        <v>135.36176895780329</v>
      </c>
      <c r="E17" s="34">
        <f>IFERROR('7a'!E18/'8a'!E18*100, "na")</f>
        <v>134.21189648791676</v>
      </c>
      <c r="F17" s="37">
        <f>IFERROR('7a'!F18/'8a'!F18*100, "na")</f>
        <v>524.05893622532744</v>
      </c>
      <c r="G17" s="34">
        <f>IFERROR('7a'!G18/'8a'!G18*100, "na")</f>
        <v>102.16567619762493</v>
      </c>
      <c r="H17" s="34">
        <f>IFERROR('7a'!H18/'8a'!H18*100, "na")</f>
        <v>135.36263192013436</v>
      </c>
      <c r="I17" s="34">
        <f>IFERROR('7a'!I18/'8a'!I18*100, "na")</f>
        <v>139.4506428836809</v>
      </c>
      <c r="J17" s="280">
        <f>IFERROR('7a'!J18/'8a'!J18*100, "na")</f>
        <v>1023.7541308658296</v>
      </c>
      <c r="K17" s="281">
        <f>IFERROR('7a'!K18/'8a'!K18*100, "na")</f>
        <v>316.73042687776973</v>
      </c>
      <c r="L17" s="281">
        <f>IFERROR('7a'!L18/'8a'!L18*100, "na")</f>
        <v>230.12248287315757</v>
      </c>
      <c r="M17" s="125">
        <f>IFERROR('7a'!M18/'8a'!M18*100, "na")</f>
        <v>285.55531260340649</v>
      </c>
    </row>
    <row r="18" spans="1:13">
      <c r="A18" s="16">
        <v>1994</v>
      </c>
      <c r="B18" s="37">
        <f>IFERROR('7a'!B19/'8a'!B19*100, "na")</f>
        <v>345.48889917329655</v>
      </c>
      <c r="C18" s="34">
        <f>IFERROR('7a'!C19/'8a'!C19*100, "na")</f>
        <v>96.576913209374197</v>
      </c>
      <c r="D18" s="34">
        <f>IFERROR('7a'!D19/'8a'!D19*100, "na")</f>
        <v>131.34573881811335</v>
      </c>
      <c r="E18" s="38">
        <f>IFERROR('7a'!E19/'8a'!E19*100, "na")</f>
        <v>130.29098423844263</v>
      </c>
      <c r="F18" s="37">
        <f>IFERROR('7a'!F19/'8a'!F19*100, "na")</f>
        <v>524.69384542448392</v>
      </c>
      <c r="G18" s="34">
        <f>IFERROR('7a'!G19/'8a'!G19*100, "na")</f>
        <v>100.36258672231145</v>
      </c>
      <c r="H18" s="34">
        <f>IFERROR('7a'!H19/'8a'!H19*100, "na")</f>
        <v>131.38279029666481</v>
      </c>
      <c r="I18" s="34">
        <f>IFERROR('7a'!I19/'8a'!I19*100, "na")</f>
        <v>136.66223660837184</v>
      </c>
      <c r="J18" s="280">
        <f>IFERROR('7a'!J19/'8a'!J19*100, "na")</f>
        <v>845.67591177112934</v>
      </c>
      <c r="K18" s="281">
        <f>IFERROR('7a'!K19/'8a'!K19*100, "na")</f>
        <v>285.5289216690569</v>
      </c>
      <c r="L18" s="281">
        <f>IFERROR('7a'!L19/'8a'!L19*100, "na")</f>
        <v>215.81893404721342</v>
      </c>
      <c r="M18" s="125">
        <f>IFERROR('7a'!M19/'8a'!M19*100, "na")</f>
        <v>264.76664038227437</v>
      </c>
    </row>
    <row r="19" spans="1:13">
      <c r="A19" s="16">
        <v>1995</v>
      </c>
      <c r="B19" s="37">
        <f>IFERROR('7a'!B20/'8a'!B20*100, "na")</f>
        <v>321.38323806273735</v>
      </c>
      <c r="C19" s="34">
        <f>IFERROR('7a'!C20/'8a'!C20*100, "na")</f>
        <v>97.958350103546252</v>
      </c>
      <c r="D19" s="34">
        <f>IFERROR('7a'!D20/'8a'!D20*100, "na")</f>
        <v>127.76152689499116</v>
      </c>
      <c r="E19" s="34">
        <f>IFERROR('7a'!E20/'8a'!E20*100, "na")</f>
        <v>127.32907935200404</v>
      </c>
      <c r="F19" s="37">
        <f>IFERROR('7a'!F20/'8a'!F20*100, "na")</f>
        <v>462.86229529280058</v>
      </c>
      <c r="G19" s="34">
        <f>IFERROR('7a'!G20/'8a'!G20*100, "na")</f>
        <v>100.98822278474029</v>
      </c>
      <c r="H19" s="34">
        <f>IFERROR('7a'!H20/'8a'!H20*100, "na")</f>
        <v>127.75460146641481</v>
      </c>
      <c r="I19" s="34">
        <f>IFERROR('7a'!I20/'8a'!I20*100, "na")</f>
        <v>134.55452687975648</v>
      </c>
      <c r="J19" s="280">
        <f>IFERROR('7a'!J20/'8a'!J20*100, "na")</f>
        <v>633.77250409165299</v>
      </c>
      <c r="K19" s="281">
        <f>IFERROR('7a'!K20/'8a'!K20*100, "na")</f>
        <v>259.47992304350527</v>
      </c>
      <c r="L19" s="281">
        <f>IFERROR('7a'!L20/'8a'!L20*100, "na")</f>
        <v>199.71623538950084</v>
      </c>
      <c r="M19" s="125">
        <f>IFERROR('7a'!M20/'8a'!M20*100, "na")</f>
        <v>242.03915506738363</v>
      </c>
    </row>
    <row r="20" spans="1:13">
      <c r="A20" s="16">
        <v>1996</v>
      </c>
      <c r="B20" s="37">
        <f>IFERROR('7a'!B21/'8a'!B21*100, "na")</f>
        <v>267.70444761860489</v>
      </c>
      <c r="C20" s="34">
        <f>IFERROR('7a'!C21/'8a'!C21*100, "na")</f>
        <v>96.755238307052736</v>
      </c>
      <c r="D20" s="34">
        <f>IFERROR('7a'!D21/'8a'!D21*100, "na")</f>
        <v>127.20182359726718</v>
      </c>
      <c r="E20" s="38">
        <f>IFERROR('7a'!E21/'8a'!E21*100, "na")</f>
        <v>126.19872203785548</v>
      </c>
      <c r="F20" s="37">
        <f>IFERROR('7a'!F21/'8a'!F21*100, "na")</f>
        <v>362.3151746478714</v>
      </c>
      <c r="G20" s="34">
        <f>IFERROR('7a'!G21/'8a'!G21*100, "na")</f>
        <v>98.761142541355511</v>
      </c>
      <c r="H20" s="34">
        <f>IFERROR('7a'!H21/'8a'!H21*100, "na")</f>
        <v>127.23755238909213</v>
      </c>
      <c r="I20" s="34">
        <f>IFERROR('7a'!I21/'8a'!I21*100, "na")</f>
        <v>131.48018302246362</v>
      </c>
      <c r="J20" s="280">
        <f>IFERROR('7a'!J21/'8a'!J21*100, "na")</f>
        <v>457.04927707288283</v>
      </c>
      <c r="K20" s="281">
        <f>IFERROR('7a'!K21/'8a'!K21*100, "na")</f>
        <v>230.41525447080548</v>
      </c>
      <c r="L20" s="281">
        <f>IFERROR('7a'!L21/'8a'!L21*100, "na")</f>
        <v>183.20421444065693</v>
      </c>
      <c r="M20" s="125">
        <f>IFERROR('7a'!M21/'8a'!M21*100, "na")</f>
        <v>216.39182473243147</v>
      </c>
    </row>
    <row r="21" spans="1:13">
      <c r="A21" s="16">
        <v>1997</v>
      </c>
      <c r="B21" s="37">
        <f>IFERROR('7a'!B22/'8a'!B22*100, "na")</f>
        <v>199.94303298465684</v>
      </c>
      <c r="C21" s="34">
        <f>IFERROR('7a'!C22/'8a'!C22*100, "na")</f>
        <v>95.85640588282169</v>
      </c>
      <c r="D21" s="34">
        <f>IFERROR('7a'!D22/'8a'!D22*100, "na")</f>
        <v>123.34280638637726</v>
      </c>
      <c r="E21" s="38">
        <f>IFERROR('7a'!E22/'8a'!E22*100, "na")</f>
        <v>121.91209272088155</v>
      </c>
      <c r="F21" s="37">
        <f>IFERROR('7a'!F22/'8a'!F22*100, "na")</f>
        <v>260.9705021146483</v>
      </c>
      <c r="G21" s="34">
        <f>IFERROR('7a'!G22/'8a'!G22*100, "na")</f>
        <v>97.232578738739633</v>
      </c>
      <c r="H21" s="34">
        <f>IFERROR('7a'!H22/'8a'!H22*100, "na")</f>
        <v>123.33355593994975</v>
      </c>
      <c r="I21" s="38">
        <f>IFERROR('7a'!I22/'8a'!I22*100, "na")</f>
        <v>125.0958028472817</v>
      </c>
      <c r="J21" s="280">
        <f>IFERROR('7a'!J22/'8a'!J22*100, "na")</f>
        <v>321.98478360287697</v>
      </c>
      <c r="K21" s="281">
        <f>IFERROR('7a'!K22/'8a'!K22*100, "na")</f>
        <v>193.27400901421476</v>
      </c>
      <c r="L21" s="281">
        <f>IFERROR('7a'!L22/'8a'!L22*100, "na")</f>
        <v>166.71679951872466</v>
      </c>
      <c r="M21" s="125">
        <f>IFERROR('7a'!M22/'8a'!M22*100, "na")</f>
        <v>189.30295341924642</v>
      </c>
    </row>
    <row r="22" spans="1:13">
      <c r="A22" s="16">
        <v>1998</v>
      </c>
      <c r="B22" s="37">
        <f>IFERROR('7a'!B23/'8a'!B23*100, "na")</f>
        <v>152.90786532641027</v>
      </c>
      <c r="C22" s="34">
        <f>IFERROR('7a'!C23/'8a'!C23*100, "na")</f>
        <v>95.840908793405205</v>
      </c>
      <c r="D22" s="34">
        <f>IFERROR('7a'!D23/'8a'!D23*100, "na")</f>
        <v>116.13654136168437</v>
      </c>
      <c r="E22" s="38">
        <f>IFERROR('7a'!E23/'8a'!E23*100, "na")</f>
        <v>114.88340369090405</v>
      </c>
      <c r="F22" s="37">
        <f>IFERROR('7a'!F23/'8a'!F23*100, "na")</f>
        <v>186.15007887324191</v>
      </c>
      <c r="G22" s="34">
        <f>IFERROR('7a'!G23/'8a'!G23*100, "na")</f>
        <v>97.374014441227303</v>
      </c>
      <c r="H22" s="34">
        <f>IFERROR('7a'!H23/'8a'!H23*100, "na")</f>
        <v>116.13797112380888</v>
      </c>
      <c r="I22" s="38">
        <f>IFERROR('7a'!I23/'8a'!I23*100, "na")</f>
        <v>116.88232953379148</v>
      </c>
      <c r="J22" s="280">
        <f>IFERROR('7a'!J23/'8a'!J23*100, "na")</f>
        <v>227.09732281617451</v>
      </c>
      <c r="K22" s="281">
        <f>IFERROR('7a'!K23/'8a'!K23*100, "na")</f>
        <v>162.46041460239746</v>
      </c>
      <c r="L22" s="281">
        <f>IFERROR('7a'!L23/'8a'!L23*100, "na")</f>
        <v>150.28725405460369</v>
      </c>
      <c r="M22" s="125">
        <f>IFERROR('7a'!M23/'8a'!M23*100, "na")</f>
        <v>163.18512164963352</v>
      </c>
    </row>
    <row r="23" spans="1:13">
      <c r="A23" s="16">
        <v>1999</v>
      </c>
      <c r="B23" s="37">
        <f>IFERROR('7a'!B24/'8a'!B24*100, "na")</f>
        <v>135.55679564357465</v>
      </c>
      <c r="C23" s="34">
        <f>IFERROR('7a'!C24/'8a'!C24*100, "na")</f>
        <v>98.526875480708725</v>
      </c>
      <c r="D23" s="34">
        <f>IFERROR('7a'!D24/'8a'!D24*100, "na")</f>
        <v>110.69878150322614</v>
      </c>
      <c r="E23" s="38">
        <f>IFERROR('7a'!E24/'8a'!E24*100, "na")</f>
        <v>110.19765808088835</v>
      </c>
      <c r="F23" s="37">
        <f>IFERROR('7a'!F24/'8a'!F24*100, "na")</f>
        <v>156.07221613642861</v>
      </c>
      <c r="G23" s="34">
        <f>IFERROR('7a'!G24/'8a'!G24*100, "na")</f>
        <v>99.727057895537968</v>
      </c>
      <c r="H23" s="34">
        <f>IFERROR('7a'!H24/'8a'!H24*100, "na")</f>
        <v>110.72004603831711</v>
      </c>
      <c r="I23" s="38">
        <f>IFERROR('7a'!I24/'8a'!I24*100, "na")</f>
        <v>112.21510186681316</v>
      </c>
      <c r="J23" s="280">
        <f>IFERROR('7a'!J24/'8a'!J24*100, "na")</f>
        <v>162.46827078394764</v>
      </c>
      <c r="K23" s="281">
        <f>IFERROR('7a'!K24/'8a'!K24*100, "na")</f>
        <v>134.81443265727276</v>
      </c>
      <c r="L23" s="281">
        <f>IFERROR('7a'!L24/'8a'!L24*100, "na")</f>
        <v>133.63471971066909</v>
      </c>
      <c r="M23" s="125">
        <f>IFERROR('7a'!M24/'8a'!M24*100, "na")</f>
        <v>138.35841206396631</v>
      </c>
    </row>
    <row r="24" spans="1:13">
      <c r="A24" s="16">
        <v>2000</v>
      </c>
      <c r="B24" s="37">
        <f>IFERROR('7a'!B25/'8a'!B25*100, "na")</f>
        <v>125.63190749855433</v>
      </c>
      <c r="C24" s="34">
        <f>IFERROR('7a'!C25/'8a'!C25*100, "na")</f>
        <v>101.63250821041071</v>
      </c>
      <c r="D24" s="34">
        <f>IFERROR('7a'!D25/'8a'!D25*100, "na")</f>
        <v>106.94874235449994</v>
      </c>
      <c r="E24" s="38">
        <f>IFERROR('7a'!E25/'8a'!E25*100, "na")</f>
        <v>107.03129585673845</v>
      </c>
      <c r="F24" s="37">
        <f>IFERROR('7a'!F25/'8a'!F25*100, "na")</f>
        <v>137.17195311997804</v>
      </c>
      <c r="G24" s="34">
        <f>IFERROR('7a'!G25/'8a'!G25*100, "na")</f>
        <v>102.41954623879282</v>
      </c>
      <c r="H24" s="34">
        <f>IFERROR('7a'!H25/'8a'!H25*100, "na")</f>
        <v>106.95137237445911</v>
      </c>
      <c r="I24" s="38">
        <f>IFERROR('7a'!I25/'8a'!I25*100, "na")</f>
        <v>109.00909263111649</v>
      </c>
      <c r="J24" s="280">
        <f>IFERROR('7a'!J25/'8a'!J25*100, "na")</f>
        <v>125.88504925067457</v>
      </c>
      <c r="K24" s="281">
        <f>IFERROR('7a'!K25/'8a'!K25*100, "na")</f>
        <v>114.99690572784161</v>
      </c>
      <c r="L24" s="281">
        <f>IFERROR('7a'!L25/'8a'!L25*100, "na")</f>
        <v>115.03885220594914</v>
      </c>
      <c r="M24" s="125">
        <f>IFERROR('7a'!M25/'8a'!M25*100, "na")</f>
        <v>116.7881954929785</v>
      </c>
    </row>
    <row r="25" spans="1:13">
      <c r="A25" s="16">
        <v>2001</v>
      </c>
      <c r="B25" s="37">
        <f>IFERROR('7a'!B26/'8a'!B26*100, "na")</f>
        <v>109.39080709563463</v>
      </c>
      <c r="C25" s="34">
        <f>IFERROR('7a'!C26/'8a'!C26*100, "na")</f>
        <v>101.19899327060666</v>
      </c>
      <c r="D25" s="34">
        <f>IFERROR('7a'!D26/'8a'!D26*100, "na")</f>
        <v>103.27666774511819</v>
      </c>
      <c r="E25" s="38">
        <f>IFERROR('7a'!E26/'8a'!E26*100, "na")</f>
        <v>103.27410433860969</v>
      </c>
      <c r="F25" s="37">
        <f>IFERROR('7a'!F26/'8a'!F26*100, "na")</f>
        <v>112.4699352255718</v>
      </c>
      <c r="G25" s="34">
        <f>IFERROR('7a'!G26/'8a'!G26*100, "na")</f>
        <v>101.57932317962361</v>
      </c>
      <c r="H25" s="34">
        <f>IFERROR('7a'!H26/'8a'!H26*100, "na")</f>
        <v>103.24508679272692</v>
      </c>
      <c r="I25" s="38">
        <f>IFERROR('7a'!I26/'8a'!I26*100, "na")</f>
        <v>103.81112654120348</v>
      </c>
      <c r="J25" s="280">
        <f>IFERROR('7a'!J26/'8a'!J26*100, "na")</f>
        <v>109.8710437089475</v>
      </c>
      <c r="K25" s="281">
        <f>IFERROR('7a'!K26/'8a'!K26*100, "na")</f>
        <v>105.32945370265405</v>
      </c>
      <c r="L25" s="281">
        <f>IFERROR('7a'!L26/'8a'!L26*100, "na")</f>
        <v>104.35764971698225</v>
      </c>
      <c r="M25" s="125">
        <f>IFERROR('7a'!M26/'8a'!M26*100, "na")</f>
        <v>105.53279116714107</v>
      </c>
    </row>
    <row r="26" spans="1:13">
      <c r="A26" s="16">
        <v>2002</v>
      </c>
      <c r="B26" s="37">
        <f>IFERROR('7a'!B27/'8a'!B27*100, "na")</f>
        <v>100</v>
      </c>
      <c r="C26" s="34">
        <f>IFERROR('7a'!C27/'8a'!C27*100, "na")</f>
        <v>100</v>
      </c>
      <c r="D26" s="34">
        <f>IFERROR('7a'!D27/'8a'!D27*100, "na")</f>
        <v>100</v>
      </c>
      <c r="E26" s="38">
        <f>IFERROR('7a'!E27/'8a'!E27*100, "na")</f>
        <v>100</v>
      </c>
      <c r="F26" s="37">
        <f>IFERROR('7a'!F27/'8a'!F27*100, "na")</f>
        <v>100</v>
      </c>
      <c r="G26" s="34">
        <f>IFERROR('7a'!G27/'8a'!G27*100, "na")</f>
        <v>100</v>
      </c>
      <c r="H26" s="34">
        <f>IFERROR('7a'!H27/'8a'!H27*100, "na")</f>
        <v>100</v>
      </c>
      <c r="I26" s="38">
        <f>IFERROR('7a'!I27/'8a'!I27*100, "na")</f>
        <v>100</v>
      </c>
      <c r="J26" s="280">
        <f>IFERROR('7a'!J27/'8a'!J27*100, "na")</f>
        <v>100</v>
      </c>
      <c r="K26" s="281">
        <f>IFERROR('7a'!K27/'8a'!K27*100, "na")</f>
        <v>100</v>
      </c>
      <c r="L26" s="281">
        <f>IFERROR('7a'!L27/'8a'!L27*100, "na")</f>
        <v>100</v>
      </c>
      <c r="M26" s="125">
        <f>IFERROR('7a'!M27/'8a'!M27*100, "na")</f>
        <v>100</v>
      </c>
    </row>
    <row r="27" spans="1:13">
      <c r="A27" s="16">
        <v>2003</v>
      </c>
      <c r="B27" s="37">
        <f>IFERROR('7a'!B28/'8a'!B28*100, "na")</f>
        <v>93.084081889767006</v>
      </c>
      <c r="C27" s="34">
        <f>IFERROR('7a'!C28/'8a'!C28*100, "na")</f>
        <v>98.642657638682735</v>
      </c>
      <c r="D27" s="34">
        <f>IFERROR('7a'!D28/'8a'!D28*100, "na")</f>
        <v>94.19907646223183</v>
      </c>
      <c r="E27" s="38">
        <f>IFERROR('7a'!E28/'8a'!E28*100, "na")</f>
        <v>94.455642015918556</v>
      </c>
      <c r="F27" s="37">
        <f>IFERROR('7a'!F28/'8a'!F28*100, "na")</f>
        <v>91.149896017249461</v>
      </c>
      <c r="G27" s="34">
        <f>IFERROR('7a'!G28/'8a'!G28*100, "na")</f>
        <v>96.702613168973144</v>
      </c>
      <c r="H27" s="34">
        <f>IFERROR('7a'!H28/'8a'!H28*100, "na")</f>
        <v>94.2365766644037</v>
      </c>
      <c r="I27" s="38">
        <f>IFERROR('7a'!I28/'8a'!I28*100, "na")</f>
        <v>94.384580885488717</v>
      </c>
      <c r="J27" s="280">
        <f>IFERROR('7a'!J28/'8a'!J28*100, "na")</f>
        <v>92.119849652678639</v>
      </c>
      <c r="K27" s="281">
        <f>IFERROR('7a'!K28/'8a'!K28*100, "na")</f>
        <v>94.767501161644233</v>
      </c>
      <c r="L27" s="281">
        <f>IFERROR('7a'!L28/'8a'!L28*100, "na")</f>
        <v>96.216650211029986</v>
      </c>
      <c r="M27" s="125">
        <f>IFERROR('7a'!M28/'8a'!M28*100, "na")</f>
        <v>95.042314945849512</v>
      </c>
    </row>
    <row r="28" spans="1:13">
      <c r="A28" s="16">
        <v>2004</v>
      </c>
      <c r="B28" s="37">
        <f>IFERROR('7a'!B29/'8a'!B29*100, "na")</f>
        <v>86.222283943450321</v>
      </c>
      <c r="C28" s="34">
        <f>IFERROR('7a'!C29/'8a'!C29*100, "na")</f>
        <v>98.428223626106941</v>
      </c>
      <c r="D28" s="34">
        <f>IFERROR('7a'!D29/'8a'!D29*100, "na")</f>
        <v>91.360540337099465</v>
      </c>
      <c r="E28" s="38">
        <f>IFERROR('7a'!E29/'8a'!E29*100, "na")</f>
        <v>91.623356914181485</v>
      </c>
      <c r="F28" s="37">
        <f>IFERROR('7a'!F29/'8a'!F29*100, "na")</f>
        <v>82.591752070326891</v>
      </c>
      <c r="G28" s="34">
        <f>IFERROR('7a'!G29/'8a'!G29*100, "na")</f>
        <v>94.366608417315334</v>
      </c>
      <c r="H28" s="34">
        <f>IFERROR('7a'!H29/'8a'!H29*100, "na")</f>
        <v>91.364571908518357</v>
      </c>
      <c r="I28" s="38">
        <f>IFERROR('7a'!I29/'8a'!I29*100, "na")</f>
        <v>91.032403242008414</v>
      </c>
      <c r="J28" s="280">
        <f>IFERROR('7a'!J29/'8a'!J29*100, "na")</f>
        <v>84.502078537059063</v>
      </c>
      <c r="K28" s="281">
        <f>IFERROR('7a'!K29/'8a'!K29*100, "na")</f>
        <v>88.777059379346227</v>
      </c>
      <c r="L28" s="281">
        <f>IFERROR('7a'!L29/'8a'!L29*100, "na")</f>
        <v>92.1714547041949</v>
      </c>
      <c r="M28" s="125">
        <f>IFERROR('7a'!M29/'8a'!M29*100, "na")</f>
        <v>89.676990583760443</v>
      </c>
    </row>
    <row r="29" spans="1:13">
      <c r="A29" s="16">
        <v>2005</v>
      </c>
      <c r="B29" s="37">
        <f>IFERROR('7a'!B30/'8a'!B30*100, "na")</f>
        <v>77.60720759108959</v>
      </c>
      <c r="C29" s="34">
        <f>IFERROR('7a'!C30/'8a'!C30*100, "na")</f>
        <v>99.130712094542858</v>
      </c>
      <c r="D29" s="34">
        <f>IFERROR('7a'!D30/'8a'!D30*100, "na")</f>
        <v>90.308150653885022</v>
      </c>
      <c r="E29" s="38">
        <f>IFERROR('7a'!E30/'8a'!E30*100, "na")</f>
        <v>90.456836816078919</v>
      </c>
      <c r="F29" s="37">
        <f>IFERROR('7a'!F30/'8a'!F30*100, "na")</f>
        <v>70.960317687965286</v>
      </c>
      <c r="G29" s="34">
        <f>IFERROR('7a'!G30/'8a'!G30*100, "na")</f>
        <v>93.38824815965836</v>
      </c>
      <c r="H29" s="34">
        <f>IFERROR('7a'!H30/'8a'!H30*100, "na")</f>
        <v>90.334665703971112</v>
      </c>
      <c r="I29" s="38">
        <f>IFERROR('7a'!I30/'8a'!I30*100, "na")</f>
        <v>88.914014491231285</v>
      </c>
      <c r="J29" s="280">
        <f>IFERROR('7a'!J30/'8a'!J30*100, "na")</f>
        <v>77.446999999999989</v>
      </c>
      <c r="K29" s="281">
        <f>IFERROR('7a'!K30/'8a'!K30*100, "na")</f>
        <v>83.620000000000033</v>
      </c>
      <c r="L29" s="281">
        <f>IFERROR('7a'!L30/'8a'!L30*100, "na")</f>
        <v>88.679999999999978</v>
      </c>
      <c r="M29" s="125">
        <f>IFERROR('7a'!M30/'8a'!M30*100, "na")</f>
        <v>84.972290189817826</v>
      </c>
    </row>
    <row r="30" spans="1:13">
      <c r="A30" s="16">
        <v>2006</v>
      </c>
      <c r="B30" s="37">
        <f>IFERROR('7a'!B31/'8a'!B31*100, "na")</f>
        <v>69.723425509135211</v>
      </c>
      <c r="C30" s="34">
        <f>IFERROR('7a'!C31/'8a'!C31*100, "na")</f>
        <v>100.56598573285139</v>
      </c>
      <c r="D30" s="34">
        <f>IFERROR('7a'!D31/'8a'!D31*100, "na")</f>
        <v>93.614081409624944</v>
      </c>
      <c r="E30" s="38">
        <f>IFERROR('7a'!E31/'8a'!E31*100, "na")</f>
        <v>93.437704165881925</v>
      </c>
      <c r="F30" s="37">
        <f>IFERROR('7a'!F31/'8a'!F31*100, "na")</f>
        <v>60.071627456115138</v>
      </c>
      <c r="G30" s="34">
        <f>IFERROR('7a'!G31/'8a'!G31*100, "na")</f>
        <v>93.092059904950858</v>
      </c>
      <c r="H30" s="34">
        <f>IFERROR('7a'!H31/'8a'!H31*100, "na")</f>
        <v>93.632650053482735</v>
      </c>
      <c r="I30" s="38">
        <f>IFERROR('7a'!I31/'8a'!I31*100, "na")</f>
        <v>89.747437701005211</v>
      </c>
      <c r="J30" s="280">
        <f>IFERROR('7a'!J31/'8a'!J31*100, "na")</f>
        <v>68.136189680200573</v>
      </c>
      <c r="K30" s="281">
        <f>IFERROR('7a'!K31/'8a'!K31*100, "na")</f>
        <v>79.350920478269117</v>
      </c>
      <c r="L30" s="281">
        <f>IFERROR('7a'!L31/'8a'!L31*100, "na")</f>
        <v>84.169363794265337</v>
      </c>
      <c r="M30" s="125">
        <f>IFERROR('7a'!M31/'8a'!M31*100, "na")</f>
        <v>79.7890157351776</v>
      </c>
    </row>
    <row r="31" spans="1:13">
      <c r="A31" s="16">
        <v>2007</v>
      </c>
      <c r="B31" s="37">
        <f>IFERROR('7a'!B32/'8a'!B32*100, "na")</f>
        <v>60.979699425776005</v>
      </c>
      <c r="C31" s="34">
        <f>IFERROR('7a'!C32/'8a'!C32*100, "na")</f>
        <v>99.7288082070326</v>
      </c>
      <c r="D31" s="34">
        <f>IFERROR('7a'!D32/'8a'!D32*100, "na")</f>
        <v>84.439359550161925</v>
      </c>
      <c r="E31" s="38">
        <f>IFERROR('7a'!E32/'8a'!E32*100, "na")</f>
        <v>84.515873960264344</v>
      </c>
      <c r="F31" s="37">
        <f>IFERROR('7a'!F32/'8a'!F32*100, "na")</f>
        <v>52.157142390667701</v>
      </c>
      <c r="G31" s="34">
        <f>IFERROR('7a'!G32/'8a'!G32*100, "na")</f>
        <v>91.707786177624286</v>
      </c>
      <c r="H31" s="34">
        <f>IFERROR('7a'!H32/'8a'!H32*100, "na")</f>
        <v>84.416111997034832</v>
      </c>
      <c r="I31" s="38">
        <f>IFERROR('7a'!I32/'8a'!I32*100, "na")</f>
        <v>80.992653395387322</v>
      </c>
      <c r="J31" s="280">
        <f>IFERROR('7a'!J32/'8a'!J32*100, "na")</f>
        <v>60.148805132068453</v>
      </c>
      <c r="K31" s="281">
        <f>IFERROR('7a'!K32/'8a'!K32*100, "na")</f>
        <v>75.130953557534212</v>
      </c>
      <c r="L31" s="281">
        <f>IFERROR('7a'!L32/'8a'!L32*100, "na")</f>
        <v>79.193420194857978</v>
      </c>
      <c r="M31" s="125">
        <f>IFERROR('7a'!M32/'8a'!M32*100, "na")</f>
        <v>74.330480269913807</v>
      </c>
    </row>
    <row r="32" spans="1:13">
      <c r="A32" s="16">
        <v>2008</v>
      </c>
      <c r="B32" s="37">
        <f>IFERROR('7a'!B33/'8a'!B33*100, "na")</f>
        <v>54.103596487829599</v>
      </c>
      <c r="C32" s="34">
        <f>IFERROR('7a'!C33/'8a'!C33*100, "na")</f>
        <v>99.156174956682008</v>
      </c>
      <c r="D32" s="34">
        <f>IFERROR('7a'!D33/'8a'!D33*100, "na")</f>
        <v>82.213829990123401</v>
      </c>
      <c r="E32" s="38">
        <f>IFERROR('7a'!E33/'8a'!E33*100, "na")</f>
        <v>82.124704743413929</v>
      </c>
      <c r="F32" s="37">
        <f>IFERROR('7a'!F33/'8a'!F33*100, "na")</f>
        <v>46.540134562866484</v>
      </c>
      <c r="G32" s="34">
        <f>IFERROR('7a'!G33/'8a'!G33*100, "na")</f>
        <v>90.285920131364534</v>
      </c>
      <c r="H32" s="34">
        <f>IFERROR('7a'!H33/'8a'!H33*100, "na")</f>
        <v>82.189914820345734</v>
      </c>
      <c r="I32" s="38">
        <f>IFERROR('7a'!I33/'8a'!I33*100, "na")</f>
        <v>77.361157356822602</v>
      </c>
      <c r="J32" s="280">
        <f>IFERROR('7a'!J33/'8a'!J33*100, "na")</f>
        <v>54.305708455750882</v>
      </c>
      <c r="K32" s="281">
        <f>IFERROR('7a'!K33/'8a'!K33*100, "na")</f>
        <v>71.558157047990704</v>
      </c>
      <c r="L32" s="281">
        <f>IFERROR('7a'!L33/'8a'!L33*100, "na")</f>
        <v>75.8357064060135</v>
      </c>
      <c r="M32" s="125">
        <f>IFERROR('7a'!M33/'8a'!M33*100, "na")</f>
        <v>70.31600701362855</v>
      </c>
    </row>
    <row r="33" spans="1:13">
      <c r="A33" s="16">
        <v>2009</v>
      </c>
      <c r="B33" s="37">
        <f>IFERROR('7a'!B34/'8a'!B34*100, "na")</f>
        <v>48.993397671340929</v>
      </c>
      <c r="C33" s="34">
        <f>IFERROR('7a'!C34/'8a'!C34*100, "na")</f>
        <v>97.800888237745156</v>
      </c>
      <c r="D33" s="34">
        <f>IFERROR('7a'!D34/'8a'!D34*100, "na")</f>
        <v>78.02846394069293</v>
      </c>
      <c r="E33" s="38">
        <f>IFERROR('7a'!E34/'8a'!E34*100, "na")</f>
        <v>77.920195518082153</v>
      </c>
      <c r="F33" s="37">
        <f>IFERROR('7a'!F34/'8a'!F34*100, "na")</f>
        <v>42.319713966823244</v>
      </c>
      <c r="G33" s="34">
        <f>IFERROR('7a'!G34/'8a'!G34*100, "na")</f>
        <v>88.422809499468102</v>
      </c>
      <c r="H33" s="34">
        <f>IFERROR('7a'!H34/'8a'!H34*100, "na")</f>
        <v>78.046667017659132</v>
      </c>
      <c r="I33" s="38">
        <f>IFERROR('7a'!I34/'8a'!I34*100, "na")</f>
        <v>72.938395907501942</v>
      </c>
      <c r="J33" s="280">
        <f>IFERROR('7a'!J34/'8a'!J34*100, "na")</f>
        <v>51.815104236358287</v>
      </c>
      <c r="K33" s="281">
        <f>IFERROR('7a'!K34/'8a'!K34*100, "na")</f>
        <v>69.620095080302065</v>
      </c>
      <c r="L33" s="281">
        <f>IFERROR('7a'!L34/'8a'!L34*100, "na")</f>
        <v>73.867375242601184</v>
      </c>
      <c r="M33" s="125">
        <f>IFERROR('7a'!M34/'8a'!M34*100, "na")</f>
        <v>68.226535557028612</v>
      </c>
    </row>
    <row r="34" spans="1:13">
      <c r="A34" s="17">
        <v>2010</v>
      </c>
      <c r="B34" s="39">
        <f>IFERROR('7a'!B35/'8a'!B35*100, "na")</f>
        <v>45.746175333466248</v>
      </c>
      <c r="C34" s="40">
        <f>IFERROR('7a'!C35/'8a'!C35*100, "na")</f>
        <v>95.972113626505532</v>
      </c>
      <c r="D34" s="40">
        <f>IFERROR('7a'!D35/'8a'!D35*100, "na")</f>
        <v>69.925713174259755</v>
      </c>
      <c r="E34" s="41">
        <f>IFERROR('7a'!E35/'8a'!E35*100, "na")</f>
        <v>70.085186637105764</v>
      </c>
      <c r="F34" s="39">
        <f>IFERROR('7a'!F35/'8a'!F35*100, "na")</f>
        <v>40.130360720736874</v>
      </c>
      <c r="G34" s="40">
        <f>IFERROR('7a'!G35/'8a'!G35*100, "na")</f>
        <v>86.693102738802637</v>
      </c>
      <c r="H34" s="40">
        <f>IFERROR('7a'!H35/'8a'!H35*100, "na")</f>
        <v>69.94836743375545</v>
      </c>
      <c r="I34" s="41">
        <f>IFERROR('7a'!I35/'8a'!I35*100, "na")</f>
        <v>66.086333658589894</v>
      </c>
      <c r="J34" s="282">
        <f>IFERROR('7a'!J35/'8a'!J35*100, "na")</f>
        <v>45.637864689833165</v>
      </c>
      <c r="K34" s="283">
        <f>IFERROR('7a'!K35/'8a'!K35*100, "na")</f>
        <v>67.68329205316239</v>
      </c>
      <c r="L34" s="283">
        <f>IFERROR('7a'!L35/'8a'!L35*100, "na")</f>
        <v>71.009328582295709</v>
      </c>
      <c r="M34" s="128">
        <f>IFERROR('7a'!M35/'8a'!M35*100, "na")</f>
        <v>64.361457922239694</v>
      </c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A36" s="384" t="s">
        <v>52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6"/>
    </row>
    <row r="37" spans="1:13">
      <c r="A37" s="15" t="s">
        <v>53</v>
      </c>
      <c r="B37" s="82">
        <f>(POWER(B14/B5,1/($A14-$A5))-1)*100</f>
        <v>-19.476077608643006</v>
      </c>
      <c r="C37" s="83">
        <f t="shared" ref="C37:M37" si="0">(POWER(C14/C5,1/($A14-$A5))-1)*100</f>
        <v>0.74674496335080942</v>
      </c>
      <c r="D37" s="83">
        <f t="shared" si="0"/>
        <v>1.2611998770876598</v>
      </c>
      <c r="E37" s="84">
        <f>(POWER(E14/E5,1/($A14-$A5))-1)*100</f>
        <v>-0.24162334380806172</v>
      </c>
      <c r="F37" s="82">
        <f t="shared" si="0"/>
        <v>-21.629184172306502</v>
      </c>
      <c r="G37" s="83">
        <f t="shared" si="0"/>
        <v>0.73786289022976792</v>
      </c>
      <c r="H37" s="83">
        <f t="shared" si="0"/>
        <v>1.2539014215925404</v>
      </c>
      <c r="I37" s="84">
        <f t="shared" si="0"/>
        <v>0.94094059405023245</v>
      </c>
      <c r="J37" s="82">
        <f t="shared" si="0"/>
        <v>-21.058369273043599</v>
      </c>
      <c r="K37" s="83">
        <f t="shared" si="0"/>
        <v>-14.200796330248677</v>
      </c>
      <c r="L37" s="83">
        <f t="shared" si="0"/>
        <v>-6.3689802659884993</v>
      </c>
      <c r="M37" s="84">
        <f t="shared" si="0"/>
        <v>-6.4552245823605521</v>
      </c>
    </row>
    <row r="38" spans="1:13">
      <c r="A38" s="16" t="s">
        <v>71</v>
      </c>
      <c r="B38" s="37">
        <f>(POWER(B$24/B14,1/($A$24-$A$14))-1)*100</f>
        <v>-14.771590689144865</v>
      </c>
      <c r="C38" s="34">
        <f t="shared" ref="C38:M38" si="1">(POWER(C$24/C14,1/($A$24-$A$14))-1)*100</f>
        <v>-1.9205075528794247E-2</v>
      </c>
      <c r="D38" s="34">
        <f t="shared" si="1"/>
        <v>-2.505082538625969</v>
      </c>
      <c r="E38" s="38">
        <f t="shared" si="1"/>
        <v>-2.6940227268168804</v>
      </c>
      <c r="F38" s="37">
        <f t="shared" si="1"/>
        <v>-16.294755375216084</v>
      </c>
      <c r="G38" s="34">
        <f t="shared" si="1"/>
        <v>-0.42560108086009407</v>
      </c>
      <c r="H38" s="34">
        <f>(POWER(H$24/H14,1/($A$24-$A$14))-1)*100</f>
        <v>-2.5045643620532965</v>
      </c>
      <c r="I38" s="38">
        <f t="shared" si="1"/>
        <v>-2.5171075097289441</v>
      </c>
      <c r="J38" s="37">
        <f t="shared" si="1"/>
        <v>-22.05850465285344</v>
      </c>
      <c r="K38" s="34">
        <f t="shared" si="1"/>
        <v>-13.145629773400957</v>
      </c>
      <c r="L38" s="34">
        <f t="shared" si="1"/>
        <v>-7.8534359231947404</v>
      </c>
      <c r="M38" s="38">
        <f t="shared" si="1"/>
        <v>-10.304928983584027</v>
      </c>
    </row>
    <row r="39" spans="1:13">
      <c r="A39" s="16" t="s">
        <v>69</v>
      </c>
      <c r="B39" s="37">
        <f>(POWER(B$34/B24,1/($A$34-$A$24))-1)*100</f>
        <v>-9.6089391010660172</v>
      </c>
      <c r="C39" s="34">
        <f t="shared" ref="C39:M39" si="2">(POWER(C$34/C24,1/($A$34-$A$24))-1)*100</f>
        <v>-0.57141896032482098</v>
      </c>
      <c r="D39" s="34">
        <f t="shared" si="2"/>
        <v>-4.1601506784865965</v>
      </c>
      <c r="E39" s="38">
        <f t="shared" si="2"/>
        <v>-4.1457121238580363</v>
      </c>
      <c r="F39" s="37">
        <f t="shared" si="2"/>
        <v>-11.565693566579805</v>
      </c>
      <c r="G39" s="34">
        <f t="shared" si="2"/>
        <v>-1.6532143860373272</v>
      </c>
      <c r="H39" s="34">
        <f t="shared" si="2"/>
        <v>-4.157281837166293</v>
      </c>
      <c r="I39" s="38">
        <f t="shared" si="2"/>
        <v>-4.8815217971506231</v>
      </c>
      <c r="J39" s="37">
        <f t="shared" si="2"/>
        <v>-9.6485521797983651</v>
      </c>
      <c r="K39" s="34">
        <f>(POWER(K$34/K24,1/($A$34-$A$24))-1)*100</f>
        <v>-5.1626234070782147</v>
      </c>
      <c r="L39" s="34">
        <f t="shared" si="2"/>
        <v>-4.7100527277723288</v>
      </c>
      <c r="M39" s="38">
        <f t="shared" si="2"/>
        <v>-5.78442727171673</v>
      </c>
    </row>
    <row r="40" spans="1:13">
      <c r="A40" s="17" t="s">
        <v>70</v>
      </c>
      <c r="B40" s="39">
        <f>(POWER(B34/B5,1/($A$34-$A$5))-1)*100</f>
        <v>-14.544755173012003</v>
      </c>
      <c r="C40" s="40">
        <f t="shared" ref="C40:M40" si="3">(POWER(C34/C5,1/($A$34-$A$5))-1)*100</f>
        <v>2.6661773952296741E-2</v>
      </c>
      <c r="D40" s="40">
        <f t="shared" si="3"/>
        <v>-1.9321839846136002</v>
      </c>
      <c r="E40" s="41">
        <f t="shared" si="3"/>
        <v>-2.4464055922601591</v>
      </c>
      <c r="F40" s="39">
        <f t="shared" si="3"/>
        <v>-16.418970633384077</v>
      </c>
      <c r="G40" s="40">
        <f t="shared" si="3"/>
        <v>-0.49254274250661867</v>
      </c>
      <c r="H40" s="40">
        <f t="shared" si="3"/>
        <v>-1.933185697453077</v>
      </c>
      <c r="I40" s="41">
        <f t="shared" si="3"/>
        <v>-2.2876124526427288</v>
      </c>
      <c r="J40" s="39">
        <f t="shared" si="3"/>
        <v>-17.659487936283082</v>
      </c>
      <c r="K40" s="40">
        <f>(POWER(K34/K5,1/($A$34-$A$5))-1)*100</f>
        <v>-10.810760316644007</v>
      </c>
      <c r="L40" s="40">
        <f t="shared" si="3"/>
        <v>-6.3179133775787548</v>
      </c>
      <c r="M40" s="41">
        <f t="shared" si="3"/>
        <v>-7.5735747237672291</v>
      </c>
    </row>
    <row r="42" spans="1:13">
      <c r="A42" s="204" t="s">
        <v>236</v>
      </c>
    </row>
  </sheetData>
  <mergeCells count="4">
    <mergeCell ref="B3:E3"/>
    <mergeCell ref="F3:I3"/>
    <mergeCell ref="J3:M3"/>
    <mergeCell ref="A36:M36"/>
  </mergeCells>
  <pageMargins left="0.7" right="0.7" top="0.75" bottom="0.75" header="0.3" footer="0.3"/>
  <pageSetup scale="64" orientation="landscape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89"/>
  <dimension ref="A1:M38"/>
  <sheetViews>
    <sheetView zoomScaleNormal="100" workbookViewId="0">
      <selection sqref="A1:H2"/>
    </sheetView>
  </sheetViews>
  <sheetFormatPr defaultRowHeight="15"/>
  <cols>
    <col min="1" max="1" width="11.7109375" customWidth="1"/>
    <col min="2" max="2" width="11.5703125" customWidth="1"/>
    <col min="4" max="4" width="15.140625" customWidth="1"/>
    <col min="6" max="6" width="12" customWidth="1"/>
    <col min="8" max="8" width="17.85546875" customWidth="1"/>
    <col min="10" max="10" width="11.5703125" customWidth="1"/>
    <col min="12" max="12" width="17.42578125" customWidth="1"/>
  </cols>
  <sheetData>
    <row r="1" spans="1:13">
      <c r="A1" s="387" t="s">
        <v>158</v>
      </c>
      <c r="B1" s="387"/>
      <c r="C1" s="387"/>
      <c r="D1" s="387"/>
      <c r="E1" s="387"/>
      <c r="F1" s="387"/>
      <c r="G1" s="387"/>
      <c r="H1" s="387"/>
      <c r="I1" s="1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IFERROR('8a'!B6/'5k'!$B6*1000, "na")</f>
        <v>na</v>
      </c>
      <c r="C6" s="214" t="str">
        <f>IFERROR('8a'!C6/'5k'!$B6*1000, "na")</f>
        <v>na</v>
      </c>
      <c r="D6" s="214" t="str">
        <f>IFERROR('8a'!D6/'5k'!$B6*1000, "na")</f>
        <v>na</v>
      </c>
      <c r="E6" s="237" t="str">
        <f>IFERROR('8a'!E6/'5k'!$B6*1000, "na")</f>
        <v>na</v>
      </c>
      <c r="F6" s="236" t="str">
        <f>IFERROR('8a'!F6/'5k'!$C6*1000, "na")</f>
        <v>na</v>
      </c>
      <c r="G6" s="214" t="str">
        <f>IFERROR('8a'!G6/'5k'!$C6*1000, "na")</f>
        <v>na</v>
      </c>
      <c r="H6" s="214" t="str">
        <f>IFERROR('8a'!H6/'5k'!$C6*1000, "na")</f>
        <v>na</v>
      </c>
      <c r="I6" s="237" t="str">
        <f>IFERROR('8a'!I6/'5k'!$C6*1000, "na")</f>
        <v>na</v>
      </c>
      <c r="J6" s="236" t="str">
        <f>IFERROR('8a'!J6/'5k'!$D6*1000, "na")</f>
        <v>na</v>
      </c>
      <c r="K6" s="214" t="str">
        <f>IFERROR('8a'!K6/'5k'!$D6*1000, "na")</f>
        <v>na</v>
      </c>
      <c r="L6" s="214" t="str">
        <f>IFERROR('8a'!L6/'5k'!$D6*1000, "na")</f>
        <v>na</v>
      </c>
      <c r="M6" s="237" t="str">
        <f>IFERROR('8a'!M6/'5k'!$D6*1000, "na")</f>
        <v>na</v>
      </c>
    </row>
    <row r="7" spans="1:13">
      <c r="A7" s="185">
        <v>1982</v>
      </c>
      <c r="B7" s="216" t="str">
        <f>IFERROR('8a'!B7/'5k'!$B7*1000, "na")</f>
        <v>na</v>
      </c>
      <c r="C7" s="143" t="str">
        <f>IFERROR('8a'!C7/'5k'!$B7*1000, "na")</f>
        <v>na</v>
      </c>
      <c r="D7" s="143" t="str">
        <f>IFERROR('8a'!D7/'5k'!$B7*1000, "na")</f>
        <v>na</v>
      </c>
      <c r="E7" s="217" t="str">
        <f>IFERROR('8a'!E7/'5k'!$B7*1000, "na")</f>
        <v>na</v>
      </c>
      <c r="F7" s="216" t="str">
        <f>IFERROR('8a'!F7/'5k'!$C7*1000, "na")</f>
        <v>na</v>
      </c>
      <c r="G7" s="143" t="str">
        <f>IFERROR('8a'!G7/'5k'!$C7*1000, "na")</f>
        <v>na</v>
      </c>
      <c r="H7" s="143" t="str">
        <f>IFERROR('8a'!H7/'5k'!$C7*1000, "na")</f>
        <v>na</v>
      </c>
      <c r="I7" s="217" t="str">
        <f>IFERROR('8a'!I7/'5k'!$C7*1000, "na")</f>
        <v>na</v>
      </c>
      <c r="J7" s="216" t="str">
        <f>IFERROR('8a'!J7/'5k'!$D7*1000, "na")</f>
        <v>na</v>
      </c>
      <c r="K7" s="143" t="str">
        <f>IFERROR('8a'!K7/'5k'!$D7*1000, "na")</f>
        <v>na</v>
      </c>
      <c r="L7" s="143" t="str">
        <f>IFERROR('8a'!L7/'5k'!$D7*1000, "na")</f>
        <v>na</v>
      </c>
      <c r="M7" s="217" t="str">
        <f>IFERROR('8a'!M7/'5k'!$D7*1000, "na")</f>
        <v>na</v>
      </c>
    </row>
    <row r="8" spans="1:13">
      <c r="A8" s="185">
        <v>1983</v>
      </c>
      <c r="B8" s="216" t="str">
        <f>IFERROR('8a'!B8/'5k'!$B8*1000, "na")</f>
        <v>na</v>
      </c>
      <c r="C8" s="143" t="str">
        <f>IFERROR('8a'!C8/'5k'!$B8*1000, "na")</f>
        <v>na</v>
      </c>
      <c r="D8" s="143" t="str">
        <f>IFERROR('8a'!D8/'5k'!$B8*1000, "na")</f>
        <v>na</v>
      </c>
      <c r="E8" s="217" t="str">
        <f>IFERROR('8a'!E8/'5k'!$B8*1000, "na")</f>
        <v>na</v>
      </c>
      <c r="F8" s="216" t="str">
        <f>IFERROR('8a'!F8/'5k'!$C8*1000, "na")</f>
        <v>na</v>
      </c>
      <c r="G8" s="143" t="str">
        <f>IFERROR('8a'!G8/'5k'!$C8*1000, "na")</f>
        <v>na</v>
      </c>
      <c r="H8" s="143" t="str">
        <f>IFERROR('8a'!H8/'5k'!$C8*1000, "na")</f>
        <v>na</v>
      </c>
      <c r="I8" s="217" t="str">
        <f>IFERROR('8a'!I8/'5k'!$C8*1000, "na")</f>
        <v>na</v>
      </c>
      <c r="J8" s="216" t="str">
        <f>IFERROR('8a'!J8/'5k'!$D8*1000, "na")</f>
        <v>na</v>
      </c>
      <c r="K8" s="143" t="str">
        <f>IFERROR('8a'!K8/'5k'!$D8*1000, "na")</f>
        <v>na</v>
      </c>
      <c r="L8" s="143" t="str">
        <f>IFERROR('8a'!L8/'5k'!$D8*1000, "na")</f>
        <v>na</v>
      </c>
      <c r="M8" s="217" t="str">
        <f>IFERROR('8a'!M8/'5k'!$D8*1000, "na")</f>
        <v>na</v>
      </c>
    </row>
    <row r="9" spans="1:13">
      <c r="A9" s="185">
        <v>1984</v>
      </c>
      <c r="B9" s="216" t="str">
        <f>IFERROR('8a'!B9/'5k'!$B9*1000, "na")</f>
        <v>na</v>
      </c>
      <c r="C9" s="143" t="str">
        <f>IFERROR('8a'!C9/'5k'!$B9*1000, "na")</f>
        <v>na</v>
      </c>
      <c r="D9" s="143" t="str">
        <f>IFERROR('8a'!D9/'5k'!$B9*1000, "na")</f>
        <v>na</v>
      </c>
      <c r="E9" s="217" t="str">
        <f>IFERROR('8a'!E9/'5k'!$B9*1000, "na")</f>
        <v>na</v>
      </c>
      <c r="F9" s="216" t="str">
        <f>IFERROR('8a'!F9/'5k'!$C9*1000, "na")</f>
        <v>na</v>
      </c>
      <c r="G9" s="143" t="str">
        <f>IFERROR('8a'!G9/'5k'!$C9*1000, "na")</f>
        <v>na</v>
      </c>
      <c r="H9" s="143" t="str">
        <f>IFERROR('8a'!H9/'5k'!$C9*1000, "na")</f>
        <v>na</v>
      </c>
      <c r="I9" s="217" t="str">
        <f>IFERROR('8a'!I9/'5k'!$C9*1000, "na")</f>
        <v>na</v>
      </c>
      <c r="J9" s="216" t="str">
        <f>IFERROR('8a'!J9/'5k'!$D9*1000, "na")</f>
        <v>na</v>
      </c>
      <c r="K9" s="143" t="str">
        <f>IFERROR('8a'!K9/'5k'!$D9*1000, "na")</f>
        <v>na</v>
      </c>
      <c r="L9" s="143" t="str">
        <f>IFERROR('8a'!L9/'5k'!$D9*1000, "na")</f>
        <v>na</v>
      </c>
      <c r="M9" s="217" t="str">
        <f>IFERROR('8a'!M9/'5k'!$D9*1000, "na")</f>
        <v>na</v>
      </c>
    </row>
    <row r="10" spans="1:13">
      <c r="A10" s="185">
        <v>1985</v>
      </c>
      <c r="B10" s="216" t="str">
        <f>IFERROR('8a'!B10/'5k'!$B10*1000, "na")</f>
        <v>na</v>
      </c>
      <c r="C10" s="143" t="str">
        <f>IFERROR('8a'!C10/'5k'!$B10*1000, "na")</f>
        <v>na</v>
      </c>
      <c r="D10" s="143" t="str">
        <f>IFERROR('8a'!D10/'5k'!$B10*1000, "na")</f>
        <v>na</v>
      </c>
      <c r="E10" s="217" t="str">
        <f>IFERROR('8a'!E10/'5k'!$B10*1000, "na")</f>
        <v>na</v>
      </c>
      <c r="F10" s="216" t="str">
        <f>IFERROR('8a'!F10/'5k'!$C10*1000, "na")</f>
        <v>na</v>
      </c>
      <c r="G10" s="143" t="str">
        <f>IFERROR('8a'!G10/'5k'!$C10*1000, "na")</f>
        <v>na</v>
      </c>
      <c r="H10" s="143" t="str">
        <f>IFERROR('8a'!H10/'5k'!$C10*1000, "na")</f>
        <v>na</v>
      </c>
      <c r="I10" s="217" t="str">
        <f>IFERROR('8a'!I10/'5k'!$C10*1000, "na")</f>
        <v>na</v>
      </c>
      <c r="J10" s="216" t="str">
        <f>IFERROR('8a'!J10/'5k'!$D10*1000, "na")</f>
        <v>na</v>
      </c>
      <c r="K10" s="143" t="str">
        <f>IFERROR('8a'!K10/'5k'!$D10*1000, "na")</f>
        <v>na</v>
      </c>
      <c r="L10" s="143" t="str">
        <f>IFERROR('8a'!L10/'5k'!$D10*1000, "na")</f>
        <v>na</v>
      </c>
      <c r="M10" s="217" t="str">
        <f>IFERROR('8a'!M10/'5k'!$D10*1000, "na")</f>
        <v>na</v>
      </c>
    </row>
    <row r="11" spans="1:13">
      <c r="A11" s="185">
        <v>1986</v>
      </c>
      <c r="B11" s="216" t="str">
        <f>IFERROR('8a'!B11/'5k'!$B11*1000, "na")</f>
        <v>na</v>
      </c>
      <c r="C11" s="143" t="str">
        <f>IFERROR('8a'!C11/'5k'!$B11*1000, "na")</f>
        <v>na</v>
      </c>
      <c r="D11" s="143" t="str">
        <f>IFERROR('8a'!D11/'5k'!$B11*1000, "na")</f>
        <v>na</v>
      </c>
      <c r="E11" s="217" t="str">
        <f>IFERROR('8a'!E11/'5k'!$B11*1000, "na")</f>
        <v>na</v>
      </c>
      <c r="F11" s="216" t="str">
        <f>IFERROR('8a'!F11/'5k'!$C11*1000, "na")</f>
        <v>na</v>
      </c>
      <c r="G11" s="143" t="str">
        <f>IFERROR('8a'!G11/'5k'!$C11*1000, "na")</f>
        <v>na</v>
      </c>
      <c r="H11" s="143" t="str">
        <f>IFERROR('8a'!H11/'5k'!$C11*1000, "na")</f>
        <v>na</v>
      </c>
      <c r="I11" s="217" t="str">
        <f>IFERROR('8a'!I11/'5k'!$C11*1000, "na")</f>
        <v>na</v>
      </c>
      <c r="J11" s="216" t="str">
        <f>IFERROR('8a'!J11/'5k'!$D11*1000, "na")</f>
        <v>na</v>
      </c>
      <c r="K11" s="143" t="str">
        <f>IFERROR('8a'!K11/'5k'!$D11*1000, "na")</f>
        <v>na</v>
      </c>
      <c r="L11" s="143" t="str">
        <f>IFERROR('8a'!L11/'5k'!$D11*1000, "na")</f>
        <v>na</v>
      </c>
      <c r="M11" s="217" t="str">
        <f>IFERROR('8a'!M11/'5k'!$D11*1000, "na")</f>
        <v>na</v>
      </c>
    </row>
    <row r="12" spans="1:13">
      <c r="A12" s="185">
        <v>1987</v>
      </c>
      <c r="B12" s="216" t="str">
        <f>IFERROR('8a'!B12/'5k'!$B12*1000, "na")</f>
        <v>na</v>
      </c>
      <c r="C12" s="143" t="str">
        <f>IFERROR('8a'!C12/'5k'!$B12*1000, "na")</f>
        <v>na</v>
      </c>
      <c r="D12" s="143" t="str">
        <f>IFERROR('8a'!D12/'5k'!$B12*1000, "na")</f>
        <v>na</v>
      </c>
      <c r="E12" s="217" t="str">
        <f>IFERROR('8a'!E12/'5k'!$B12*1000, "na")</f>
        <v>na</v>
      </c>
      <c r="F12" s="216" t="str">
        <f>IFERROR('8a'!F12/'5k'!$C12*1000, "na")</f>
        <v>na</v>
      </c>
      <c r="G12" s="143" t="str">
        <f>IFERROR('8a'!G12/'5k'!$C12*1000, "na")</f>
        <v>na</v>
      </c>
      <c r="H12" s="143" t="str">
        <f>IFERROR('8a'!H12/'5k'!$C12*1000, "na")</f>
        <v>na</v>
      </c>
      <c r="I12" s="217" t="str">
        <f>IFERROR('8a'!I12/'5k'!$C12*1000, "na")</f>
        <v>na</v>
      </c>
      <c r="J12" s="216" t="str">
        <f>IFERROR('8a'!J12/'5k'!$D12*1000, "na")</f>
        <v>na</v>
      </c>
      <c r="K12" s="143" t="str">
        <f>IFERROR('8a'!K12/'5k'!$D12*1000, "na")</f>
        <v>na</v>
      </c>
      <c r="L12" s="143" t="str">
        <f>IFERROR('8a'!L12/'5k'!$D12*1000, "na")</f>
        <v>na</v>
      </c>
      <c r="M12" s="217" t="str">
        <f>IFERROR('8a'!M12/'5k'!$D12*1000, "na")</f>
        <v>na</v>
      </c>
    </row>
    <row r="13" spans="1:13">
      <c r="A13" s="185">
        <v>1988</v>
      </c>
      <c r="B13" s="216" t="str">
        <f>IFERROR('8a'!B13/'5k'!$B13*1000, "na")</f>
        <v>na</v>
      </c>
      <c r="C13" s="143" t="str">
        <f>IFERROR('8a'!C13/'5k'!$B13*1000, "na")</f>
        <v>na</v>
      </c>
      <c r="D13" s="143" t="str">
        <f>IFERROR('8a'!D13/'5k'!$B13*1000, "na")</f>
        <v>na</v>
      </c>
      <c r="E13" s="217" t="str">
        <f>IFERROR('8a'!E13/'5k'!$B13*1000, "na")</f>
        <v>na</v>
      </c>
      <c r="F13" s="216" t="str">
        <f>IFERROR('8a'!F13/'5k'!$C13*1000, "na")</f>
        <v>na</v>
      </c>
      <c r="G13" s="143" t="str">
        <f>IFERROR('8a'!G13/'5k'!$C13*1000, "na")</f>
        <v>na</v>
      </c>
      <c r="H13" s="143" t="str">
        <f>IFERROR('8a'!H13/'5k'!$C13*1000, "na")</f>
        <v>na</v>
      </c>
      <c r="I13" s="217" t="str">
        <f>IFERROR('8a'!I13/'5k'!$C13*1000, "na")</f>
        <v>na</v>
      </c>
      <c r="J13" s="216" t="str">
        <f>IFERROR('8a'!J13/'5k'!$D13*1000, "na")</f>
        <v>na</v>
      </c>
      <c r="K13" s="143" t="str">
        <f>IFERROR('8a'!K13/'5k'!$D13*1000, "na")</f>
        <v>na</v>
      </c>
      <c r="L13" s="143" t="str">
        <f>IFERROR('8a'!L13/'5k'!$D13*1000, "na")</f>
        <v>na</v>
      </c>
      <c r="M13" s="217" t="str">
        <f>IFERROR('8a'!M13/'5k'!$D13*1000, "na")</f>
        <v>na</v>
      </c>
    </row>
    <row r="14" spans="1:13">
      <c r="A14" s="185">
        <v>1989</v>
      </c>
      <c r="B14" s="216" t="str">
        <f>IFERROR('8a'!B14/'5k'!$B14*1000, "na")</f>
        <v>na</v>
      </c>
      <c r="C14" s="143" t="str">
        <f>IFERROR('8a'!C14/'5k'!$B14*1000, "na")</f>
        <v>na</v>
      </c>
      <c r="D14" s="143" t="str">
        <f>IFERROR('8a'!D14/'5k'!$B14*1000, "na")</f>
        <v>na</v>
      </c>
      <c r="E14" s="217" t="str">
        <f>IFERROR('8a'!E14/'5k'!$B14*1000, "na")</f>
        <v>na</v>
      </c>
      <c r="F14" s="216" t="str">
        <f>IFERROR('8a'!F14/'5k'!$C14*1000, "na")</f>
        <v>na</v>
      </c>
      <c r="G14" s="143" t="str">
        <f>IFERROR('8a'!G14/'5k'!$C14*1000, "na")</f>
        <v>na</v>
      </c>
      <c r="H14" s="143" t="str">
        <f>IFERROR('8a'!H14/'5k'!$C14*1000, "na")</f>
        <v>na</v>
      </c>
      <c r="I14" s="217" t="str">
        <f>IFERROR('8a'!I14/'5k'!$C14*1000, "na")</f>
        <v>na</v>
      </c>
      <c r="J14" s="216" t="str">
        <f>IFERROR('8a'!J14/'5k'!$D14*1000, "na")</f>
        <v>na</v>
      </c>
      <c r="K14" s="143" t="str">
        <f>IFERROR('8a'!K14/'5k'!$D14*1000, "na")</f>
        <v>na</v>
      </c>
      <c r="L14" s="143" t="str">
        <f>IFERROR('8a'!L14/'5k'!$D14*1000, "na")</f>
        <v>na</v>
      </c>
      <c r="M14" s="217" t="str">
        <f>IFERROR('8a'!M14/'5k'!$D14*1000, "na")</f>
        <v>na</v>
      </c>
    </row>
    <row r="15" spans="1:13">
      <c r="A15" s="185">
        <v>1990</v>
      </c>
      <c r="B15" s="216" t="str">
        <f>IFERROR('8a'!B15/'5k'!$B15*1000, "na")</f>
        <v>na</v>
      </c>
      <c r="C15" s="143" t="str">
        <f>IFERROR('8a'!C15/'5k'!$B15*1000, "na")</f>
        <v>na</v>
      </c>
      <c r="D15" s="143" t="str">
        <f>IFERROR('8a'!D15/'5k'!$B15*1000, "na")</f>
        <v>na</v>
      </c>
      <c r="E15" s="217" t="str">
        <f>IFERROR('8a'!E15/'5k'!$B15*1000, "na")</f>
        <v>na</v>
      </c>
      <c r="F15" s="216" t="str">
        <f>IFERROR('8a'!F15/'5k'!$C15*1000, "na")</f>
        <v>na</v>
      </c>
      <c r="G15" s="143" t="str">
        <f>IFERROR('8a'!G15/'5k'!$C15*1000, "na")</f>
        <v>na</v>
      </c>
      <c r="H15" s="143" t="str">
        <f>IFERROR('8a'!H15/'5k'!$C15*1000, "na")</f>
        <v>na</v>
      </c>
      <c r="I15" s="217" t="str">
        <f>IFERROR('8a'!I15/'5k'!$C15*1000, "na")</f>
        <v>na</v>
      </c>
      <c r="J15" s="216" t="str">
        <f>IFERROR('8a'!J15/'5k'!$D15*1000, "na")</f>
        <v>na</v>
      </c>
      <c r="K15" s="143" t="str">
        <f>IFERROR('8a'!K15/'5k'!$D15*1000, "na")</f>
        <v>na</v>
      </c>
      <c r="L15" s="143" t="str">
        <f>IFERROR('8a'!L15/'5k'!$D15*1000, "na")</f>
        <v>na</v>
      </c>
      <c r="M15" s="217" t="str">
        <f>IFERROR('8a'!M15/'5k'!$D15*1000, "na")</f>
        <v>na</v>
      </c>
    </row>
    <row r="16" spans="1:13">
      <c r="A16" s="185">
        <v>1991</v>
      </c>
      <c r="B16" s="216" t="str">
        <f>IFERROR('8a'!B16/'5k'!$B16*1000, "na")</f>
        <v>na</v>
      </c>
      <c r="C16" s="143" t="str">
        <f>IFERROR('8a'!C16/'5k'!$B16*1000, "na")</f>
        <v>na</v>
      </c>
      <c r="D16" s="143" t="str">
        <f>IFERROR('8a'!D16/'5k'!$B16*1000, "na")</f>
        <v>na</v>
      </c>
      <c r="E16" s="217" t="str">
        <f>IFERROR('8a'!E16/'5k'!$B16*1000, "na")</f>
        <v>na</v>
      </c>
      <c r="F16" s="216" t="str">
        <f>IFERROR('8a'!F16/'5k'!$C16*1000, "na")</f>
        <v>na</v>
      </c>
      <c r="G16" s="143" t="str">
        <f>IFERROR('8a'!G16/'5k'!$C16*1000, "na")</f>
        <v>na</v>
      </c>
      <c r="H16" s="143" t="str">
        <f>IFERROR('8a'!H16/'5k'!$C16*1000, "na")</f>
        <v>na</v>
      </c>
      <c r="I16" s="217" t="str">
        <f>IFERROR('8a'!I16/'5k'!$C16*1000, "na")</f>
        <v>na</v>
      </c>
      <c r="J16" s="216" t="str">
        <f>IFERROR('8a'!J16/'5k'!$D16*1000, "na")</f>
        <v>na</v>
      </c>
      <c r="K16" s="143" t="str">
        <f>IFERROR('8a'!K16/'5k'!$D16*1000, "na")</f>
        <v>na</v>
      </c>
      <c r="L16" s="143" t="str">
        <f>IFERROR('8a'!L16/'5k'!$D16*1000, "na")</f>
        <v>na</v>
      </c>
      <c r="M16" s="217" t="str">
        <f>IFERROR('8a'!M16/'5k'!$D16*1000, "na")</f>
        <v>na</v>
      </c>
    </row>
    <row r="17" spans="1:13">
      <c r="A17" s="185">
        <v>1992</v>
      </c>
      <c r="B17" s="216" t="str">
        <f>IFERROR('8a'!B17/'5k'!$B17*1000, "na")</f>
        <v>na</v>
      </c>
      <c r="C17" s="143" t="str">
        <f>IFERROR('8a'!C17/'5k'!$B17*1000, "na")</f>
        <v>na</v>
      </c>
      <c r="D17" s="143" t="str">
        <f>IFERROR('8a'!D17/'5k'!$B17*1000, "na")</f>
        <v>na</v>
      </c>
      <c r="E17" s="217" t="str">
        <f>IFERROR('8a'!E17/'5k'!$B17*1000, "na")</f>
        <v>na</v>
      </c>
      <c r="F17" s="216" t="str">
        <f>IFERROR('8a'!F17/'5k'!$C17*1000, "na")</f>
        <v>na</v>
      </c>
      <c r="G17" s="143" t="str">
        <f>IFERROR('8a'!G17/'5k'!$C17*1000, "na")</f>
        <v>na</v>
      </c>
      <c r="H17" s="143" t="str">
        <f>IFERROR('8a'!H17/'5k'!$C17*1000, "na")</f>
        <v>na</v>
      </c>
      <c r="I17" s="217" t="str">
        <f>IFERROR('8a'!I17/'5k'!$C17*1000, "na")</f>
        <v>na</v>
      </c>
      <c r="J17" s="216" t="str">
        <f>IFERROR('8a'!J17/'5k'!$D17*1000, "na")</f>
        <v>na</v>
      </c>
      <c r="K17" s="143" t="str">
        <f>IFERROR('8a'!K17/'5k'!$D17*1000, "na")</f>
        <v>na</v>
      </c>
      <c r="L17" s="143" t="str">
        <f>IFERROR('8a'!L17/'5k'!$D17*1000, "na")</f>
        <v>na</v>
      </c>
      <c r="M17" s="217" t="str">
        <f>IFERROR('8a'!M17/'5k'!$D17*1000, "na")</f>
        <v>na</v>
      </c>
    </row>
    <row r="18" spans="1:13">
      <c r="A18" s="185">
        <v>1993</v>
      </c>
      <c r="B18" s="216" t="str">
        <f>IFERROR('8a'!B18/'5k'!$B18*1000, "na")</f>
        <v>na</v>
      </c>
      <c r="C18" s="143" t="str">
        <f>IFERROR('8a'!C18/'5k'!$B18*1000, "na")</f>
        <v>na</v>
      </c>
      <c r="D18" s="143" t="str">
        <f>IFERROR('8a'!D18/'5k'!$B18*1000, "na")</f>
        <v>na</v>
      </c>
      <c r="E18" s="217" t="str">
        <f>IFERROR('8a'!E18/'5k'!$B18*1000, "na")</f>
        <v>na</v>
      </c>
      <c r="F18" s="216" t="str">
        <f>IFERROR('8a'!F18/'5k'!$C18*1000, "na")</f>
        <v>na</v>
      </c>
      <c r="G18" s="143" t="str">
        <f>IFERROR('8a'!G18/'5k'!$C18*1000, "na")</f>
        <v>na</v>
      </c>
      <c r="H18" s="143" t="str">
        <f>IFERROR('8a'!H18/'5k'!$C18*1000, "na")</f>
        <v>na</v>
      </c>
      <c r="I18" s="217" t="str">
        <f>IFERROR('8a'!I18/'5k'!$C18*1000, "na")</f>
        <v>na</v>
      </c>
      <c r="J18" s="216" t="str">
        <f>IFERROR('8a'!J18/'5k'!$D18*1000, "na")</f>
        <v>na</v>
      </c>
      <c r="K18" s="143" t="str">
        <f>IFERROR('8a'!K18/'5k'!$D18*1000, "na")</f>
        <v>na</v>
      </c>
      <c r="L18" s="143" t="str">
        <f>IFERROR('8a'!L18/'5k'!$D18*1000, "na")</f>
        <v>na</v>
      </c>
      <c r="M18" s="217" t="str">
        <f>IFERROR('8a'!M18/'5k'!$D18*1000, "na")</f>
        <v>na</v>
      </c>
    </row>
    <row r="19" spans="1:13">
      <c r="A19" s="185">
        <v>1994</v>
      </c>
      <c r="B19" s="216" t="str">
        <f>IFERROR('8a'!B19/'5k'!$B19*1000, "na")</f>
        <v>na</v>
      </c>
      <c r="C19" s="143" t="str">
        <f>IFERROR('8a'!C19/'5k'!$B19*1000, "na")</f>
        <v>na</v>
      </c>
      <c r="D19" s="143" t="str">
        <f>IFERROR('8a'!D19/'5k'!$B19*1000, "na")</f>
        <v>na</v>
      </c>
      <c r="E19" s="217" t="str">
        <f>IFERROR('8a'!E19/'5k'!$B19*1000, "na")</f>
        <v>na</v>
      </c>
      <c r="F19" s="216" t="str">
        <f>IFERROR('8a'!F19/'5k'!$C19*1000, "na")</f>
        <v>na</v>
      </c>
      <c r="G19" s="143" t="str">
        <f>IFERROR('8a'!G19/'5k'!$C19*1000, "na")</f>
        <v>na</v>
      </c>
      <c r="H19" s="143" t="str">
        <f>IFERROR('8a'!H19/'5k'!$C19*1000, "na")</f>
        <v>na</v>
      </c>
      <c r="I19" s="217" t="str">
        <f>IFERROR('8a'!I19/'5k'!$C19*1000, "na")</f>
        <v>na</v>
      </c>
      <c r="J19" s="216" t="str">
        <f>IFERROR('8a'!J19/'5k'!$D19*1000, "na")</f>
        <v>na</v>
      </c>
      <c r="K19" s="143" t="str">
        <f>IFERROR('8a'!K19/'5k'!$D19*1000, "na")</f>
        <v>na</v>
      </c>
      <c r="L19" s="143" t="str">
        <f>IFERROR('8a'!L19/'5k'!$D19*1000, "na")</f>
        <v>na</v>
      </c>
      <c r="M19" s="217" t="str">
        <f>IFERROR('8a'!M19/'5k'!$D19*1000, "na")</f>
        <v>na</v>
      </c>
    </row>
    <row r="20" spans="1:13">
      <c r="A20" s="185">
        <v>1995</v>
      </c>
      <c r="B20" s="216" t="str">
        <f>IFERROR('8a'!B20/'5k'!$B20*1000, "na")</f>
        <v>na</v>
      </c>
      <c r="C20" s="143" t="str">
        <f>IFERROR('8a'!C20/'5k'!$B20*1000, "na")</f>
        <v>na</v>
      </c>
      <c r="D20" s="143" t="str">
        <f>IFERROR('8a'!D20/'5k'!$B20*1000, "na")</f>
        <v>na</v>
      </c>
      <c r="E20" s="217" t="str">
        <f>IFERROR('8a'!E20/'5k'!$B20*1000, "na")</f>
        <v>na</v>
      </c>
      <c r="F20" s="216" t="str">
        <f>IFERROR('8a'!F20/'5k'!$C20*1000, "na")</f>
        <v>na</v>
      </c>
      <c r="G20" s="143" t="str">
        <f>IFERROR('8a'!G20/'5k'!$C20*1000, "na")</f>
        <v>na</v>
      </c>
      <c r="H20" s="143" t="str">
        <f>IFERROR('8a'!H20/'5k'!$C20*1000, "na")</f>
        <v>na</v>
      </c>
      <c r="I20" s="217" t="str">
        <f>IFERROR('8a'!I20/'5k'!$C20*1000, "na")</f>
        <v>na</v>
      </c>
      <c r="J20" s="216" t="str">
        <f>IFERROR('8a'!J20/'5k'!$D20*1000, "na")</f>
        <v>na</v>
      </c>
      <c r="K20" s="143" t="str">
        <f>IFERROR('8a'!K20/'5k'!$D20*1000, "na")</f>
        <v>na</v>
      </c>
      <c r="L20" s="143" t="str">
        <f>IFERROR('8a'!L20/'5k'!$D20*1000, "na")</f>
        <v>na</v>
      </c>
      <c r="M20" s="217" t="str">
        <f>IFERROR('8a'!M20/'5k'!$D20*1000, "na")</f>
        <v>na</v>
      </c>
    </row>
    <row r="21" spans="1:13">
      <c r="A21" s="185">
        <v>1996</v>
      </c>
      <c r="B21" s="216" t="str">
        <f>IFERROR('8a'!B21/'5k'!$B21*1000, "na")</f>
        <v>na</v>
      </c>
      <c r="C21" s="143" t="str">
        <f>IFERROR('8a'!C21/'5k'!$B21*1000, "na")</f>
        <v>na</v>
      </c>
      <c r="D21" s="143" t="str">
        <f>IFERROR('8a'!D21/'5k'!$B21*1000, "na")</f>
        <v>na</v>
      </c>
      <c r="E21" s="217" t="str">
        <f>IFERROR('8a'!E21/'5k'!$B21*1000, "na")</f>
        <v>na</v>
      </c>
      <c r="F21" s="216" t="str">
        <f>IFERROR('8a'!F21/'5k'!$C21*1000, "na")</f>
        <v>na</v>
      </c>
      <c r="G21" s="143" t="str">
        <f>IFERROR('8a'!G21/'5k'!$C21*1000, "na")</f>
        <v>na</v>
      </c>
      <c r="H21" s="143" t="str">
        <f>IFERROR('8a'!H21/'5k'!$C21*1000, "na")</f>
        <v>na</v>
      </c>
      <c r="I21" s="217" t="str">
        <f>IFERROR('8a'!I21/'5k'!$C21*1000, "na")</f>
        <v>na</v>
      </c>
      <c r="J21" s="216" t="str">
        <f>IFERROR('8a'!J21/'5k'!$D21*1000, "na")</f>
        <v>na</v>
      </c>
      <c r="K21" s="143" t="str">
        <f>IFERROR('8a'!K21/'5k'!$D21*1000, "na")</f>
        <v>na</v>
      </c>
      <c r="L21" s="143" t="str">
        <f>IFERROR('8a'!L21/'5k'!$D21*1000, "na")</f>
        <v>na</v>
      </c>
      <c r="M21" s="217" t="str">
        <f>IFERROR('8a'!M21/'5k'!$D21*1000, "na")</f>
        <v>na</v>
      </c>
    </row>
    <row r="22" spans="1:13">
      <c r="A22" s="185">
        <v>1997</v>
      </c>
      <c r="B22" s="216" t="str">
        <f>IFERROR('8a'!B22/'5k'!$B22*1000, "na")</f>
        <v>na</v>
      </c>
      <c r="C22" s="143" t="str">
        <f>IFERROR('8a'!C22/'5k'!$B22*1000, "na")</f>
        <v>na</v>
      </c>
      <c r="D22" s="143" t="str">
        <f>IFERROR('8a'!D22/'5k'!$B22*1000, "na")</f>
        <v>na</v>
      </c>
      <c r="E22" s="217" t="str">
        <f>IFERROR('8a'!E22/'5k'!$B22*1000, "na")</f>
        <v>na</v>
      </c>
      <c r="F22" s="216" t="str">
        <f>IFERROR('8a'!F22/'5k'!$C22*1000, "na")</f>
        <v>na</v>
      </c>
      <c r="G22" s="143" t="str">
        <f>IFERROR('8a'!G22/'5k'!$C22*1000, "na")</f>
        <v>na</v>
      </c>
      <c r="H22" s="143" t="str">
        <f>IFERROR('8a'!H22/'5k'!$C22*1000, "na")</f>
        <v>na</v>
      </c>
      <c r="I22" s="217" t="str">
        <f>IFERROR('8a'!I22/'5k'!$C22*1000, "na")</f>
        <v>na</v>
      </c>
      <c r="J22" s="216" t="str">
        <f>IFERROR('8a'!J22/'5k'!$D22*1000, "na")</f>
        <v>na</v>
      </c>
      <c r="K22" s="143" t="str">
        <f>IFERROR('8a'!K22/'5k'!$D22*1000, "na")</f>
        <v>na</v>
      </c>
      <c r="L22" s="143" t="str">
        <f>IFERROR('8a'!L22/'5k'!$D22*1000, "na")</f>
        <v>na</v>
      </c>
      <c r="M22" s="217" t="str">
        <f>IFERROR('8a'!M22/'5k'!$D22*1000, "na")</f>
        <v>na</v>
      </c>
    </row>
    <row r="23" spans="1:13">
      <c r="A23" s="185">
        <v>1998</v>
      </c>
      <c r="B23" s="216" t="str">
        <f>IFERROR('8a'!B23/'5k'!$B23*1000, "na")</f>
        <v>na</v>
      </c>
      <c r="C23" s="143" t="str">
        <f>IFERROR('8a'!C23/'5k'!$B23*1000, "na")</f>
        <v>na</v>
      </c>
      <c r="D23" s="143" t="str">
        <f>IFERROR('8a'!D23/'5k'!$B23*1000, "na")</f>
        <v>na</v>
      </c>
      <c r="E23" s="217" t="str">
        <f>IFERROR('8a'!E23/'5k'!$B23*1000, "na")</f>
        <v>na</v>
      </c>
      <c r="F23" s="216" t="str">
        <f>IFERROR('8a'!F23/'5k'!$C23*1000, "na")</f>
        <v>na</v>
      </c>
      <c r="G23" s="143" t="str">
        <f>IFERROR('8a'!G23/'5k'!$C23*1000, "na")</f>
        <v>na</v>
      </c>
      <c r="H23" s="143" t="str">
        <f>IFERROR('8a'!H23/'5k'!$C23*1000, "na")</f>
        <v>na</v>
      </c>
      <c r="I23" s="217" t="str">
        <f>IFERROR('8a'!I23/'5k'!$C23*1000, "na")</f>
        <v>na</v>
      </c>
      <c r="J23" s="216" t="str">
        <f>IFERROR('8a'!J23/'5k'!$D23*1000, "na")</f>
        <v>na</v>
      </c>
      <c r="K23" s="143" t="str">
        <f>IFERROR('8a'!K23/'5k'!$D23*1000, "na")</f>
        <v>na</v>
      </c>
      <c r="L23" s="143" t="str">
        <f>IFERROR('8a'!L23/'5k'!$D23*1000, "na")</f>
        <v>na</v>
      </c>
      <c r="M23" s="217" t="str">
        <f>IFERROR('8a'!M23/'5k'!$D23*1000, "na")</f>
        <v>na</v>
      </c>
    </row>
    <row r="24" spans="1:13">
      <c r="A24" s="185">
        <v>1999</v>
      </c>
      <c r="B24" s="216" t="str">
        <f>IFERROR('8a'!B24/'5k'!$B24*1000, "na")</f>
        <v>na</v>
      </c>
      <c r="C24" s="143" t="str">
        <f>IFERROR('8a'!C24/'5k'!$B24*1000, "na")</f>
        <v>na</v>
      </c>
      <c r="D24" s="143" t="str">
        <f>IFERROR('8a'!D24/'5k'!$B24*1000, "na")</f>
        <v>na</v>
      </c>
      <c r="E24" s="217" t="str">
        <f>IFERROR('8a'!E24/'5k'!$B24*1000, "na")</f>
        <v>na</v>
      </c>
      <c r="F24" s="216" t="str">
        <f>IFERROR('8a'!F24/'5k'!$C24*1000, "na")</f>
        <v>na</v>
      </c>
      <c r="G24" s="143" t="str">
        <f>IFERROR('8a'!G24/'5k'!$C24*1000, "na")</f>
        <v>na</v>
      </c>
      <c r="H24" s="143" t="str">
        <f>IFERROR('8a'!H24/'5k'!$C24*1000, "na")</f>
        <v>na</v>
      </c>
      <c r="I24" s="217" t="str">
        <f>IFERROR('8a'!I24/'5k'!$C24*1000, "na")</f>
        <v>na</v>
      </c>
      <c r="J24" s="216" t="str">
        <f>IFERROR('8a'!J24/'5k'!$D24*1000, "na")</f>
        <v>na</v>
      </c>
      <c r="K24" s="143" t="str">
        <f>IFERROR('8a'!K24/'5k'!$D24*1000, "na")</f>
        <v>na</v>
      </c>
      <c r="L24" s="143" t="str">
        <f>IFERROR('8a'!L24/'5k'!$D24*1000, "na")</f>
        <v>na</v>
      </c>
      <c r="M24" s="217" t="str">
        <f>IFERROR('8a'!M24/'5k'!$D24*1000, "na")</f>
        <v>na</v>
      </c>
    </row>
    <row r="25" spans="1:13">
      <c r="A25" s="185">
        <v>2000</v>
      </c>
      <c r="B25" s="216" t="str">
        <f>IFERROR('8a'!B25/'5k'!$B25*1000, "na")</f>
        <v>na</v>
      </c>
      <c r="C25" s="143" t="str">
        <f>IFERROR('8a'!C25/'5k'!$B25*1000, "na")</f>
        <v>na</v>
      </c>
      <c r="D25" s="143" t="str">
        <f>IFERROR('8a'!D25/'5k'!$B25*1000, "na")</f>
        <v>na</v>
      </c>
      <c r="E25" s="217" t="str">
        <f>IFERROR('8a'!E25/'5k'!$B25*1000, "na")</f>
        <v>na</v>
      </c>
      <c r="F25" s="216" t="str">
        <f>IFERROR('8a'!F25/'5k'!$C25*1000, "na")</f>
        <v>na</v>
      </c>
      <c r="G25" s="143" t="str">
        <f>IFERROR('8a'!G25/'5k'!$C25*1000, "na")</f>
        <v>na</v>
      </c>
      <c r="H25" s="143" t="str">
        <f>IFERROR('8a'!H25/'5k'!$C25*1000, "na")</f>
        <v>na</v>
      </c>
      <c r="I25" s="217" t="str">
        <f>IFERROR('8a'!I25/'5k'!$C25*1000, "na")</f>
        <v>na</v>
      </c>
      <c r="J25" s="216" t="str">
        <f>IFERROR('8a'!J25/'5k'!$D25*1000, "na")</f>
        <v>na</v>
      </c>
      <c r="K25" s="143" t="str">
        <f>IFERROR('8a'!K25/'5k'!$D25*1000, "na")</f>
        <v>na</v>
      </c>
      <c r="L25" s="143" t="str">
        <f>IFERROR('8a'!L25/'5k'!$D25*1000, "na")</f>
        <v>na</v>
      </c>
      <c r="M25" s="217" t="str">
        <f>IFERROR('8a'!M25/'5k'!$D25*1000, "na")</f>
        <v>na</v>
      </c>
    </row>
    <row r="26" spans="1:13">
      <c r="A26" s="185">
        <v>2001</v>
      </c>
      <c r="B26" s="216" t="str">
        <f>IFERROR('8a'!B26/'5k'!$B26*1000, "na")</f>
        <v>na</v>
      </c>
      <c r="C26" s="143" t="str">
        <f>IFERROR('8a'!C26/'5k'!$B26*1000, "na")</f>
        <v>na</v>
      </c>
      <c r="D26" s="143" t="str">
        <f>IFERROR('8a'!D26/'5k'!$B26*1000, "na")</f>
        <v>na</v>
      </c>
      <c r="E26" s="217" t="str">
        <f>IFERROR('8a'!E26/'5k'!$B26*1000, "na")</f>
        <v>na</v>
      </c>
      <c r="F26" s="216" t="str">
        <f>IFERROR('8a'!F26/'5k'!$C26*1000, "na")</f>
        <v>na</v>
      </c>
      <c r="G26" s="143" t="str">
        <f>IFERROR('8a'!G26/'5k'!$C26*1000, "na")</f>
        <v>na</v>
      </c>
      <c r="H26" s="143" t="str">
        <f>IFERROR('8a'!H26/'5k'!$C26*1000, "na")</f>
        <v>na</v>
      </c>
      <c r="I26" s="217" t="str">
        <f>IFERROR('8a'!I26/'5k'!$C26*1000, "na")</f>
        <v>na</v>
      </c>
      <c r="J26" s="216" t="str">
        <f>IFERROR('8a'!J26/'5k'!$D26*1000, "na")</f>
        <v>na</v>
      </c>
      <c r="K26" s="143" t="str">
        <f>IFERROR('8a'!K26/'5k'!$D26*1000, "na")</f>
        <v>na</v>
      </c>
      <c r="L26" s="143" t="str">
        <f>IFERROR('8a'!L26/'5k'!$D26*1000, "na")</f>
        <v>na</v>
      </c>
      <c r="M26" s="217" t="str">
        <f>IFERROR('8a'!M26/'5k'!$D26*1000, "na")</f>
        <v>na</v>
      </c>
    </row>
    <row r="27" spans="1:13">
      <c r="A27" s="185">
        <v>2002</v>
      </c>
      <c r="B27" s="216" t="str">
        <f>IFERROR('8a'!B27/'5k'!$B27*1000, "na")</f>
        <v>na</v>
      </c>
      <c r="C27" s="143" t="str">
        <f>IFERROR('8a'!C27/'5k'!$B27*1000, "na")</f>
        <v>na</v>
      </c>
      <c r="D27" s="143" t="str">
        <f>IFERROR('8a'!D27/'5k'!$B27*1000, "na")</f>
        <v>na</v>
      </c>
      <c r="E27" s="217" t="str">
        <f>IFERROR('8a'!E27/'5k'!$B27*1000, "na")</f>
        <v>na</v>
      </c>
      <c r="F27" s="216" t="str">
        <f>IFERROR('8a'!F27/'5k'!$C27*1000, "na")</f>
        <v>na</v>
      </c>
      <c r="G27" s="143" t="str">
        <f>IFERROR('8a'!G27/'5k'!$C27*1000, "na")</f>
        <v>na</v>
      </c>
      <c r="H27" s="143" t="str">
        <f>IFERROR('8a'!H27/'5k'!$C27*1000, "na")</f>
        <v>na</v>
      </c>
      <c r="I27" s="217" t="str">
        <f>IFERROR('8a'!I27/'5k'!$C27*1000, "na")</f>
        <v>na</v>
      </c>
      <c r="J27" s="216" t="str">
        <f>IFERROR('8a'!J27/'5k'!$D27*1000, "na")</f>
        <v>na</v>
      </c>
      <c r="K27" s="143" t="str">
        <f>IFERROR('8a'!K27/'5k'!$D27*1000, "na")</f>
        <v>na</v>
      </c>
      <c r="L27" s="143" t="str">
        <f>IFERROR('8a'!L27/'5k'!$D27*1000, "na")</f>
        <v>na</v>
      </c>
      <c r="M27" s="217" t="str">
        <f>IFERROR('8a'!M27/'5k'!$D27*1000, "na")</f>
        <v>na</v>
      </c>
    </row>
    <row r="28" spans="1:13">
      <c r="A28" s="185">
        <v>2003</v>
      </c>
      <c r="B28" s="216" t="str">
        <f>IFERROR('8a'!B28/'5k'!$B28*1000, "na")</f>
        <v>na</v>
      </c>
      <c r="C28" s="143" t="str">
        <f>IFERROR('8a'!C28/'5k'!$B28*1000, "na")</f>
        <v>na</v>
      </c>
      <c r="D28" s="143" t="str">
        <f>IFERROR('8a'!D28/'5k'!$B28*1000, "na")</f>
        <v>na</v>
      </c>
      <c r="E28" s="217" t="str">
        <f>IFERROR('8a'!E28/'5k'!$B28*1000, "na")</f>
        <v>na</v>
      </c>
      <c r="F28" s="216" t="str">
        <f>IFERROR('8a'!F28/'5k'!$C28*1000, "na")</f>
        <v>na</v>
      </c>
      <c r="G28" s="143" t="str">
        <f>IFERROR('8a'!G28/'5k'!$C28*1000, "na")</f>
        <v>na</v>
      </c>
      <c r="H28" s="143" t="str">
        <f>IFERROR('8a'!H28/'5k'!$C28*1000, "na")</f>
        <v>na</v>
      </c>
      <c r="I28" s="217" t="str">
        <f>IFERROR('8a'!I28/'5k'!$C28*1000, "na")</f>
        <v>na</v>
      </c>
      <c r="J28" s="216" t="str">
        <f>IFERROR('8a'!J28/'5k'!$D28*1000, "na")</f>
        <v>na</v>
      </c>
      <c r="K28" s="143" t="str">
        <f>IFERROR('8a'!K28/'5k'!$D28*1000, "na")</f>
        <v>na</v>
      </c>
      <c r="L28" s="143" t="str">
        <f>IFERROR('8a'!L28/'5k'!$D28*1000, "na")</f>
        <v>na</v>
      </c>
      <c r="M28" s="217" t="str">
        <f>IFERROR('8a'!M28/'5k'!$D28*1000, "na")</f>
        <v>na</v>
      </c>
    </row>
    <row r="29" spans="1:13">
      <c r="A29" s="185">
        <v>2004</v>
      </c>
      <c r="B29" s="216" t="str">
        <f>IFERROR('8a'!B29/'5k'!$B29*1000, "na")</f>
        <v>na</v>
      </c>
      <c r="C29" s="143" t="str">
        <f>IFERROR('8a'!C29/'5k'!$B29*1000, "na")</f>
        <v>na</v>
      </c>
      <c r="D29" s="143" t="str">
        <f>IFERROR('8a'!D29/'5k'!$B29*1000, "na")</f>
        <v>na</v>
      </c>
      <c r="E29" s="217" t="str">
        <f>IFERROR('8a'!E29/'5k'!$B29*1000, "na")</f>
        <v>na</v>
      </c>
      <c r="F29" s="216" t="str">
        <f>IFERROR('8a'!F29/'5k'!$C29*1000, "na")</f>
        <v>na</v>
      </c>
      <c r="G29" s="143" t="str">
        <f>IFERROR('8a'!G29/'5k'!$C29*1000, "na")</f>
        <v>na</v>
      </c>
      <c r="H29" s="143" t="str">
        <f>IFERROR('8a'!H29/'5k'!$C29*1000, "na")</f>
        <v>na</v>
      </c>
      <c r="I29" s="217" t="str">
        <f>IFERROR('8a'!I29/'5k'!$C29*1000, "na")</f>
        <v>na</v>
      </c>
      <c r="J29" s="216" t="str">
        <f>IFERROR('8a'!J29/'5k'!$D29*1000, "na")</f>
        <v>na</v>
      </c>
      <c r="K29" s="143" t="str">
        <f>IFERROR('8a'!K29/'5k'!$D29*1000, "na")</f>
        <v>na</v>
      </c>
      <c r="L29" s="143" t="str">
        <f>IFERROR('8a'!L29/'5k'!$D29*1000, "na")</f>
        <v>na</v>
      </c>
      <c r="M29" s="217" t="str">
        <f>IFERROR('8a'!M29/'5k'!$D29*1000, "na")</f>
        <v>na</v>
      </c>
    </row>
    <row r="30" spans="1:13">
      <c r="A30" s="185">
        <v>2005</v>
      </c>
      <c r="B30" s="216" t="str">
        <f>IFERROR('8a'!B30/'5k'!$B30*1000, "na")</f>
        <v>na</v>
      </c>
      <c r="C30" s="143" t="str">
        <f>IFERROR('8a'!C30/'5k'!$B30*1000, "na")</f>
        <v>na</v>
      </c>
      <c r="D30" s="143" t="str">
        <f>IFERROR('8a'!D30/'5k'!$B30*1000, "na")</f>
        <v>na</v>
      </c>
      <c r="E30" s="217" t="str">
        <f>IFERROR('8a'!E30/'5k'!$B30*1000, "na")</f>
        <v>na</v>
      </c>
      <c r="F30" s="216" t="str">
        <f>IFERROR('8a'!F30/'5k'!$C30*1000, "na")</f>
        <v>na</v>
      </c>
      <c r="G30" s="143" t="str">
        <f>IFERROR('8a'!G30/'5k'!$C30*1000, "na")</f>
        <v>na</v>
      </c>
      <c r="H30" s="143" t="str">
        <f>IFERROR('8a'!H30/'5k'!$C30*1000, "na")</f>
        <v>na</v>
      </c>
      <c r="I30" s="217" t="str">
        <f>IFERROR('8a'!I30/'5k'!$C30*1000, "na")</f>
        <v>na</v>
      </c>
      <c r="J30" s="216" t="str">
        <f>IFERROR('8a'!J30/'5k'!$D30*1000, "na")</f>
        <v>na</v>
      </c>
      <c r="K30" s="143" t="str">
        <f>IFERROR('8a'!K30/'5k'!$D30*1000, "na")</f>
        <v>na</v>
      </c>
      <c r="L30" s="143" t="str">
        <f>IFERROR('8a'!L30/'5k'!$D30*1000, "na")</f>
        <v>na</v>
      </c>
      <c r="M30" s="217" t="str">
        <f>IFERROR('8a'!M30/'5k'!$D30*1000, "na")</f>
        <v>na</v>
      </c>
    </row>
    <row r="31" spans="1:13">
      <c r="A31" s="185">
        <v>2006</v>
      </c>
      <c r="B31" s="216" t="str">
        <f>IFERROR('8a'!B31/'5k'!$B31*1000, "na")</f>
        <v>na</v>
      </c>
      <c r="C31" s="143" t="str">
        <f>IFERROR('8a'!C31/'5k'!$B31*1000, "na")</f>
        <v>na</v>
      </c>
      <c r="D31" s="143" t="str">
        <f>IFERROR('8a'!D31/'5k'!$B31*1000, "na")</f>
        <v>na</v>
      </c>
      <c r="E31" s="217" t="str">
        <f>IFERROR('8a'!E31/'5k'!$B31*1000, "na")</f>
        <v>na</v>
      </c>
      <c r="F31" s="216" t="str">
        <f>IFERROR('8a'!F31/'5k'!$C31*1000, "na")</f>
        <v>na</v>
      </c>
      <c r="G31" s="143" t="str">
        <f>IFERROR('8a'!G31/'5k'!$C31*1000, "na")</f>
        <v>na</v>
      </c>
      <c r="H31" s="143" t="str">
        <f>IFERROR('8a'!H31/'5k'!$C31*1000, "na")</f>
        <v>na</v>
      </c>
      <c r="I31" s="217" t="str">
        <f>IFERROR('8a'!I31/'5k'!$C31*1000, "na")</f>
        <v>na</v>
      </c>
      <c r="J31" s="216" t="str">
        <f>IFERROR('8a'!J31/'5k'!$D31*1000, "na")</f>
        <v>na</v>
      </c>
      <c r="K31" s="143" t="str">
        <f>IFERROR('8a'!K31/'5k'!$D31*1000, "na")</f>
        <v>na</v>
      </c>
      <c r="L31" s="143" t="str">
        <f>IFERROR('8a'!L31/'5k'!$D31*1000, "na")</f>
        <v>na</v>
      </c>
      <c r="M31" s="217" t="str">
        <f>IFERROR('8a'!M31/'5k'!$D31*1000, "na")</f>
        <v>na</v>
      </c>
    </row>
    <row r="32" spans="1:13">
      <c r="A32" s="185">
        <v>2007</v>
      </c>
      <c r="B32" s="216">
        <f>IFERROR('8a'!B32/'5k'!$B32*1000, "na")</f>
        <v>0.61034510025921485</v>
      </c>
      <c r="C32" s="143">
        <f>IFERROR('8a'!C32/'5k'!$B32*1000, "na")</f>
        <v>1.070967155015613</v>
      </c>
      <c r="D32" s="143">
        <f>IFERROR('8a'!D32/'5k'!$B32*1000, "na")</f>
        <v>25.189557119377344</v>
      </c>
      <c r="E32" s="217">
        <f>IFERROR('8a'!E32/'5k'!$B32*1000, "na")</f>
        <v>26.87086937465217</v>
      </c>
      <c r="F32" s="216" t="str">
        <f>IFERROR('8a'!F32/'5k'!$C32*1000, "na")</f>
        <v>na</v>
      </c>
      <c r="G32" s="143" t="str">
        <f>IFERROR('8a'!G32/'5k'!$C32*1000, "na")</f>
        <v>na</v>
      </c>
      <c r="H32" s="143" t="str">
        <f>IFERROR('8a'!H32/'5k'!$C32*1000, "na")</f>
        <v>na</v>
      </c>
      <c r="I32" s="217" t="str">
        <f>IFERROR('8a'!I32/'5k'!$C32*1000, "na")</f>
        <v>na</v>
      </c>
      <c r="J32" s="216">
        <f>IFERROR('8a'!J32/'5k'!$D32*1000, "na")</f>
        <v>1.3331987473577709</v>
      </c>
      <c r="K32" s="143">
        <f>IFERROR('8a'!K32/'5k'!$D32*1000, "na")</f>
        <v>3.1096555774632977</v>
      </c>
      <c r="L32" s="143">
        <f>IFERROR('8a'!L32/'5k'!$D32*1000, "na")</f>
        <v>3.3761048993299063</v>
      </c>
      <c r="M32" s="217">
        <f>IFERROR('8a'!M32/'5k'!$D32*1000, "na")</f>
        <v>7.8189592241509738</v>
      </c>
    </row>
    <row r="33" spans="1:13">
      <c r="A33" s="185">
        <v>2008</v>
      </c>
      <c r="B33" s="216">
        <f>IFERROR('8a'!B33/'5k'!$B33*1000, "na")</f>
        <v>0.75380591615261039</v>
      </c>
      <c r="C33" s="143">
        <f>IFERROR('8a'!C33/'5k'!$B33*1000, "na")</f>
        <v>1.1091019194276683</v>
      </c>
      <c r="D33" s="143">
        <f>IFERROR('8a'!D33/'5k'!$B33*1000, "na")</f>
        <v>25.052843705221814</v>
      </c>
      <c r="E33" s="217">
        <f>IFERROR('8a'!E33/'5k'!$B33*1000, "na")</f>
        <v>26.915751540802091</v>
      </c>
      <c r="F33" s="216" t="str">
        <f>IFERROR('8a'!F33/'5k'!$C33*1000, "na")</f>
        <v>na</v>
      </c>
      <c r="G33" s="143" t="str">
        <f>IFERROR('8a'!G33/'5k'!$C33*1000, "na")</f>
        <v>na</v>
      </c>
      <c r="H33" s="143" t="str">
        <f>IFERROR('8a'!H33/'5k'!$C33*1000, "na")</f>
        <v>na</v>
      </c>
      <c r="I33" s="217" t="str">
        <f>IFERROR('8a'!I33/'5k'!$C33*1000, "na")</f>
        <v>na</v>
      </c>
      <c r="J33" s="216">
        <f>IFERROR('8a'!J33/'5k'!$D33*1000, "na")</f>
        <v>1.5245530957359748</v>
      </c>
      <c r="K33" s="143">
        <f>IFERROR('8a'!K33/'5k'!$D33*1000, "na")</f>
        <v>3.5050937331594283</v>
      </c>
      <c r="L33" s="143">
        <f>IFERROR('8a'!L33/'5k'!$D33*1000, "na")</f>
        <v>3.6332953125401577</v>
      </c>
      <c r="M33" s="217">
        <f>IFERROR('8a'!M33/'5k'!$D33*1000, "na")</f>
        <v>8.6629421414355612</v>
      </c>
    </row>
    <row r="34" spans="1:13">
      <c r="A34" s="57">
        <f>A33+1</f>
        <v>2009</v>
      </c>
      <c r="B34" s="216">
        <f>IFERROR('8a'!B34/'5k'!$B34*1000, "na")</f>
        <v>0.83514375860825119</v>
      </c>
      <c r="C34" s="143">
        <f>IFERROR('8a'!C34/'5k'!$B34*1000, "na")</f>
        <v>1.0796122199297853</v>
      </c>
      <c r="D34" s="143">
        <f>IFERROR('8a'!D34/'5k'!$B34*1000, "na")</f>
        <v>24.888105067327913</v>
      </c>
      <c r="E34" s="217">
        <f>IFERROR('8a'!E34/'5k'!$B34*1000, "na")</f>
        <v>26.802861045865949</v>
      </c>
      <c r="F34" s="216" t="str">
        <f>IFERROR('8a'!F34/'5k'!$C34*1000, "na")</f>
        <v>na</v>
      </c>
      <c r="G34" s="143" t="str">
        <f>IFERROR('8a'!G34/'5k'!$C34*1000, "na")</f>
        <v>na</v>
      </c>
      <c r="H34" s="143" t="str">
        <f>IFERROR('8a'!H34/'5k'!$C34*1000, "na")</f>
        <v>na</v>
      </c>
      <c r="I34" s="217" t="str">
        <f>IFERROR('8a'!I34/'5k'!$C34*1000, "na")</f>
        <v>na</v>
      </c>
      <c r="J34" s="216">
        <f>IFERROR('8a'!J34/'5k'!$D34*1000, "na")</f>
        <v>1.6744048610311435</v>
      </c>
      <c r="K34" s="143">
        <f>IFERROR('8a'!K34/'5k'!$D34*1000, "na")</f>
        <v>3.940229749353509</v>
      </c>
      <c r="L34" s="143">
        <f>IFERROR('8a'!L34/'5k'!$D34*1000, "na")</f>
        <v>3.8980784624940537</v>
      </c>
      <c r="M34" s="217">
        <f>IFERROR('8a'!M34/'5k'!$D34*1000, "na")</f>
        <v>9.5127130728787055</v>
      </c>
    </row>
    <row r="35" spans="1:13">
      <c r="A35" s="58">
        <f t="shared" ref="A35" si="0">A34+1</f>
        <v>2010</v>
      </c>
      <c r="B35" s="234">
        <f>IFERROR('8a'!B35/'5k'!$B35*1000, "na")</f>
        <v>0.90468372266088071</v>
      </c>
      <c r="C35" s="215">
        <f>IFERROR('8a'!C35/'5k'!$B35*1000, "na")</f>
        <v>0.98972284808704869</v>
      </c>
      <c r="D35" s="215">
        <f>IFERROR('8a'!D35/'5k'!$B35*1000, "na")</f>
        <v>22.585423880749726</v>
      </c>
      <c r="E35" s="235">
        <f>IFERROR('8a'!E35/'5k'!$B35*1000, "na")</f>
        <v>24.479830451497655</v>
      </c>
      <c r="F35" s="234" t="str">
        <f>IFERROR('8a'!F35/'5k'!$C35*1000, "na")</f>
        <v>na</v>
      </c>
      <c r="G35" s="215" t="str">
        <f>IFERROR('8a'!G35/'5k'!$C35*1000, "na")</f>
        <v>na</v>
      </c>
      <c r="H35" s="215" t="str">
        <f>IFERROR('8a'!H35/'5k'!$C35*1000, "na")</f>
        <v>na</v>
      </c>
      <c r="I35" s="235" t="str">
        <f>IFERROR('8a'!I35/'5k'!$C35*1000, "na")</f>
        <v>na</v>
      </c>
      <c r="J35" s="234">
        <f>IFERROR('8a'!J35/'5k'!$D35*1000, "na")</f>
        <v>2.0796068907809677</v>
      </c>
      <c r="K35" s="215">
        <f>IFERROR('8a'!K35/'5k'!$D35*1000, "na")</f>
        <v>4.1369056865175518</v>
      </c>
      <c r="L35" s="215">
        <f>IFERROR('8a'!L35/'5k'!$D35*1000, "na")</f>
        <v>3.790025451577907</v>
      </c>
      <c r="M35" s="235">
        <f>IFERROR('8a'!M35/'5k'!$D35*1000, "na")</f>
        <v>10.006538028876426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 t="s">
        <v>237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80" orientation="landscape" horizontalDpi="0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90"/>
  <dimension ref="A1:M37"/>
  <sheetViews>
    <sheetView view="pageBreakPreview" zoomScale="60" zoomScaleNormal="100" workbookViewId="0">
      <selection sqref="A1:H2"/>
    </sheetView>
  </sheetViews>
  <sheetFormatPr defaultRowHeight="15"/>
  <cols>
    <col min="2" max="2" width="12.28515625" customWidth="1"/>
    <col min="3" max="3" width="10.42578125" bestFit="1" customWidth="1"/>
    <col min="4" max="4" width="18.85546875" customWidth="1"/>
    <col min="6" max="6" width="12.28515625" customWidth="1"/>
    <col min="7" max="7" width="10.42578125" bestFit="1" customWidth="1"/>
    <col min="8" max="8" width="17.5703125" customWidth="1"/>
    <col min="10" max="10" width="12.28515625" customWidth="1"/>
    <col min="12" max="12" width="17.28515625" customWidth="1"/>
  </cols>
  <sheetData>
    <row r="1" spans="1:13">
      <c r="A1" s="387" t="s">
        <v>199</v>
      </c>
      <c r="B1" s="387"/>
      <c r="C1" s="387"/>
      <c r="D1" s="387"/>
      <c r="E1" s="387"/>
      <c r="F1" s="387"/>
      <c r="G1" s="387"/>
      <c r="H1" s="387"/>
      <c r="I1" s="1"/>
    </row>
    <row r="2" spans="1:13">
      <c r="A2" s="387"/>
      <c r="B2" s="387"/>
      <c r="C2" s="387"/>
      <c r="D2" s="387"/>
      <c r="E2" s="387"/>
      <c r="F2" s="387"/>
      <c r="G2" s="387"/>
      <c r="H2" s="387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8"/>
      <c r="B4" s="393" t="s">
        <v>54</v>
      </c>
      <c r="C4" s="394"/>
      <c r="D4" s="394"/>
      <c r="E4" s="395"/>
      <c r="F4" s="393" t="s">
        <v>55</v>
      </c>
      <c r="G4" s="394"/>
      <c r="H4" s="394"/>
      <c r="I4" s="395"/>
      <c r="J4" s="393" t="s">
        <v>56</v>
      </c>
      <c r="K4" s="394"/>
      <c r="L4" s="394"/>
      <c r="M4" s="395"/>
    </row>
    <row r="5" spans="1:13" ht="30">
      <c r="A5" s="18"/>
      <c r="B5" s="59" t="s">
        <v>0</v>
      </c>
      <c r="C5" s="60" t="s">
        <v>1</v>
      </c>
      <c r="D5" s="60" t="s">
        <v>2</v>
      </c>
      <c r="E5" s="51" t="s">
        <v>88</v>
      </c>
      <c r="F5" s="59" t="s">
        <v>0</v>
      </c>
      <c r="G5" s="60" t="s">
        <v>1</v>
      </c>
      <c r="H5" s="60" t="s">
        <v>2</v>
      </c>
      <c r="I5" s="51" t="s">
        <v>88</v>
      </c>
      <c r="J5" s="59" t="s">
        <v>0</v>
      </c>
      <c r="K5" s="60" t="s">
        <v>1</v>
      </c>
      <c r="L5" s="60" t="s">
        <v>2</v>
      </c>
      <c r="M5" s="51" t="s">
        <v>88</v>
      </c>
    </row>
    <row r="6" spans="1:13">
      <c r="A6" s="184">
        <v>1981</v>
      </c>
      <c r="B6" s="236" t="str">
        <f>IFERROR('8f'!B6/'8f'!J6, "na")</f>
        <v>na</v>
      </c>
      <c r="C6" s="214" t="str">
        <f>IFERROR('8f'!C6/'8f'!K6, "na")</f>
        <v>na</v>
      </c>
      <c r="D6" s="214" t="str">
        <f>IFERROR('8f'!D6/'8f'!L6, "na")</f>
        <v>na</v>
      </c>
      <c r="E6" s="237" t="str">
        <f>IFERROR('8f'!E6/'8f'!M6, "na")</f>
        <v>na</v>
      </c>
      <c r="F6" s="236" t="str">
        <f>IFERROR('8f'!F6/'8f'!J6, "na")</f>
        <v>na</v>
      </c>
      <c r="G6" s="214" t="str">
        <f>IFERROR('8f'!G6/'8f'!K6, "na")</f>
        <v>na</v>
      </c>
      <c r="H6" s="214" t="str">
        <f>IFERROR('8f'!H6/'8f'!L6, "na")</f>
        <v>na</v>
      </c>
      <c r="I6" s="237" t="str">
        <f>IFERROR('8f'!I6/'8f'!M6, "na")</f>
        <v>na</v>
      </c>
      <c r="J6" s="236" t="str">
        <f>IFERROR('8f'!J6/'8f'!J6, "na")</f>
        <v>na</v>
      </c>
      <c r="K6" s="214" t="str">
        <f>IFERROR('8f'!K6/'8f'!K6, "na")</f>
        <v>na</v>
      </c>
      <c r="L6" s="214" t="str">
        <f>IFERROR('8f'!L6/'8f'!L6, "na")</f>
        <v>na</v>
      </c>
      <c r="M6" s="237" t="str">
        <f>IFERROR('8f'!M6/'8f'!M6, "na")</f>
        <v>na</v>
      </c>
    </row>
    <row r="7" spans="1:13">
      <c r="A7" s="185">
        <v>1982</v>
      </c>
      <c r="B7" s="216" t="str">
        <f>IFERROR('8f'!B7/'8f'!J7, "na")</f>
        <v>na</v>
      </c>
      <c r="C7" s="143" t="str">
        <f>IFERROR('8f'!C7/'8f'!K7, "na")</f>
        <v>na</v>
      </c>
      <c r="D7" s="143" t="str">
        <f>IFERROR('8f'!D7/'8f'!L7, "na")</f>
        <v>na</v>
      </c>
      <c r="E7" s="217" t="str">
        <f>IFERROR('8f'!E7/'8f'!M7, "na")</f>
        <v>na</v>
      </c>
      <c r="F7" s="216" t="str">
        <f>IFERROR('8f'!F7/'8f'!J7, "na")</f>
        <v>na</v>
      </c>
      <c r="G7" s="143" t="str">
        <f>IFERROR('8f'!G7/'8f'!K7, "na")</f>
        <v>na</v>
      </c>
      <c r="H7" s="143" t="str">
        <f>IFERROR('8f'!H7/'8f'!L7, "na")</f>
        <v>na</v>
      </c>
      <c r="I7" s="217" t="str">
        <f>IFERROR('8f'!I7/'8f'!M7, "na")</f>
        <v>na</v>
      </c>
      <c r="J7" s="216" t="str">
        <f>IFERROR('8f'!J7/'8f'!J7, "na")</f>
        <v>na</v>
      </c>
      <c r="K7" s="143" t="str">
        <f>IFERROR('8f'!K7/'8f'!K7, "na")</f>
        <v>na</v>
      </c>
      <c r="L7" s="143" t="str">
        <f>IFERROR('8f'!L7/'8f'!L7, "na")</f>
        <v>na</v>
      </c>
      <c r="M7" s="217" t="str">
        <f>IFERROR('8f'!M7/'8f'!M7, "na")</f>
        <v>na</v>
      </c>
    </row>
    <row r="8" spans="1:13">
      <c r="A8" s="185">
        <v>1983</v>
      </c>
      <c r="B8" s="216" t="str">
        <f>IFERROR('8f'!B8/'8f'!J8, "na")</f>
        <v>na</v>
      </c>
      <c r="C8" s="143" t="str">
        <f>IFERROR('8f'!C8/'8f'!K8, "na")</f>
        <v>na</v>
      </c>
      <c r="D8" s="143" t="str">
        <f>IFERROR('8f'!D8/'8f'!L8, "na")</f>
        <v>na</v>
      </c>
      <c r="E8" s="217" t="str">
        <f>IFERROR('8f'!E8/'8f'!M8, "na")</f>
        <v>na</v>
      </c>
      <c r="F8" s="216" t="str">
        <f>IFERROR('8f'!F8/'8f'!J8, "na")</f>
        <v>na</v>
      </c>
      <c r="G8" s="143" t="str">
        <f>IFERROR('8f'!G8/'8f'!K8, "na")</f>
        <v>na</v>
      </c>
      <c r="H8" s="143" t="str">
        <f>IFERROR('8f'!H8/'8f'!L8, "na")</f>
        <v>na</v>
      </c>
      <c r="I8" s="217" t="str">
        <f>IFERROR('8f'!I8/'8f'!M8, "na")</f>
        <v>na</v>
      </c>
      <c r="J8" s="216" t="str">
        <f>IFERROR('8f'!J8/'8f'!J8, "na")</f>
        <v>na</v>
      </c>
      <c r="K8" s="143" t="str">
        <f>IFERROR('8f'!K8/'8f'!K8, "na")</f>
        <v>na</v>
      </c>
      <c r="L8" s="143" t="str">
        <f>IFERROR('8f'!L8/'8f'!L8, "na")</f>
        <v>na</v>
      </c>
      <c r="M8" s="217" t="str">
        <f>IFERROR('8f'!M8/'8f'!M8, "na")</f>
        <v>na</v>
      </c>
    </row>
    <row r="9" spans="1:13">
      <c r="A9" s="185">
        <v>1984</v>
      </c>
      <c r="B9" s="216" t="str">
        <f>IFERROR('8f'!B9/'8f'!J9, "na")</f>
        <v>na</v>
      </c>
      <c r="C9" s="143" t="str">
        <f>IFERROR('8f'!C9/'8f'!K9, "na")</f>
        <v>na</v>
      </c>
      <c r="D9" s="143" t="str">
        <f>IFERROR('8f'!D9/'8f'!L9, "na")</f>
        <v>na</v>
      </c>
      <c r="E9" s="217" t="str">
        <f>IFERROR('8f'!E9/'8f'!M9, "na")</f>
        <v>na</v>
      </c>
      <c r="F9" s="216" t="str">
        <f>IFERROR('8f'!F9/'8f'!J9, "na")</f>
        <v>na</v>
      </c>
      <c r="G9" s="143" t="str">
        <f>IFERROR('8f'!G9/'8f'!K9, "na")</f>
        <v>na</v>
      </c>
      <c r="H9" s="143" t="str">
        <f>IFERROR('8f'!H9/'8f'!L9, "na")</f>
        <v>na</v>
      </c>
      <c r="I9" s="217" t="str">
        <f>IFERROR('8f'!I9/'8f'!M9, "na")</f>
        <v>na</v>
      </c>
      <c r="J9" s="216" t="str">
        <f>IFERROR('8f'!J9/'8f'!J9, "na")</f>
        <v>na</v>
      </c>
      <c r="K9" s="143" t="str">
        <f>IFERROR('8f'!K9/'8f'!K9, "na")</f>
        <v>na</v>
      </c>
      <c r="L9" s="143" t="str">
        <f>IFERROR('8f'!L9/'8f'!L9, "na")</f>
        <v>na</v>
      </c>
      <c r="M9" s="217" t="str">
        <f>IFERROR('8f'!M9/'8f'!M9, "na")</f>
        <v>na</v>
      </c>
    </row>
    <row r="10" spans="1:13">
      <c r="A10" s="185">
        <v>1985</v>
      </c>
      <c r="B10" s="216" t="str">
        <f>IFERROR('8f'!B10/'8f'!J10, "na")</f>
        <v>na</v>
      </c>
      <c r="C10" s="143" t="str">
        <f>IFERROR('8f'!C10/'8f'!K10, "na")</f>
        <v>na</v>
      </c>
      <c r="D10" s="143" t="str">
        <f>IFERROR('8f'!D10/'8f'!L10, "na")</f>
        <v>na</v>
      </c>
      <c r="E10" s="217" t="str">
        <f>IFERROR('8f'!E10/'8f'!M10, "na")</f>
        <v>na</v>
      </c>
      <c r="F10" s="216" t="str">
        <f>IFERROR('8f'!F10/'8f'!J10, "na")</f>
        <v>na</v>
      </c>
      <c r="G10" s="143" t="str">
        <f>IFERROR('8f'!G10/'8f'!K10, "na")</f>
        <v>na</v>
      </c>
      <c r="H10" s="143" t="str">
        <f>IFERROR('8f'!H10/'8f'!L10, "na")</f>
        <v>na</v>
      </c>
      <c r="I10" s="217" t="str">
        <f>IFERROR('8f'!I10/'8f'!M10, "na")</f>
        <v>na</v>
      </c>
      <c r="J10" s="216" t="str">
        <f>IFERROR('8f'!J10/'8f'!J10, "na")</f>
        <v>na</v>
      </c>
      <c r="K10" s="143" t="str">
        <f>IFERROR('8f'!K10/'8f'!K10, "na")</f>
        <v>na</v>
      </c>
      <c r="L10" s="143" t="str">
        <f>IFERROR('8f'!L10/'8f'!L10, "na")</f>
        <v>na</v>
      </c>
      <c r="M10" s="217" t="str">
        <f>IFERROR('8f'!M10/'8f'!M10, "na")</f>
        <v>na</v>
      </c>
    </row>
    <row r="11" spans="1:13">
      <c r="A11" s="185">
        <v>1986</v>
      </c>
      <c r="B11" s="216" t="str">
        <f>IFERROR('8f'!B11/'8f'!J11, "na")</f>
        <v>na</v>
      </c>
      <c r="C11" s="143" t="str">
        <f>IFERROR('8f'!C11/'8f'!K11, "na")</f>
        <v>na</v>
      </c>
      <c r="D11" s="143" t="str">
        <f>IFERROR('8f'!D11/'8f'!L11, "na")</f>
        <v>na</v>
      </c>
      <c r="E11" s="217" t="str">
        <f>IFERROR('8f'!E11/'8f'!M11, "na")</f>
        <v>na</v>
      </c>
      <c r="F11" s="216" t="str">
        <f>IFERROR('8f'!F11/'8f'!J11, "na")</f>
        <v>na</v>
      </c>
      <c r="G11" s="143" t="str">
        <f>IFERROR('8f'!G11/'8f'!K11, "na")</f>
        <v>na</v>
      </c>
      <c r="H11" s="143" t="str">
        <f>IFERROR('8f'!H11/'8f'!L11, "na")</f>
        <v>na</v>
      </c>
      <c r="I11" s="217" t="str">
        <f>IFERROR('8f'!I11/'8f'!M11, "na")</f>
        <v>na</v>
      </c>
      <c r="J11" s="216" t="str">
        <f>IFERROR('8f'!J11/'8f'!J11, "na")</f>
        <v>na</v>
      </c>
      <c r="K11" s="143" t="str">
        <f>IFERROR('8f'!K11/'8f'!K11, "na")</f>
        <v>na</v>
      </c>
      <c r="L11" s="143" t="str">
        <f>IFERROR('8f'!L11/'8f'!L11, "na")</f>
        <v>na</v>
      </c>
      <c r="M11" s="217" t="str">
        <f>IFERROR('8f'!M11/'8f'!M11, "na")</f>
        <v>na</v>
      </c>
    </row>
    <row r="12" spans="1:13">
      <c r="A12" s="185">
        <v>1987</v>
      </c>
      <c r="B12" s="216" t="str">
        <f>IFERROR('8f'!B12/'8f'!J12, "na")</f>
        <v>na</v>
      </c>
      <c r="C12" s="143" t="str">
        <f>IFERROR('8f'!C12/'8f'!K12, "na")</f>
        <v>na</v>
      </c>
      <c r="D12" s="143" t="str">
        <f>IFERROR('8f'!D12/'8f'!L12, "na")</f>
        <v>na</v>
      </c>
      <c r="E12" s="217" t="str">
        <f>IFERROR('8f'!E12/'8f'!M12, "na")</f>
        <v>na</v>
      </c>
      <c r="F12" s="216" t="str">
        <f>IFERROR('8f'!F12/'8f'!J12, "na")</f>
        <v>na</v>
      </c>
      <c r="G12" s="143" t="str">
        <f>IFERROR('8f'!G12/'8f'!K12, "na")</f>
        <v>na</v>
      </c>
      <c r="H12" s="143" t="str">
        <f>IFERROR('8f'!H12/'8f'!L12, "na")</f>
        <v>na</v>
      </c>
      <c r="I12" s="217" t="str">
        <f>IFERROR('8f'!I12/'8f'!M12, "na")</f>
        <v>na</v>
      </c>
      <c r="J12" s="216" t="str">
        <f>IFERROR('8f'!J12/'8f'!J12, "na")</f>
        <v>na</v>
      </c>
      <c r="K12" s="143" t="str">
        <f>IFERROR('8f'!K12/'8f'!K12, "na")</f>
        <v>na</v>
      </c>
      <c r="L12" s="143" t="str">
        <f>IFERROR('8f'!L12/'8f'!L12, "na")</f>
        <v>na</v>
      </c>
      <c r="M12" s="217" t="str">
        <f>IFERROR('8f'!M12/'8f'!M12, "na")</f>
        <v>na</v>
      </c>
    </row>
    <row r="13" spans="1:13">
      <c r="A13" s="185">
        <v>1988</v>
      </c>
      <c r="B13" s="216" t="str">
        <f>IFERROR('8f'!B13/'8f'!J13, "na")</f>
        <v>na</v>
      </c>
      <c r="C13" s="143" t="str">
        <f>IFERROR('8f'!C13/'8f'!K13, "na")</f>
        <v>na</v>
      </c>
      <c r="D13" s="143" t="str">
        <f>IFERROR('8f'!D13/'8f'!L13, "na")</f>
        <v>na</v>
      </c>
      <c r="E13" s="217" t="str">
        <f>IFERROR('8f'!E13/'8f'!M13, "na")</f>
        <v>na</v>
      </c>
      <c r="F13" s="216" t="str">
        <f>IFERROR('8f'!F13/'8f'!J13, "na")</f>
        <v>na</v>
      </c>
      <c r="G13" s="143" t="str">
        <f>IFERROR('8f'!G13/'8f'!K13, "na")</f>
        <v>na</v>
      </c>
      <c r="H13" s="143" t="str">
        <f>IFERROR('8f'!H13/'8f'!L13, "na")</f>
        <v>na</v>
      </c>
      <c r="I13" s="217" t="str">
        <f>IFERROR('8f'!I13/'8f'!M13, "na")</f>
        <v>na</v>
      </c>
      <c r="J13" s="216" t="str">
        <f>IFERROR('8f'!J13/'8f'!J13, "na")</f>
        <v>na</v>
      </c>
      <c r="K13" s="143" t="str">
        <f>IFERROR('8f'!K13/'8f'!K13, "na")</f>
        <v>na</v>
      </c>
      <c r="L13" s="143" t="str">
        <f>IFERROR('8f'!L13/'8f'!L13, "na")</f>
        <v>na</v>
      </c>
      <c r="M13" s="217" t="str">
        <f>IFERROR('8f'!M13/'8f'!M13, "na")</f>
        <v>na</v>
      </c>
    </row>
    <row r="14" spans="1:13">
      <c r="A14" s="185">
        <v>1989</v>
      </c>
      <c r="B14" s="216" t="str">
        <f>IFERROR('8f'!B14/'8f'!J14, "na")</f>
        <v>na</v>
      </c>
      <c r="C14" s="143" t="str">
        <f>IFERROR('8f'!C14/'8f'!K14, "na")</f>
        <v>na</v>
      </c>
      <c r="D14" s="143" t="str">
        <f>IFERROR('8f'!D14/'8f'!L14, "na")</f>
        <v>na</v>
      </c>
      <c r="E14" s="217" t="str">
        <f>IFERROR('8f'!E14/'8f'!M14, "na")</f>
        <v>na</v>
      </c>
      <c r="F14" s="216" t="str">
        <f>IFERROR('8f'!F14/'8f'!J14, "na")</f>
        <v>na</v>
      </c>
      <c r="G14" s="143" t="str">
        <f>IFERROR('8f'!G14/'8f'!K14, "na")</f>
        <v>na</v>
      </c>
      <c r="H14" s="143" t="str">
        <f>IFERROR('8f'!H14/'8f'!L14, "na")</f>
        <v>na</v>
      </c>
      <c r="I14" s="217" t="str">
        <f>IFERROR('8f'!I14/'8f'!M14, "na")</f>
        <v>na</v>
      </c>
      <c r="J14" s="216" t="str">
        <f>IFERROR('8f'!J14/'8f'!J14, "na")</f>
        <v>na</v>
      </c>
      <c r="K14" s="143" t="str">
        <f>IFERROR('8f'!K14/'8f'!K14, "na")</f>
        <v>na</v>
      </c>
      <c r="L14" s="143" t="str">
        <f>IFERROR('8f'!L14/'8f'!L14, "na")</f>
        <v>na</v>
      </c>
      <c r="M14" s="217" t="str">
        <f>IFERROR('8f'!M14/'8f'!M14, "na")</f>
        <v>na</v>
      </c>
    </row>
    <row r="15" spans="1:13">
      <c r="A15" s="185">
        <v>1990</v>
      </c>
      <c r="B15" s="216" t="str">
        <f>IFERROR('8f'!B15/'8f'!J15, "na")</f>
        <v>na</v>
      </c>
      <c r="C15" s="143" t="str">
        <f>IFERROR('8f'!C15/'8f'!K15, "na")</f>
        <v>na</v>
      </c>
      <c r="D15" s="143" t="str">
        <f>IFERROR('8f'!D15/'8f'!L15, "na")</f>
        <v>na</v>
      </c>
      <c r="E15" s="217" t="str">
        <f>IFERROR('8f'!E15/'8f'!M15, "na")</f>
        <v>na</v>
      </c>
      <c r="F15" s="216" t="str">
        <f>IFERROR('8f'!F15/'8f'!J15, "na")</f>
        <v>na</v>
      </c>
      <c r="G15" s="143" t="str">
        <f>IFERROR('8f'!G15/'8f'!K15, "na")</f>
        <v>na</v>
      </c>
      <c r="H15" s="143" t="str">
        <f>IFERROR('8f'!H15/'8f'!L15, "na")</f>
        <v>na</v>
      </c>
      <c r="I15" s="217" t="str">
        <f>IFERROR('8f'!I15/'8f'!M15, "na")</f>
        <v>na</v>
      </c>
      <c r="J15" s="216" t="str">
        <f>IFERROR('8f'!J15/'8f'!J15, "na")</f>
        <v>na</v>
      </c>
      <c r="K15" s="143" t="str">
        <f>IFERROR('8f'!K15/'8f'!K15, "na")</f>
        <v>na</v>
      </c>
      <c r="L15" s="143" t="str">
        <f>IFERROR('8f'!L15/'8f'!L15, "na")</f>
        <v>na</v>
      </c>
      <c r="M15" s="217" t="str">
        <f>IFERROR('8f'!M15/'8f'!M15, "na")</f>
        <v>na</v>
      </c>
    </row>
    <row r="16" spans="1:13">
      <c r="A16" s="185">
        <v>1991</v>
      </c>
      <c r="B16" s="216" t="str">
        <f>IFERROR('8f'!B16/'8f'!J16, "na")</f>
        <v>na</v>
      </c>
      <c r="C16" s="143" t="str">
        <f>IFERROR('8f'!C16/'8f'!K16, "na")</f>
        <v>na</v>
      </c>
      <c r="D16" s="143" t="str">
        <f>IFERROR('8f'!D16/'8f'!L16, "na")</f>
        <v>na</v>
      </c>
      <c r="E16" s="217" t="str">
        <f>IFERROR('8f'!E16/'8f'!M16, "na")</f>
        <v>na</v>
      </c>
      <c r="F16" s="216" t="str">
        <f>IFERROR('8f'!F16/'8f'!J16, "na")</f>
        <v>na</v>
      </c>
      <c r="G16" s="143" t="str">
        <f>IFERROR('8f'!G16/'8f'!K16, "na")</f>
        <v>na</v>
      </c>
      <c r="H16" s="143" t="str">
        <f>IFERROR('8f'!H16/'8f'!L16, "na")</f>
        <v>na</v>
      </c>
      <c r="I16" s="217" t="str">
        <f>IFERROR('8f'!I16/'8f'!M16, "na")</f>
        <v>na</v>
      </c>
      <c r="J16" s="216" t="str">
        <f>IFERROR('8f'!J16/'8f'!J16, "na")</f>
        <v>na</v>
      </c>
      <c r="K16" s="143" t="str">
        <f>IFERROR('8f'!K16/'8f'!K16, "na")</f>
        <v>na</v>
      </c>
      <c r="L16" s="143" t="str">
        <f>IFERROR('8f'!L16/'8f'!L16, "na")</f>
        <v>na</v>
      </c>
      <c r="M16" s="217" t="str">
        <f>IFERROR('8f'!M16/'8f'!M16, "na")</f>
        <v>na</v>
      </c>
    </row>
    <row r="17" spans="1:13">
      <c r="A17" s="185">
        <v>1992</v>
      </c>
      <c r="B17" s="216" t="str">
        <f>IFERROR('8f'!B17/'8f'!J17, "na")</f>
        <v>na</v>
      </c>
      <c r="C17" s="143" t="str">
        <f>IFERROR('8f'!C17/'8f'!K17, "na")</f>
        <v>na</v>
      </c>
      <c r="D17" s="143" t="str">
        <f>IFERROR('8f'!D17/'8f'!L17, "na")</f>
        <v>na</v>
      </c>
      <c r="E17" s="217" t="str">
        <f>IFERROR('8f'!E17/'8f'!M17, "na")</f>
        <v>na</v>
      </c>
      <c r="F17" s="216" t="str">
        <f>IFERROR('8f'!F17/'8f'!J17, "na")</f>
        <v>na</v>
      </c>
      <c r="G17" s="143" t="str">
        <f>IFERROR('8f'!G17/'8f'!K17, "na")</f>
        <v>na</v>
      </c>
      <c r="H17" s="143" t="str">
        <f>IFERROR('8f'!H17/'8f'!L17, "na")</f>
        <v>na</v>
      </c>
      <c r="I17" s="217" t="str">
        <f>IFERROR('8f'!I17/'8f'!M17, "na")</f>
        <v>na</v>
      </c>
      <c r="J17" s="216" t="str">
        <f>IFERROR('8f'!J17/'8f'!J17, "na")</f>
        <v>na</v>
      </c>
      <c r="K17" s="143" t="str">
        <f>IFERROR('8f'!K17/'8f'!K17, "na")</f>
        <v>na</v>
      </c>
      <c r="L17" s="143" t="str">
        <f>IFERROR('8f'!L17/'8f'!L17, "na")</f>
        <v>na</v>
      </c>
      <c r="M17" s="217" t="str">
        <f>IFERROR('8f'!M17/'8f'!M17, "na")</f>
        <v>na</v>
      </c>
    </row>
    <row r="18" spans="1:13">
      <c r="A18" s="185">
        <v>1993</v>
      </c>
      <c r="B18" s="216" t="str">
        <f>IFERROR('8f'!B18/'8f'!J18, "na")</f>
        <v>na</v>
      </c>
      <c r="C18" s="143" t="str">
        <f>IFERROR('8f'!C18/'8f'!K18, "na")</f>
        <v>na</v>
      </c>
      <c r="D18" s="143" t="str">
        <f>IFERROR('8f'!D18/'8f'!L18, "na")</f>
        <v>na</v>
      </c>
      <c r="E18" s="217" t="str">
        <f>IFERROR('8f'!E18/'8f'!M18, "na")</f>
        <v>na</v>
      </c>
      <c r="F18" s="216" t="str">
        <f>IFERROR('8f'!F18/'8f'!J18, "na")</f>
        <v>na</v>
      </c>
      <c r="G18" s="143" t="str">
        <f>IFERROR('8f'!G18/'8f'!K18, "na")</f>
        <v>na</v>
      </c>
      <c r="H18" s="143" t="str">
        <f>IFERROR('8f'!H18/'8f'!L18, "na")</f>
        <v>na</v>
      </c>
      <c r="I18" s="217" t="str">
        <f>IFERROR('8f'!I18/'8f'!M18, "na")</f>
        <v>na</v>
      </c>
      <c r="J18" s="216" t="str">
        <f>IFERROR('8f'!J18/'8f'!J18, "na")</f>
        <v>na</v>
      </c>
      <c r="K18" s="143" t="str">
        <f>IFERROR('8f'!K18/'8f'!K18, "na")</f>
        <v>na</v>
      </c>
      <c r="L18" s="143" t="str">
        <f>IFERROR('8f'!L18/'8f'!L18, "na")</f>
        <v>na</v>
      </c>
      <c r="M18" s="217" t="str">
        <f>IFERROR('8f'!M18/'8f'!M18, "na")</f>
        <v>na</v>
      </c>
    </row>
    <row r="19" spans="1:13">
      <c r="A19" s="185">
        <v>1994</v>
      </c>
      <c r="B19" s="216" t="str">
        <f>IFERROR('8f'!B19/'8f'!J19, "na")</f>
        <v>na</v>
      </c>
      <c r="C19" s="143" t="str">
        <f>IFERROR('8f'!C19/'8f'!K19, "na")</f>
        <v>na</v>
      </c>
      <c r="D19" s="143" t="str">
        <f>IFERROR('8f'!D19/'8f'!L19, "na")</f>
        <v>na</v>
      </c>
      <c r="E19" s="217" t="str">
        <f>IFERROR('8f'!E19/'8f'!M19, "na")</f>
        <v>na</v>
      </c>
      <c r="F19" s="216" t="str">
        <f>IFERROR('8f'!F19/'8f'!J19, "na")</f>
        <v>na</v>
      </c>
      <c r="G19" s="143" t="str">
        <f>IFERROR('8f'!G19/'8f'!K19, "na")</f>
        <v>na</v>
      </c>
      <c r="H19" s="143" t="str">
        <f>IFERROR('8f'!H19/'8f'!L19, "na")</f>
        <v>na</v>
      </c>
      <c r="I19" s="217" t="str">
        <f>IFERROR('8f'!I19/'8f'!M19, "na")</f>
        <v>na</v>
      </c>
      <c r="J19" s="216" t="str">
        <f>IFERROR('8f'!J19/'8f'!J19, "na")</f>
        <v>na</v>
      </c>
      <c r="K19" s="143" t="str">
        <f>IFERROR('8f'!K19/'8f'!K19, "na")</f>
        <v>na</v>
      </c>
      <c r="L19" s="143" t="str">
        <f>IFERROR('8f'!L19/'8f'!L19, "na")</f>
        <v>na</v>
      </c>
      <c r="M19" s="217" t="str">
        <f>IFERROR('8f'!M19/'8f'!M19, "na")</f>
        <v>na</v>
      </c>
    </row>
    <row r="20" spans="1:13">
      <c r="A20" s="185">
        <v>1995</v>
      </c>
      <c r="B20" s="216" t="str">
        <f>IFERROR('8f'!B20/'8f'!J20, "na")</f>
        <v>na</v>
      </c>
      <c r="C20" s="143" t="str">
        <f>IFERROR('8f'!C20/'8f'!K20, "na")</f>
        <v>na</v>
      </c>
      <c r="D20" s="143" t="str">
        <f>IFERROR('8f'!D20/'8f'!L20, "na")</f>
        <v>na</v>
      </c>
      <c r="E20" s="217" t="str">
        <f>IFERROR('8f'!E20/'8f'!M20, "na")</f>
        <v>na</v>
      </c>
      <c r="F20" s="216" t="str">
        <f>IFERROR('8f'!F20/'8f'!J20, "na")</f>
        <v>na</v>
      </c>
      <c r="G20" s="143" t="str">
        <f>IFERROR('8f'!G20/'8f'!K20, "na")</f>
        <v>na</v>
      </c>
      <c r="H20" s="143" t="str">
        <f>IFERROR('8f'!H20/'8f'!L20, "na")</f>
        <v>na</v>
      </c>
      <c r="I20" s="217" t="str">
        <f>IFERROR('8f'!I20/'8f'!M20, "na")</f>
        <v>na</v>
      </c>
      <c r="J20" s="216" t="str">
        <f>IFERROR('8f'!J20/'8f'!J20, "na")</f>
        <v>na</v>
      </c>
      <c r="K20" s="143" t="str">
        <f>IFERROR('8f'!K20/'8f'!K20, "na")</f>
        <v>na</v>
      </c>
      <c r="L20" s="143" t="str">
        <f>IFERROR('8f'!L20/'8f'!L20, "na")</f>
        <v>na</v>
      </c>
      <c r="M20" s="217" t="str">
        <f>IFERROR('8f'!M20/'8f'!M20, "na")</f>
        <v>na</v>
      </c>
    </row>
    <row r="21" spans="1:13">
      <c r="A21" s="185">
        <v>1996</v>
      </c>
      <c r="B21" s="216" t="str">
        <f>IFERROR('8f'!B21/'8f'!J21, "na")</f>
        <v>na</v>
      </c>
      <c r="C21" s="143" t="str">
        <f>IFERROR('8f'!C21/'8f'!K21, "na")</f>
        <v>na</v>
      </c>
      <c r="D21" s="143" t="str">
        <f>IFERROR('8f'!D21/'8f'!L21, "na")</f>
        <v>na</v>
      </c>
      <c r="E21" s="217" t="str">
        <f>IFERROR('8f'!E21/'8f'!M21, "na")</f>
        <v>na</v>
      </c>
      <c r="F21" s="216" t="str">
        <f>IFERROR('8f'!F21/'8f'!J21, "na")</f>
        <v>na</v>
      </c>
      <c r="G21" s="143" t="str">
        <f>IFERROR('8f'!G21/'8f'!K21, "na")</f>
        <v>na</v>
      </c>
      <c r="H21" s="143" t="str">
        <f>IFERROR('8f'!H21/'8f'!L21, "na")</f>
        <v>na</v>
      </c>
      <c r="I21" s="217" t="str">
        <f>IFERROR('8f'!I21/'8f'!M21, "na")</f>
        <v>na</v>
      </c>
      <c r="J21" s="216" t="str">
        <f>IFERROR('8f'!J21/'8f'!J21, "na")</f>
        <v>na</v>
      </c>
      <c r="K21" s="143" t="str">
        <f>IFERROR('8f'!K21/'8f'!K21, "na")</f>
        <v>na</v>
      </c>
      <c r="L21" s="143" t="str">
        <f>IFERROR('8f'!L21/'8f'!L21, "na")</f>
        <v>na</v>
      </c>
      <c r="M21" s="217" t="str">
        <f>IFERROR('8f'!M21/'8f'!M21, "na")</f>
        <v>na</v>
      </c>
    </row>
    <row r="22" spans="1:13">
      <c r="A22" s="185">
        <v>1997</v>
      </c>
      <c r="B22" s="216" t="str">
        <f>IFERROR('8f'!B22/'8f'!J22, "na")</f>
        <v>na</v>
      </c>
      <c r="C22" s="143" t="str">
        <f>IFERROR('8f'!C22/'8f'!K22, "na")</f>
        <v>na</v>
      </c>
      <c r="D22" s="143" t="str">
        <f>IFERROR('8f'!D22/'8f'!L22, "na")</f>
        <v>na</v>
      </c>
      <c r="E22" s="217" t="str">
        <f>IFERROR('8f'!E22/'8f'!M22, "na")</f>
        <v>na</v>
      </c>
      <c r="F22" s="216" t="str">
        <f>IFERROR('8f'!F22/'8f'!J22, "na")</f>
        <v>na</v>
      </c>
      <c r="G22" s="143" t="str">
        <f>IFERROR('8f'!G22/'8f'!K22, "na")</f>
        <v>na</v>
      </c>
      <c r="H22" s="143" t="str">
        <f>IFERROR('8f'!H22/'8f'!L22, "na")</f>
        <v>na</v>
      </c>
      <c r="I22" s="217" t="str">
        <f>IFERROR('8f'!I22/'8f'!M22, "na")</f>
        <v>na</v>
      </c>
      <c r="J22" s="216" t="str">
        <f>IFERROR('8f'!J22/'8f'!J22, "na")</f>
        <v>na</v>
      </c>
      <c r="K22" s="143" t="str">
        <f>IFERROR('8f'!K22/'8f'!K22, "na")</f>
        <v>na</v>
      </c>
      <c r="L22" s="143" t="str">
        <f>IFERROR('8f'!L22/'8f'!L22, "na")</f>
        <v>na</v>
      </c>
      <c r="M22" s="217" t="str">
        <f>IFERROR('8f'!M22/'8f'!M22, "na")</f>
        <v>na</v>
      </c>
    </row>
    <row r="23" spans="1:13">
      <c r="A23" s="185">
        <v>1998</v>
      </c>
      <c r="B23" s="216" t="str">
        <f>IFERROR('8f'!B23/'8f'!J23, "na")</f>
        <v>na</v>
      </c>
      <c r="C23" s="143" t="str">
        <f>IFERROR('8f'!C23/'8f'!K23, "na")</f>
        <v>na</v>
      </c>
      <c r="D23" s="143" t="str">
        <f>IFERROR('8f'!D23/'8f'!L23, "na")</f>
        <v>na</v>
      </c>
      <c r="E23" s="217" t="str">
        <f>IFERROR('8f'!E23/'8f'!M23, "na")</f>
        <v>na</v>
      </c>
      <c r="F23" s="216" t="str">
        <f>IFERROR('8f'!F23/'8f'!J23, "na")</f>
        <v>na</v>
      </c>
      <c r="G23" s="143" t="str">
        <f>IFERROR('8f'!G23/'8f'!K23, "na")</f>
        <v>na</v>
      </c>
      <c r="H23" s="143" t="str">
        <f>IFERROR('8f'!H23/'8f'!L23, "na")</f>
        <v>na</v>
      </c>
      <c r="I23" s="217" t="str">
        <f>IFERROR('8f'!I23/'8f'!M23, "na")</f>
        <v>na</v>
      </c>
      <c r="J23" s="216" t="str">
        <f>IFERROR('8f'!J23/'8f'!J23, "na")</f>
        <v>na</v>
      </c>
      <c r="K23" s="143" t="str">
        <f>IFERROR('8f'!K23/'8f'!K23, "na")</f>
        <v>na</v>
      </c>
      <c r="L23" s="143" t="str">
        <f>IFERROR('8f'!L23/'8f'!L23, "na")</f>
        <v>na</v>
      </c>
      <c r="M23" s="217" t="str">
        <f>IFERROR('8f'!M23/'8f'!M23, "na")</f>
        <v>na</v>
      </c>
    </row>
    <row r="24" spans="1:13">
      <c r="A24" s="185">
        <v>1999</v>
      </c>
      <c r="B24" s="216" t="str">
        <f>IFERROR('8f'!B24/'8f'!J24, "na")</f>
        <v>na</v>
      </c>
      <c r="C24" s="143" t="str">
        <f>IFERROR('8f'!C24/'8f'!K24, "na")</f>
        <v>na</v>
      </c>
      <c r="D24" s="143" t="str">
        <f>IFERROR('8f'!D24/'8f'!L24, "na")</f>
        <v>na</v>
      </c>
      <c r="E24" s="217" t="str">
        <f>IFERROR('8f'!E24/'8f'!M24, "na")</f>
        <v>na</v>
      </c>
      <c r="F24" s="216" t="str">
        <f>IFERROR('8f'!F24/'8f'!J24, "na")</f>
        <v>na</v>
      </c>
      <c r="G24" s="143" t="str">
        <f>IFERROR('8f'!G24/'8f'!K24, "na")</f>
        <v>na</v>
      </c>
      <c r="H24" s="143" t="str">
        <f>IFERROR('8f'!H24/'8f'!L24, "na")</f>
        <v>na</v>
      </c>
      <c r="I24" s="217" t="str">
        <f>IFERROR('8f'!I24/'8f'!M24, "na")</f>
        <v>na</v>
      </c>
      <c r="J24" s="216" t="str">
        <f>IFERROR('8f'!J24/'8f'!J24, "na")</f>
        <v>na</v>
      </c>
      <c r="K24" s="143" t="str">
        <f>IFERROR('8f'!K24/'8f'!K24, "na")</f>
        <v>na</v>
      </c>
      <c r="L24" s="143" t="str">
        <f>IFERROR('8f'!L24/'8f'!L24, "na")</f>
        <v>na</v>
      </c>
      <c r="M24" s="217" t="str">
        <f>IFERROR('8f'!M24/'8f'!M24, "na")</f>
        <v>na</v>
      </c>
    </row>
    <row r="25" spans="1:13">
      <c r="A25" s="185">
        <v>2000</v>
      </c>
      <c r="B25" s="216" t="str">
        <f>IFERROR('8f'!B25/'8f'!J25, "na")</f>
        <v>na</v>
      </c>
      <c r="C25" s="143" t="str">
        <f>IFERROR('8f'!C25/'8f'!K25, "na")</f>
        <v>na</v>
      </c>
      <c r="D25" s="143" t="str">
        <f>IFERROR('8f'!D25/'8f'!L25, "na")</f>
        <v>na</v>
      </c>
      <c r="E25" s="217" t="str">
        <f>IFERROR('8f'!E25/'8f'!M25, "na")</f>
        <v>na</v>
      </c>
      <c r="F25" s="216" t="str">
        <f>IFERROR('8f'!F25/'8f'!J25, "na")</f>
        <v>na</v>
      </c>
      <c r="G25" s="143" t="str">
        <f>IFERROR('8f'!G25/'8f'!K25, "na")</f>
        <v>na</v>
      </c>
      <c r="H25" s="143" t="str">
        <f>IFERROR('8f'!H25/'8f'!L25, "na")</f>
        <v>na</v>
      </c>
      <c r="I25" s="217" t="str">
        <f>IFERROR('8f'!I25/'8f'!M25, "na")</f>
        <v>na</v>
      </c>
      <c r="J25" s="216" t="str">
        <f>IFERROR('8f'!J25/'8f'!J25, "na")</f>
        <v>na</v>
      </c>
      <c r="K25" s="143" t="str">
        <f>IFERROR('8f'!K25/'8f'!K25, "na")</f>
        <v>na</v>
      </c>
      <c r="L25" s="143" t="str">
        <f>IFERROR('8f'!L25/'8f'!L25, "na")</f>
        <v>na</v>
      </c>
      <c r="M25" s="217" t="str">
        <f>IFERROR('8f'!M25/'8f'!M25, "na")</f>
        <v>na</v>
      </c>
    </row>
    <row r="26" spans="1:13">
      <c r="A26" s="185">
        <v>2001</v>
      </c>
      <c r="B26" s="216" t="str">
        <f>IFERROR('8f'!B26/'8f'!J26, "na")</f>
        <v>na</v>
      </c>
      <c r="C26" s="143" t="str">
        <f>IFERROR('8f'!C26/'8f'!K26, "na")</f>
        <v>na</v>
      </c>
      <c r="D26" s="143" t="str">
        <f>IFERROR('8f'!D26/'8f'!L26, "na")</f>
        <v>na</v>
      </c>
      <c r="E26" s="217" t="str">
        <f>IFERROR('8f'!E26/'8f'!M26, "na")</f>
        <v>na</v>
      </c>
      <c r="F26" s="216" t="str">
        <f>IFERROR('8f'!F26/'8f'!J26, "na")</f>
        <v>na</v>
      </c>
      <c r="G26" s="143" t="str">
        <f>IFERROR('8f'!G26/'8f'!K26, "na")</f>
        <v>na</v>
      </c>
      <c r="H26" s="143" t="str">
        <f>IFERROR('8f'!H26/'8f'!L26, "na")</f>
        <v>na</v>
      </c>
      <c r="I26" s="217" t="str">
        <f>IFERROR('8f'!I26/'8f'!M26, "na")</f>
        <v>na</v>
      </c>
      <c r="J26" s="216" t="str">
        <f>IFERROR('8f'!J26/'8f'!J26, "na")</f>
        <v>na</v>
      </c>
      <c r="K26" s="143" t="str">
        <f>IFERROR('8f'!K26/'8f'!K26, "na")</f>
        <v>na</v>
      </c>
      <c r="L26" s="143" t="str">
        <f>IFERROR('8f'!L26/'8f'!L26, "na")</f>
        <v>na</v>
      </c>
      <c r="M26" s="217" t="str">
        <f>IFERROR('8f'!M26/'8f'!M26, "na")</f>
        <v>na</v>
      </c>
    </row>
    <row r="27" spans="1:13">
      <c r="A27" s="185">
        <v>2002</v>
      </c>
      <c r="B27" s="216" t="str">
        <f>IFERROR('8f'!B27/'8f'!J27, "na")</f>
        <v>na</v>
      </c>
      <c r="C27" s="143" t="str">
        <f>IFERROR('8f'!C27/'8f'!K27, "na")</f>
        <v>na</v>
      </c>
      <c r="D27" s="143" t="str">
        <f>IFERROR('8f'!D27/'8f'!L27, "na")</f>
        <v>na</v>
      </c>
      <c r="E27" s="217" t="str">
        <f>IFERROR('8f'!E27/'8f'!M27, "na")</f>
        <v>na</v>
      </c>
      <c r="F27" s="216" t="str">
        <f>IFERROR('8f'!F27/'8f'!J27, "na")</f>
        <v>na</v>
      </c>
      <c r="G27" s="143" t="str">
        <f>IFERROR('8f'!G27/'8f'!K27, "na")</f>
        <v>na</v>
      </c>
      <c r="H27" s="143" t="str">
        <f>IFERROR('8f'!H27/'8f'!L27, "na")</f>
        <v>na</v>
      </c>
      <c r="I27" s="217" t="str">
        <f>IFERROR('8f'!I27/'8f'!M27, "na")</f>
        <v>na</v>
      </c>
      <c r="J27" s="216" t="str">
        <f>IFERROR('8f'!J27/'8f'!J27, "na")</f>
        <v>na</v>
      </c>
      <c r="K27" s="143" t="str">
        <f>IFERROR('8f'!K27/'8f'!K27, "na")</f>
        <v>na</v>
      </c>
      <c r="L27" s="143" t="str">
        <f>IFERROR('8f'!L27/'8f'!L27, "na")</f>
        <v>na</v>
      </c>
      <c r="M27" s="217" t="str">
        <f>IFERROR('8f'!M27/'8f'!M27, "na")</f>
        <v>na</v>
      </c>
    </row>
    <row r="28" spans="1:13">
      <c r="A28" s="185">
        <v>2003</v>
      </c>
      <c r="B28" s="216" t="str">
        <f>IFERROR('8f'!B28/'8f'!J28, "na")</f>
        <v>na</v>
      </c>
      <c r="C28" s="143" t="str">
        <f>IFERROR('8f'!C28/'8f'!K28, "na")</f>
        <v>na</v>
      </c>
      <c r="D28" s="143" t="str">
        <f>IFERROR('8f'!D28/'8f'!L28, "na")</f>
        <v>na</v>
      </c>
      <c r="E28" s="217" t="str">
        <f>IFERROR('8f'!E28/'8f'!M28, "na")</f>
        <v>na</v>
      </c>
      <c r="F28" s="216" t="str">
        <f>IFERROR('8f'!F28/'8f'!J28, "na")</f>
        <v>na</v>
      </c>
      <c r="G28" s="143" t="str">
        <f>IFERROR('8f'!G28/'8f'!K28, "na")</f>
        <v>na</v>
      </c>
      <c r="H28" s="143" t="str">
        <f>IFERROR('8f'!H28/'8f'!L28, "na")</f>
        <v>na</v>
      </c>
      <c r="I28" s="217" t="str">
        <f>IFERROR('8f'!I28/'8f'!M28, "na")</f>
        <v>na</v>
      </c>
      <c r="J28" s="216" t="str">
        <f>IFERROR('8f'!J28/'8f'!J28, "na")</f>
        <v>na</v>
      </c>
      <c r="K28" s="143" t="str">
        <f>IFERROR('8f'!K28/'8f'!K28, "na")</f>
        <v>na</v>
      </c>
      <c r="L28" s="143" t="str">
        <f>IFERROR('8f'!L28/'8f'!L28, "na")</f>
        <v>na</v>
      </c>
      <c r="M28" s="217" t="str">
        <f>IFERROR('8f'!M28/'8f'!M28, "na")</f>
        <v>na</v>
      </c>
    </row>
    <row r="29" spans="1:13">
      <c r="A29" s="185">
        <v>2004</v>
      </c>
      <c r="B29" s="216" t="str">
        <f>IFERROR('8f'!B29/'8f'!J29, "na")</f>
        <v>na</v>
      </c>
      <c r="C29" s="143" t="str">
        <f>IFERROR('8f'!C29/'8f'!K29, "na")</f>
        <v>na</v>
      </c>
      <c r="D29" s="143" t="str">
        <f>IFERROR('8f'!D29/'8f'!L29, "na")</f>
        <v>na</v>
      </c>
      <c r="E29" s="217" t="str">
        <f>IFERROR('8f'!E29/'8f'!M29, "na")</f>
        <v>na</v>
      </c>
      <c r="F29" s="216" t="str">
        <f>IFERROR('8f'!F29/'8f'!J29, "na")</f>
        <v>na</v>
      </c>
      <c r="G29" s="143" t="str">
        <f>IFERROR('8f'!G29/'8f'!K29, "na")</f>
        <v>na</v>
      </c>
      <c r="H29" s="143" t="str">
        <f>IFERROR('8f'!H29/'8f'!L29, "na")</f>
        <v>na</v>
      </c>
      <c r="I29" s="217" t="str">
        <f>IFERROR('8f'!I29/'8f'!M29, "na")</f>
        <v>na</v>
      </c>
      <c r="J29" s="216" t="str">
        <f>IFERROR('8f'!J29/'8f'!J29, "na")</f>
        <v>na</v>
      </c>
      <c r="K29" s="143" t="str">
        <f>IFERROR('8f'!K29/'8f'!K29, "na")</f>
        <v>na</v>
      </c>
      <c r="L29" s="143" t="str">
        <f>IFERROR('8f'!L29/'8f'!L29, "na")</f>
        <v>na</v>
      </c>
      <c r="M29" s="217" t="str">
        <f>IFERROR('8f'!M29/'8f'!M29, "na")</f>
        <v>na</v>
      </c>
    </row>
    <row r="30" spans="1:13">
      <c r="A30" s="185">
        <v>2005</v>
      </c>
      <c r="B30" s="216" t="str">
        <f>IFERROR('8f'!B30/'8f'!J30, "na")</f>
        <v>na</v>
      </c>
      <c r="C30" s="143" t="str">
        <f>IFERROR('8f'!C30/'8f'!K30, "na")</f>
        <v>na</v>
      </c>
      <c r="D30" s="143" t="str">
        <f>IFERROR('8f'!D30/'8f'!L30, "na")</f>
        <v>na</v>
      </c>
      <c r="E30" s="217" t="str">
        <f>IFERROR('8f'!E30/'8f'!M30, "na")</f>
        <v>na</v>
      </c>
      <c r="F30" s="216" t="str">
        <f>IFERROR('8f'!F30/'8f'!J30, "na")</f>
        <v>na</v>
      </c>
      <c r="G30" s="143" t="str">
        <f>IFERROR('8f'!G30/'8f'!K30, "na")</f>
        <v>na</v>
      </c>
      <c r="H30" s="143" t="str">
        <f>IFERROR('8f'!H30/'8f'!L30, "na")</f>
        <v>na</v>
      </c>
      <c r="I30" s="217" t="str">
        <f>IFERROR('8f'!I30/'8f'!M30, "na")</f>
        <v>na</v>
      </c>
      <c r="J30" s="216" t="str">
        <f>IFERROR('8f'!J30/'8f'!J30, "na")</f>
        <v>na</v>
      </c>
      <c r="K30" s="143" t="str">
        <f>IFERROR('8f'!K30/'8f'!K30, "na")</f>
        <v>na</v>
      </c>
      <c r="L30" s="143" t="str">
        <f>IFERROR('8f'!L30/'8f'!L30, "na")</f>
        <v>na</v>
      </c>
      <c r="M30" s="217" t="str">
        <f>IFERROR('8f'!M30/'8f'!M30, "na")</f>
        <v>na</v>
      </c>
    </row>
    <row r="31" spans="1:13">
      <c r="A31" s="185">
        <v>2006</v>
      </c>
      <c r="B31" s="216" t="str">
        <f>IFERROR('8f'!B31/'8f'!J31, "na")</f>
        <v>na</v>
      </c>
      <c r="C31" s="143" t="str">
        <f>IFERROR('8f'!C31/'8f'!K31, "na")</f>
        <v>na</v>
      </c>
      <c r="D31" s="143" t="str">
        <f>IFERROR('8f'!D31/'8f'!L31, "na")</f>
        <v>na</v>
      </c>
      <c r="E31" s="217" t="str">
        <f>IFERROR('8f'!E31/'8f'!M31, "na")</f>
        <v>na</v>
      </c>
      <c r="F31" s="216" t="str">
        <f>IFERROR('8f'!F31/'8f'!J31, "na")</f>
        <v>na</v>
      </c>
      <c r="G31" s="143" t="str">
        <f>IFERROR('8f'!G31/'8f'!K31, "na")</f>
        <v>na</v>
      </c>
      <c r="H31" s="143" t="str">
        <f>IFERROR('8f'!H31/'8f'!L31, "na")</f>
        <v>na</v>
      </c>
      <c r="I31" s="217" t="str">
        <f>IFERROR('8f'!I31/'8f'!M31, "na")</f>
        <v>na</v>
      </c>
      <c r="J31" s="216" t="str">
        <f>IFERROR('8f'!J31/'8f'!J31, "na")</f>
        <v>na</v>
      </c>
      <c r="K31" s="143" t="str">
        <f>IFERROR('8f'!K31/'8f'!K31, "na")</f>
        <v>na</v>
      </c>
      <c r="L31" s="143" t="str">
        <f>IFERROR('8f'!L31/'8f'!L31, "na")</f>
        <v>na</v>
      </c>
      <c r="M31" s="217" t="str">
        <f>IFERROR('8f'!M31/'8f'!M31, "na")</f>
        <v>na</v>
      </c>
    </row>
    <row r="32" spans="1:13">
      <c r="A32" s="185">
        <v>2007</v>
      </c>
      <c r="B32" s="216">
        <f>IFERROR('8f'!B32/'8f'!J32, "na")</f>
        <v>0.45780503579743126</v>
      </c>
      <c r="C32" s="143">
        <f>IFERROR('8f'!C32/'8f'!K32, "na")</f>
        <v>0.34440057052532319</v>
      </c>
      <c r="D32" s="143">
        <f>IFERROR('8f'!D32/'8f'!L32, "na")</f>
        <v>7.4611298731792965</v>
      </c>
      <c r="E32" s="217">
        <f>IFERROR('8f'!E32/'8f'!M32, "na")</f>
        <v>3.4366299406772978</v>
      </c>
      <c r="F32" s="216" t="str">
        <f>IFERROR('8f'!F32/'8f'!J32, "na")</f>
        <v>na</v>
      </c>
      <c r="G32" s="143" t="str">
        <f>IFERROR('8f'!G32/'8f'!K32, "na")</f>
        <v>na</v>
      </c>
      <c r="H32" s="143" t="str">
        <f>IFERROR('8f'!H32/'8f'!L32, "na")</f>
        <v>na</v>
      </c>
      <c r="I32" s="217" t="str">
        <f>IFERROR('8f'!I32/'8f'!M32, "na")</f>
        <v>na</v>
      </c>
      <c r="J32" s="85">
        <f>IFERROR('8f'!J32/'8f'!J32, "na")</f>
        <v>1</v>
      </c>
      <c r="K32" s="86">
        <f>IFERROR('8f'!K32/'8f'!K32, "na")</f>
        <v>1</v>
      </c>
      <c r="L32" s="86">
        <f>IFERROR('8f'!L32/'8f'!L32, "na")</f>
        <v>1</v>
      </c>
      <c r="M32" s="87">
        <f>IFERROR('8f'!M32/'8f'!M32, "na")</f>
        <v>1</v>
      </c>
    </row>
    <row r="33" spans="1:13">
      <c r="A33" s="185">
        <v>2008</v>
      </c>
      <c r="B33" s="216">
        <f>IFERROR('8f'!B33/'8f'!J33, "na")</f>
        <v>0.49444385916169892</v>
      </c>
      <c r="C33" s="143">
        <f>IFERROR('8f'!C33/'8f'!K33, "na")</f>
        <v>0.31642575173815507</v>
      </c>
      <c r="D33" s="143">
        <f>IFERROR('8f'!D33/'8f'!L33, "na")</f>
        <v>6.895350239974448</v>
      </c>
      <c r="E33" s="217">
        <f>IFERROR('8f'!E33/'8f'!M33, "na")</f>
        <v>3.1069988811378351</v>
      </c>
      <c r="F33" s="216" t="str">
        <f>IFERROR('8f'!F33/'8f'!J33, "na")</f>
        <v>na</v>
      </c>
      <c r="G33" s="143" t="str">
        <f>IFERROR('8f'!G33/'8f'!K33, "na")</f>
        <v>na</v>
      </c>
      <c r="H33" s="143" t="str">
        <f>IFERROR('8f'!H33/'8f'!L33, "na")</f>
        <v>na</v>
      </c>
      <c r="I33" s="217" t="str">
        <f>IFERROR('8f'!I33/'8f'!M33, "na")</f>
        <v>na</v>
      </c>
      <c r="J33" s="85">
        <f>IFERROR('8f'!J33/'8f'!J33, "na")</f>
        <v>1</v>
      </c>
      <c r="K33" s="86">
        <f>IFERROR('8f'!K33/'8f'!K33, "na")</f>
        <v>1</v>
      </c>
      <c r="L33" s="86">
        <f>IFERROR('8f'!L33/'8f'!L33, "na")</f>
        <v>1</v>
      </c>
      <c r="M33" s="87">
        <f>IFERROR('8f'!M33/'8f'!M33, "na")</f>
        <v>1</v>
      </c>
    </row>
    <row r="34" spans="1:13">
      <c r="A34" s="57">
        <f>A33+1</f>
        <v>2009</v>
      </c>
      <c r="B34" s="216">
        <f>IFERROR('8f'!B34/'8f'!J34, "na")</f>
        <v>0.49877050529699685</v>
      </c>
      <c r="C34" s="143">
        <f>IFERROR('8f'!C34/'8f'!K34, "na")</f>
        <v>0.27399727645498895</v>
      </c>
      <c r="D34" s="143">
        <f>IFERROR('8f'!D34/'8f'!L34, "na")</f>
        <v>6.3847111613561776</v>
      </c>
      <c r="E34" s="217">
        <f>IFERROR('8f'!E34/'8f'!M34, "na")</f>
        <v>2.8175832531186558</v>
      </c>
      <c r="F34" s="216" t="str">
        <f>IFERROR('8f'!F34/'8f'!J34, "na")</f>
        <v>na</v>
      </c>
      <c r="G34" s="143" t="str">
        <f>IFERROR('8f'!G34/'8f'!K34, "na")</f>
        <v>na</v>
      </c>
      <c r="H34" s="143" t="str">
        <f>IFERROR('8f'!H34/'8f'!L34, "na")</f>
        <v>na</v>
      </c>
      <c r="I34" s="217" t="str">
        <f>IFERROR('8f'!I34/'8f'!M34, "na")</f>
        <v>na</v>
      </c>
      <c r="J34" s="85">
        <f>IFERROR('8f'!J34/'8f'!J34, "na")</f>
        <v>1</v>
      </c>
      <c r="K34" s="86">
        <f>IFERROR('8f'!K34/'8f'!K34, "na")</f>
        <v>1</v>
      </c>
      <c r="L34" s="86">
        <f>IFERROR('8f'!L34/'8f'!L34, "na")</f>
        <v>1</v>
      </c>
      <c r="M34" s="87">
        <f>IFERROR('8f'!M34/'8f'!M34, "na")</f>
        <v>1</v>
      </c>
    </row>
    <row r="35" spans="1:13">
      <c r="A35" s="58">
        <f t="shared" ref="A35" si="0">A34+1</f>
        <v>2010</v>
      </c>
      <c r="B35" s="234">
        <f>IFERROR('8f'!B35/'8f'!J35, "na")</f>
        <v>0.43502631515186951</v>
      </c>
      <c r="C35" s="215">
        <f>IFERROR('8f'!C35/'8f'!K35, "na")</f>
        <v>0.23924230405170238</v>
      </c>
      <c r="D35" s="215">
        <f>IFERROR('8f'!D35/'8f'!L35, "na")</f>
        <v>5.9591747256859984</v>
      </c>
      <c r="E35" s="235">
        <f>IFERROR('8f'!E35/'8f'!M35, "na")</f>
        <v>2.4463835924927122</v>
      </c>
      <c r="F35" s="234" t="str">
        <f>IFERROR('8f'!F35/'8f'!J35, "na")</f>
        <v>na</v>
      </c>
      <c r="G35" s="215" t="str">
        <f>IFERROR('8f'!G35/'8f'!K35, "na")</f>
        <v>na</v>
      </c>
      <c r="H35" s="215" t="str">
        <f>IFERROR('8f'!H35/'8f'!L35, "na")</f>
        <v>na</v>
      </c>
      <c r="I35" s="235" t="str">
        <f>IFERROR('8f'!I35/'8f'!M35, "na")</f>
        <v>na</v>
      </c>
      <c r="J35" s="88">
        <f>IFERROR('8f'!J35/'8f'!J35, "na")</f>
        <v>1</v>
      </c>
      <c r="K35" s="89">
        <f>IFERROR('8f'!K35/'8f'!K35, "na")</f>
        <v>1</v>
      </c>
      <c r="L35" s="89">
        <f>IFERROR('8f'!L35/'8f'!L35, "na")</f>
        <v>1</v>
      </c>
      <c r="M35" s="90">
        <f>IFERROR('8f'!M35/'8f'!M35, "na")</f>
        <v>1</v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>
      <c r="A37" s="1" t="s">
        <v>238</v>
      </c>
      <c r="B37" s="1"/>
      <c r="C37" s="1"/>
      <c r="D37" s="1"/>
      <c r="E37" s="1"/>
      <c r="F37" s="1"/>
      <c r="G37" s="1"/>
      <c r="H37" s="1"/>
      <c r="I37" s="1"/>
    </row>
  </sheetData>
  <mergeCells count="4">
    <mergeCell ref="A1:H2"/>
    <mergeCell ref="B4:E4"/>
    <mergeCell ref="F4:I4"/>
    <mergeCell ref="J4:M4"/>
  </mergeCells>
  <pageMargins left="0.7" right="0.7" top="0.75" bottom="0.75" header="0.3" footer="0.3"/>
  <pageSetup scale="75" orientation="landscape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91"/>
  <dimension ref="A1:M43"/>
  <sheetViews>
    <sheetView view="pageBreakPreview" zoomScale="60" zoomScaleNormal="100" workbookViewId="0">
      <selection sqref="A1:H2"/>
    </sheetView>
  </sheetViews>
  <sheetFormatPr defaultRowHeight="15"/>
  <cols>
    <col min="2" max="2" width="11.7109375" customWidth="1"/>
    <col min="4" max="4" width="19.85546875" customWidth="1"/>
    <col min="6" max="6" width="11.85546875" customWidth="1"/>
    <col min="8" max="8" width="18.28515625" customWidth="1"/>
    <col min="10" max="10" width="11.42578125" customWidth="1"/>
    <col min="12" max="12" width="17.85546875" customWidth="1"/>
    <col min="13" max="13" width="11.42578125" customWidth="1"/>
  </cols>
  <sheetData>
    <row r="1" spans="1:13" ht="15" customHeight="1">
      <c r="A1" s="387" t="s">
        <v>154</v>
      </c>
      <c r="B1" s="387"/>
      <c r="C1" s="387"/>
      <c r="D1" s="387"/>
      <c r="E1" s="387"/>
      <c r="F1" s="387"/>
      <c r="G1" s="387"/>
      <c r="H1" s="387"/>
      <c r="I1" s="272"/>
      <c r="J1" s="1"/>
      <c r="K1" s="1"/>
      <c r="L1" s="1"/>
      <c r="M1" s="1"/>
    </row>
    <row r="2" spans="1:13" ht="30.75" customHeight="1">
      <c r="A2" s="387"/>
      <c r="B2" s="387"/>
      <c r="C2" s="387"/>
      <c r="D2" s="387"/>
      <c r="E2" s="387"/>
      <c r="F2" s="387"/>
      <c r="G2" s="387"/>
      <c r="H2" s="387"/>
      <c r="I2" s="272"/>
      <c r="J2" s="1"/>
      <c r="K2" s="1"/>
      <c r="L2" s="1"/>
      <c r="M2" s="1"/>
    </row>
    <row r="3" spans="1:13">
      <c r="A3" s="272"/>
      <c r="B3" s="272"/>
      <c r="C3" s="272"/>
      <c r="D3" s="272"/>
      <c r="E3" s="272"/>
      <c r="F3" s="272"/>
      <c r="G3" s="272"/>
      <c r="H3" s="272"/>
      <c r="I3" s="272"/>
      <c r="J3" s="1"/>
      <c r="K3" s="1"/>
      <c r="L3" s="1"/>
      <c r="M3" s="1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7" t="s">
        <v>42</v>
      </c>
      <c r="K4" s="375"/>
      <c r="L4" s="375"/>
      <c r="M4" s="376"/>
    </row>
    <row r="5" spans="1:13" ht="45">
      <c r="A5" s="18"/>
      <c r="B5" s="273" t="s">
        <v>0</v>
      </c>
      <c r="C5" s="274" t="s">
        <v>1</v>
      </c>
      <c r="D5" s="274" t="s">
        <v>2</v>
      </c>
      <c r="E5" s="275" t="s">
        <v>84</v>
      </c>
      <c r="F5" s="273" t="s">
        <v>0</v>
      </c>
      <c r="G5" s="274" t="s">
        <v>1</v>
      </c>
      <c r="H5" s="274" t="s">
        <v>2</v>
      </c>
      <c r="I5" s="275" t="s">
        <v>84</v>
      </c>
      <c r="J5" s="273" t="s">
        <v>39</v>
      </c>
      <c r="K5" s="274" t="s">
        <v>41</v>
      </c>
      <c r="L5" s="274" t="s">
        <v>40</v>
      </c>
      <c r="M5" s="275" t="s">
        <v>49</v>
      </c>
    </row>
    <row r="6" spans="1:13">
      <c r="A6" s="19" t="s">
        <v>6</v>
      </c>
      <c r="B6" s="352">
        <f>IFERROR('8a'!B6/'8b'!$B5*100, "na")</f>
        <v>2.1798966314865598E-2</v>
      </c>
      <c r="C6" s="105">
        <f>IFERROR('8a'!C6/'8b'!$B5*100, "na")</f>
        <v>1.136400867443863</v>
      </c>
      <c r="D6" s="353">
        <f>IFERROR('8a'!D6/'8b'!$B5*100, "na")</f>
        <v>1.7900410088337564</v>
      </c>
      <c r="E6" s="354">
        <f>IFERROR('8a'!E6/'8b'!$B5*100, "na")</f>
        <v>2.9482408425924849</v>
      </c>
      <c r="F6" s="352">
        <f>IFERROR('8a'!F6/'8b'!$C5*100, "na")</f>
        <v>2.2620859843681357E-4</v>
      </c>
      <c r="G6" s="105">
        <f>IFERROR('8a'!G6/'8b'!$C5*100, "na")</f>
        <v>4.4115412142703191E-3</v>
      </c>
      <c r="H6" s="105">
        <f>IFERROR('8a'!H6/'8b'!$C5*100, "na")</f>
        <v>0.2447691248643758</v>
      </c>
      <c r="I6" s="109">
        <f>IFERROR('8a'!I6/'8b'!$C5*100, "na")</f>
        <v>0.24940687467708295</v>
      </c>
      <c r="J6" s="352">
        <f>IFERROR('8a'!J6/'8b'!$D5*100, "na")</f>
        <v>7.336155337051127E-3</v>
      </c>
      <c r="K6" s="355">
        <f>IFERROR('8a'!K6/'8b'!$D5*100, "na")</f>
        <v>3.5298844731842777E-2</v>
      </c>
      <c r="L6" s="355">
        <f>IFERROR('8a'!L6/'8b'!$D5*100, "na")</f>
        <v>0.82740158805778929</v>
      </c>
      <c r="M6" s="291">
        <f>IFERROR('8a'!M6/'8b'!$D5*100, "na")</f>
        <v>0.87003658812668339</v>
      </c>
    </row>
    <row r="7" spans="1:13">
      <c r="A7" s="20" t="s">
        <v>7</v>
      </c>
      <c r="B7" s="356">
        <f>IFERROR('8a'!B7/'8b'!$B6*100, "na")</f>
        <v>1.6173249350475746E-2</v>
      </c>
      <c r="C7" s="104">
        <f>IFERROR('8a'!C7/'8b'!$B6*100, "na")</f>
        <v>0.78300602596549485</v>
      </c>
      <c r="D7" s="357">
        <f>IFERROR('8a'!D7/'8b'!$B6*100, "na")</f>
        <v>1.6866433897566868</v>
      </c>
      <c r="E7" s="358">
        <f>IFERROR('8a'!E7/'8b'!$B6*100, "na")</f>
        <v>2.4858226650726576</v>
      </c>
      <c r="F7" s="106">
        <f>IFERROR('8a'!F7/'8b'!$C6*100, "na")</f>
        <v>1.9961286648977593E-4</v>
      </c>
      <c r="G7" s="104">
        <f>IFERROR('8a'!G7/'8b'!$C6*100, "na")</f>
        <v>3.5960629318636844E-3</v>
      </c>
      <c r="H7" s="104">
        <f>IFERROR('8a'!H7/'8b'!$C6*100, "na")</f>
        <v>0.26101720414595836</v>
      </c>
      <c r="I7" s="110">
        <f>IFERROR('8a'!I7/'8b'!$C6*100, "na")</f>
        <v>0.2648128799443118</v>
      </c>
      <c r="J7" s="359">
        <f>IFERROR('8a'!J7/'8b'!$D6*100, "na")</f>
        <v>1.0713475552058677E-2</v>
      </c>
      <c r="K7" s="360">
        <f>IFERROR('8a'!K7/'8b'!$D6*100, "na")</f>
        <v>4.3896159766590788E-2</v>
      </c>
      <c r="L7" s="360">
        <f>IFERROR('8a'!L7/'8b'!$D6*100, "na")</f>
        <v>0.94121808947211349</v>
      </c>
      <c r="M7" s="294">
        <f>IFERROR('8a'!M7/'8b'!$D6*100, "na")</f>
        <v>0.99582772479076298</v>
      </c>
    </row>
    <row r="8" spans="1:13">
      <c r="A8" s="20" t="s">
        <v>8</v>
      </c>
      <c r="B8" s="356">
        <f>IFERROR('8a'!B8/'8b'!$B7*100, "na")</f>
        <v>1.4712851629438391E-2</v>
      </c>
      <c r="C8" s="104">
        <f>IFERROR('8a'!C8/'8b'!$B7*100, "na")</f>
        <v>0.58380992041836766</v>
      </c>
      <c r="D8" s="357">
        <f>IFERROR('8a'!D8/'8b'!$B7*100, "na")</f>
        <v>1.8387108510585906</v>
      </c>
      <c r="E8" s="358">
        <f>IFERROR('8a'!E8/'8b'!$B7*100, "na")</f>
        <v>2.4372336231063962</v>
      </c>
      <c r="F8" s="106">
        <f>IFERROR('8a'!F8/'8b'!$C7*100, "na")</f>
        <v>1.5230079406816652E-4</v>
      </c>
      <c r="G8" s="104">
        <f>IFERROR('8a'!G8/'8b'!$C7*100, "na")</f>
        <v>2.5871202510346606E-3</v>
      </c>
      <c r="H8" s="104">
        <f>IFERROR('8a'!H8/'8b'!$C7*100, "na")</f>
        <v>0.27569085087943707</v>
      </c>
      <c r="I8" s="110">
        <f>IFERROR('8a'!I8/'8b'!$C7*100, "na")</f>
        <v>0.2784302719245399</v>
      </c>
      <c r="J8" s="359">
        <f>IFERROR('8a'!J8/'8b'!$D7*100, "na")</f>
        <v>1.5800326684679691E-2</v>
      </c>
      <c r="K8" s="360">
        <f>IFERROR('8a'!K8/'8b'!$D7*100, "na")</f>
        <v>5.4907031514683735E-2</v>
      </c>
      <c r="L8" s="360">
        <f>IFERROR('8a'!L8/'8b'!$D7*100, "na")</f>
        <v>1.0415685181810939</v>
      </c>
      <c r="M8" s="294">
        <f>IFERROR('8a'!M8/'8b'!$D7*100, "na")</f>
        <v>1.1122758763804574</v>
      </c>
    </row>
    <row r="9" spans="1:13">
      <c r="A9" s="20" t="s">
        <v>9</v>
      </c>
      <c r="B9" s="356">
        <f>IFERROR('8a'!B9/'8b'!$B8*100, "na")</f>
        <v>1.9135536808334901E-2</v>
      </c>
      <c r="C9" s="104">
        <f>IFERROR('8a'!C9/'8b'!$B8*100, "na")</f>
        <v>0.53685497614546274</v>
      </c>
      <c r="D9" s="357">
        <f>IFERROR('8a'!D9/'8b'!$B8*100, "na")</f>
        <v>2.6282781605256367</v>
      </c>
      <c r="E9" s="358">
        <f>IFERROR('8a'!E9/'8b'!$B8*100, "na")</f>
        <v>3.1842686734794339</v>
      </c>
      <c r="F9" s="106">
        <f>IFERROR('8a'!F9/'8b'!$C8*100, "na")</f>
        <v>1.3786399312770817E-4</v>
      </c>
      <c r="G9" s="104">
        <f>IFERROR('8a'!G9/'8b'!$C8*100, "na")</f>
        <v>2.014436510519343E-3</v>
      </c>
      <c r="H9" s="104">
        <f>IFERROR('8a'!H9/'8b'!$C8*100, "na")</f>
        <v>0.31288203301911038</v>
      </c>
      <c r="I9" s="110">
        <f>IFERROR('8a'!I9/'8b'!$C8*100, "na")</f>
        <v>0.31503433352275739</v>
      </c>
      <c r="J9" s="359">
        <f>IFERROR('8a'!J9/'8b'!$D8*100, "na")</f>
        <v>2.6709554554893298E-2</v>
      </c>
      <c r="K9" s="360">
        <f>IFERROR('8a'!K9/'8b'!$D8*100, "na")</f>
        <v>7.0517228545666666E-2</v>
      </c>
      <c r="L9" s="360">
        <f>IFERROR('8a'!L9/'8b'!$D8*100, "na")</f>
        <v>1.1288808618505832</v>
      </c>
      <c r="M9" s="294">
        <f>IFERROR('8a'!M9/'8b'!$D8*100, "na")</f>
        <v>1.2261076449511432</v>
      </c>
    </row>
    <row r="10" spans="1:13">
      <c r="A10" s="20" t="s">
        <v>10</v>
      </c>
      <c r="B10" s="356">
        <f>IFERROR('8a'!B10/'8b'!$B9*100, "na")</f>
        <v>2.5046922563225833E-2</v>
      </c>
      <c r="C10" s="104">
        <f>IFERROR('8a'!C10/'8b'!$B9*100, "na")</f>
        <v>0.54853293028957895</v>
      </c>
      <c r="D10" s="357">
        <f>IFERROR('8a'!D10/'8b'!$B9*100, "na")</f>
        <v>3.270964400992312</v>
      </c>
      <c r="E10" s="358">
        <f>IFERROR('8a'!E10/'8b'!$B9*100, "na")</f>
        <v>3.8445442538451169</v>
      </c>
      <c r="F10" s="106">
        <f>IFERROR('8a'!F10/'8b'!$C9*100, "na")</f>
        <v>1.3726855389683258E-4</v>
      </c>
      <c r="G10" s="104">
        <f>IFERROR('8a'!G10/'8b'!$C9*100, "na")</f>
        <v>1.8055408552920633E-3</v>
      </c>
      <c r="H10" s="104">
        <f>IFERROR('8a'!H10/'8b'!$C9*100, "na")</f>
        <v>0.36179620757408587</v>
      </c>
      <c r="I10" s="110">
        <f>IFERROR('8a'!I10/'8b'!$C9*100, "na")</f>
        <v>0.36373901698327477</v>
      </c>
      <c r="J10" s="359">
        <f>IFERROR('8a'!J10/'8b'!$D9*100, "na")</f>
        <v>3.9191969568911529E-2</v>
      </c>
      <c r="K10" s="360">
        <f>IFERROR('8a'!K10/'8b'!$D9*100, "na")</f>
        <v>8.7875977453108961E-2</v>
      </c>
      <c r="L10" s="360">
        <f>IFERROR('8a'!L10/'8b'!$D9*100, "na")</f>
        <v>1.1992557508730786</v>
      </c>
      <c r="M10" s="294">
        <f>IFERROR('8a'!M10/'8b'!$D9*100, "na")</f>
        <v>1.326323697895099</v>
      </c>
    </row>
    <row r="11" spans="1:13">
      <c r="A11" s="20" t="s">
        <v>11</v>
      </c>
      <c r="B11" s="356">
        <f>IFERROR('8a'!B11/'8b'!$B10*100, "na")</f>
        <v>3.8646507527482846E-2</v>
      </c>
      <c r="C11" s="104">
        <f>IFERROR('8a'!C11/'8b'!$B10*100, "na")</f>
        <v>0.65964620793541384</v>
      </c>
      <c r="D11" s="357">
        <f>IFERROR('8a'!D11/'8b'!$B10*100, "na")</f>
        <v>4.2863052183527532</v>
      </c>
      <c r="E11" s="358">
        <f>IFERROR('8a'!E11/'8b'!$B10*100, "na")</f>
        <v>4.9845979338156505</v>
      </c>
      <c r="F11" s="106">
        <f>IFERROR('8a'!F11/'8b'!$C10*100, "na")</f>
        <v>1.3636092100573148E-4</v>
      </c>
      <c r="G11" s="104">
        <f>IFERROR('8a'!G11/'8b'!$C10*100, "na")</f>
        <v>1.6616445707753071E-3</v>
      </c>
      <c r="H11" s="104">
        <f>IFERROR('8a'!H11/'8b'!$C10*100, "na")</f>
        <v>0.39807887362797906</v>
      </c>
      <c r="I11" s="110">
        <f>IFERROR('8a'!I11/'8b'!$C10*100, "na")</f>
        <v>0.39987687911976011</v>
      </c>
      <c r="J11" s="359">
        <f>IFERROR('8a'!J11/'8b'!$D10*100, "na")</f>
        <v>4.7722012930998731E-2</v>
      </c>
      <c r="K11" s="360">
        <f>IFERROR('8a'!K11/'8b'!$D10*100, "na")</f>
        <v>0.10320932110277968</v>
      </c>
      <c r="L11" s="360">
        <f>IFERROR('8a'!L11/'8b'!$D10*100, "na")</f>
        <v>1.2647731426022257</v>
      </c>
      <c r="M11" s="294">
        <f>IFERROR('8a'!M11/'8b'!$D10*100, "na")</f>
        <v>1.4157044766360043</v>
      </c>
    </row>
    <row r="12" spans="1:13">
      <c r="A12" s="20" t="s">
        <v>12</v>
      </c>
      <c r="B12" s="356">
        <f>IFERROR('8a'!B12/'8b'!$B11*100, "na")</f>
        <v>5.3584782442985909E-2</v>
      </c>
      <c r="C12" s="104">
        <f>IFERROR('8a'!C12/'8b'!$B11*100, "na")</f>
        <v>0.62482903089038255</v>
      </c>
      <c r="D12" s="357">
        <f>IFERROR('8a'!D12/'8b'!$B11*100, "na")</f>
        <v>4.2974981663689542</v>
      </c>
      <c r="E12" s="358">
        <f>IFERROR('8a'!E12/'8b'!$B11*100, "na")</f>
        <v>4.9759119797023228</v>
      </c>
      <c r="F12" s="106">
        <f>IFERROR('8a'!F12/'8b'!$C11*100, "na")</f>
        <v>2.1149112584916685E-4</v>
      </c>
      <c r="G12" s="104">
        <f>IFERROR('8a'!G12/'8b'!$C11*100, "na")</f>
        <v>1.6035222811758849E-3</v>
      </c>
      <c r="H12" s="104">
        <f>IFERROR('8a'!H12/'8b'!$C11*100, "na")</f>
        <v>0.4069575322843762</v>
      </c>
      <c r="I12" s="110">
        <f>IFERROR('8a'!I12/'8b'!$C11*100, "na")</f>
        <v>0.4087725456914012</v>
      </c>
      <c r="J12" s="359">
        <f>IFERROR('8a'!J12/'8b'!$D11*100, "na")</f>
        <v>5.9942998001196304E-2</v>
      </c>
      <c r="K12" s="360">
        <f>IFERROR('8a'!K12/'8b'!$D11*100, "na")</f>
        <v>0.1239004584435251</v>
      </c>
      <c r="L12" s="360">
        <f>IFERROR('8a'!L12/'8b'!$D11*100, "na")</f>
        <v>1.320023911461909</v>
      </c>
      <c r="M12" s="294">
        <f>IFERROR('8a'!M12/'8b'!$D11*100, "na")</f>
        <v>1.5038673679066306</v>
      </c>
    </row>
    <row r="13" spans="1:13">
      <c r="A13" s="20" t="s">
        <v>13</v>
      </c>
      <c r="B13" s="356">
        <f>IFERROR('8a'!B13/'8b'!$B12*100, "na")</f>
        <v>7.4237556098995364E-2</v>
      </c>
      <c r="C13" s="104">
        <f>IFERROR('8a'!C13/'8b'!$B12*100, "na")</f>
        <v>0.67911652801812827</v>
      </c>
      <c r="D13" s="357">
        <f>IFERROR('8a'!D13/'8b'!$B12*100, "na")</f>
        <v>4.6207032530110554</v>
      </c>
      <c r="E13" s="358">
        <f>IFERROR('8a'!E13/'8b'!$B12*100, "na")</f>
        <v>5.3740573371281792</v>
      </c>
      <c r="F13" s="106">
        <f>IFERROR('8a'!F13/'8b'!$C12*100, "na")</f>
        <v>7.1532949551616739E-4</v>
      </c>
      <c r="G13" s="104">
        <f>IFERROR('8a'!G13/'8b'!$C12*100, "na")</f>
        <v>3.4135433495600387E-3</v>
      </c>
      <c r="H13" s="104">
        <f>IFERROR('8a'!H13/'8b'!$C12*100, "na")</f>
        <v>0.44853246115927781</v>
      </c>
      <c r="I13" s="110">
        <f>IFERROR('8a'!I13/'8b'!$C12*100, "na")</f>
        <v>0.45266133400435399</v>
      </c>
      <c r="J13" s="359">
        <f>IFERROR('8a'!J13/'8b'!$D12*100, "na")</f>
        <v>6.8946403333301917E-2</v>
      </c>
      <c r="K13" s="360">
        <f>IFERROR('8a'!K13/'8b'!$D12*100, "na")</f>
        <v>0.14866511479943798</v>
      </c>
      <c r="L13" s="360">
        <f>IFERROR('8a'!L13/'8b'!$D12*100, "na")</f>
        <v>1.3590254447017709</v>
      </c>
      <c r="M13" s="294">
        <f>IFERROR('8a'!M13/'8b'!$D12*100, "na")</f>
        <v>1.5766369628345107</v>
      </c>
    </row>
    <row r="14" spans="1:13">
      <c r="A14" s="20" t="s">
        <v>14</v>
      </c>
      <c r="B14" s="356">
        <f>IFERROR('8a'!B14/'8b'!$B13*100, "na")</f>
        <v>9.8014049279277732E-2</v>
      </c>
      <c r="C14" s="104">
        <f>IFERROR('8a'!C14/'8b'!$B13*100, "na")</f>
        <v>0.82395260236941825</v>
      </c>
      <c r="D14" s="357">
        <f>IFERROR('8a'!D14/'8b'!$B13*100, "na")</f>
        <v>5.3529686798761604</v>
      </c>
      <c r="E14" s="358">
        <f>IFERROR('8a'!E14/'8b'!$B13*100, "na")</f>
        <v>6.2749353315248557</v>
      </c>
      <c r="F14" s="106">
        <f>IFERROR('8a'!F14/'8b'!$C13*100, "na")</f>
        <v>1.712452321932498E-3</v>
      </c>
      <c r="G14" s="104">
        <f>IFERROR('8a'!G14/'8b'!$C13*100, "na")</f>
        <v>9.4887318096593225E-3</v>
      </c>
      <c r="H14" s="104">
        <f>IFERROR('8a'!H14/'8b'!$C13*100, "na")</f>
        <v>0.47983649600591816</v>
      </c>
      <c r="I14" s="110">
        <f>IFERROR('8a'!I14/'8b'!$C13*100, "na")</f>
        <v>0.49103768013751004</v>
      </c>
      <c r="J14" s="359">
        <f>IFERROR('8a'!J14/'8b'!$D13*100, "na")</f>
        <v>7.9589003352166662E-2</v>
      </c>
      <c r="K14" s="360">
        <f>IFERROR('8a'!K14/'8b'!$D13*100, "na")</f>
        <v>0.18984387681775125</v>
      </c>
      <c r="L14" s="360">
        <f>IFERROR('8a'!L14/'8b'!$D13*100, "na")</f>
        <v>1.3948630927702044</v>
      </c>
      <c r="M14" s="294">
        <f>IFERROR('8a'!M14/'8b'!$D13*100, "na")</f>
        <v>1.6642959729401223</v>
      </c>
    </row>
    <row r="15" spans="1:13">
      <c r="A15" s="20" t="s">
        <v>15</v>
      </c>
      <c r="B15" s="356">
        <f>IFERROR('8a'!B15/'8b'!$B14*100, "na")</f>
        <v>0.11629690685554045</v>
      </c>
      <c r="C15" s="104">
        <f>IFERROR('8a'!C15/'8b'!$B14*100, "na")</f>
        <v>0.99584562091185824</v>
      </c>
      <c r="D15" s="357">
        <f>IFERROR('8a'!D15/'8b'!$B14*100, "na")</f>
        <v>6.1383514672344193</v>
      </c>
      <c r="E15" s="358">
        <f>IFERROR('8a'!E15/'8b'!$B14*100, "na")</f>
        <v>7.2504939950018192</v>
      </c>
      <c r="F15" s="106">
        <f>IFERROR('8a'!F15/'8b'!$C14*100, "na")</f>
        <v>3.0389876738804418E-3</v>
      </c>
      <c r="G15" s="104">
        <f>IFERROR('8a'!G15/'8b'!$C14*100, "na")</f>
        <v>1.9247769217019428E-2</v>
      </c>
      <c r="H15" s="104">
        <f>IFERROR('8a'!H15/'8b'!$C14*100, "na")</f>
        <v>0.49106467433283219</v>
      </c>
      <c r="I15" s="110">
        <f>IFERROR('8a'!I15/'8b'!$C14*100, "na")</f>
        <v>0.51335143122373206</v>
      </c>
      <c r="J15" s="359">
        <f>IFERROR('8a'!J15/'8b'!$D14*100, "na")</f>
        <v>7.9018536327689154E-2</v>
      </c>
      <c r="K15" s="360">
        <f>IFERROR('8a'!K15/'8b'!$D14*100, "na")</f>
        <v>0.24586947932210865</v>
      </c>
      <c r="L15" s="360">
        <f>IFERROR('8a'!L15/'8b'!$D14*100, "na")</f>
        <v>1.4371185845245209</v>
      </c>
      <c r="M15" s="294">
        <f>IFERROR('8a'!M15/'8b'!$D14*100, "na")</f>
        <v>1.7620066001743186</v>
      </c>
    </row>
    <row r="16" spans="1:13">
      <c r="A16" s="20" t="s">
        <v>16</v>
      </c>
      <c r="B16" s="356">
        <f>IFERROR('8a'!B16/'8b'!$B15*100, "na")</f>
        <v>0.12594069251274626</v>
      </c>
      <c r="C16" s="104">
        <f>IFERROR('8a'!C16/'8b'!$B15*100, "na")</f>
        <v>1.16536623156526</v>
      </c>
      <c r="D16" s="357">
        <f>IFERROR('8a'!D16/'8b'!$B15*100, "na")</f>
        <v>6.5033628769439007</v>
      </c>
      <c r="E16" s="358">
        <f>IFERROR('8a'!E16/'8b'!$B15*100, "na")</f>
        <v>7.7946698010219082</v>
      </c>
      <c r="F16" s="106">
        <f>IFERROR('8a'!F16/'8b'!$C15*100, "na")</f>
        <v>4.4264601710763476E-3</v>
      </c>
      <c r="G16" s="104">
        <f>IFERROR('8a'!G16/'8b'!$C15*100, "na")</f>
        <v>3.2131757121094673E-2</v>
      </c>
      <c r="H16" s="104">
        <f>IFERROR('8a'!H16/'8b'!$C15*100, "na")</f>
        <v>0.4917160808814971</v>
      </c>
      <c r="I16" s="110">
        <f>IFERROR('8a'!I16/'8b'!$C15*100, "na")</f>
        <v>0.52827429817366811</v>
      </c>
      <c r="J16" s="359">
        <f>IFERROR('8a'!J16/'8b'!$D15*100, "na")</f>
        <v>7.7656375047422704E-2</v>
      </c>
      <c r="K16" s="360">
        <f>IFERROR('8a'!K16/'8b'!$D15*100, "na")</f>
        <v>0.30120395022841739</v>
      </c>
      <c r="L16" s="360">
        <f>IFERROR('8a'!L16/'8b'!$D15*100, "na")</f>
        <v>1.494901468729863</v>
      </c>
      <c r="M16" s="294">
        <f>IFERROR('8a'!M16/'8b'!$D15*100, "na")</f>
        <v>1.873761794005703</v>
      </c>
    </row>
    <row r="17" spans="1:13">
      <c r="A17" s="20" t="s">
        <v>17</v>
      </c>
      <c r="B17" s="356">
        <f>IFERROR('8a'!B17/'8b'!$B16*100, "na")</f>
        <v>0.13646711370056533</v>
      </c>
      <c r="C17" s="104">
        <f>IFERROR('8a'!C17/'8b'!$B16*100, "na")</f>
        <v>1.1951164017253582</v>
      </c>
      <c r="D17" s="357">
        <f>IFERROR('8a'!D17/'8b'!$B16*100, "na")</f>
        <v>8.1065746466833559</v>
      </c>
      <c r="E17" s="358">
        <f>IFERROR('8a'!E17/'8b'!$B16*100, "na")</f>
        <v>9.4381581621092803</v>
      </c>
      <c r="F17" s="106">
        <f>IFERROR('8a'!F17/'8b'!$C16*100, "na")</f>
        <v>7.2419781247448582E-3</v>
      </c>
      <c r="G17" s="104">
        <f>IFERROR('8a'!G17/'8b'!$C16*100, "na")</f>
        <v>5.0079137547632047E-2</v>
      </c>
      <c r="H17" s="104">
        <f>IFERROR('8a'!H17/'8b'!$C16*100, "na")</f>
        <v>0.47198697382505367</v>
      </c>
      <c r="I17" s="110">
        <f>IFERROR('8a'!I17/'8b'!$C16*100, "na")</f>
        <v>0.52930808949743047</v>
      </c>
      <c r="J17" s="359">
        <f>IFERROR('8a'!J17/'8b'!$D16*100, "na")</f>
        <v>8.3811776703189594E-2</v>
      </c>
      <c r="K17" s="360">
        <f>IFERROR('8a'!K17/'8b'!$D16*100, "na")</f>
        <v>0.36030064698771003</v>
      </c>
      <c r="L17" s="360">
        <f>IFERROR('8a'!L17/'8b'!$D16*100, "na")</f>
        <v>1.5160187357168664</v>
      </c>
      <c r="M17" s="294">
        <f>IFERROR('8a'!M17/'8b'!$D16*100, "na")</f>
        <v>1.9601311594077662</v>
      </c>
    </row>
    <row r="18" spans="1:13">
      <c r="A18" s="20" t="s">
        <v>18</v>
      </c>
      <c r="B18" s="356">
        <f>IFERROR('8a'!B18/'8b'!$B17*100, "na")</f>
        <v>0.1786061487417176</v>
      </c>
      <c r="C18" s="104">
        <f>IFERROR('8a'!C18/'8b'!$B17*100, "na")</f>
        <v>1.3773531632555103</v>
      </c>
      <c r="D18" s="357">
        <f>IFERROR('8a'!D18/'8b'!$B17*100, "na")</f>
        <v>9.3416177314844049</v>
      </c>
      <c r="E18" s="358">
        <f>IFERROR('8a'!E18/'8b'!$B17*100, "na")</f>
        <v>10.897577043481634</v>
      </c>
      <c r="F18" s="106">
        <f>IFERROR('8a'!F18/'8b'!$C17*100, "na")</f>
        <v>1.5966268474912636E-2</v>
      </c>
      <c r="G18" s="104">
        <f>IFERROR('8a'!G18/'8b'!$C17*100, "na")</f>
        <v>0.1157196252588686</v>
      </c>
      <c r="H18" s="104">
        <f>IFERROR('8a'!H18/'8b'!$C17*100, "na")</f>
        <v>0.44671037156089599</v>
      </c>
      <c r="I18" s="110">
        <f>IFERROR('8a'!I18/'8b'!$C17*100, "na")</f>
        <v>0.57839626529467725</v>
      </c>
      <c r="J18" s="359">
        <f>IFERROR('8a'!J18/'8b'!$D17*100, "na")</f>
        <v>9.5913511275988614E-2</v>
      </c>
      <c r="K18" s="360">
        <f>IFERROR('8a'!K18/'8b'!$D17*100, "na")</f>
        <v>0.41994207204852041</v>
      </c>
      <c r="L18" s="360">
        <f>IFERROR('8a'!L18/'8b'!$D17*100, "na")</f>
        <v>1.5134530055982258</v>
      </c>
      <c r="M18" s="294">
        <f>IFERROR('8a'!M18/'8b'!$D17*100, "na")</f>
        <v>2.0293085889227349</v>
      </c>
    </row>
    <row r="19" spans="1:13">
      <c r="A19" s="20" t="s">
        <v>19</v>
      </c>
      <c r="B19" s="356">
        <f>IFERROR('8a'!B19/'8b'!$B18*100, "na")</f>
        <v>0.21544844447776765</v>
      </c>
      <c r="C19" s="104">
        <f>IFERROR('8a'!C19/'8b'!$B18*100, "na")</f>
        <v>1.7350298248876381</v>
      </c>
      <c r="D19" s="357">
        <f>IFERROR('8a'!D19/'8b'!$B18*100, "na")</f>
        <v>11.501123541011571</v>
      </c>
      <c r="E19" s="358">
        <f>IFERROR('8a'!E19/'8b'!$B18*100, "na")</f>
        <v>13.451601810376976</v>
      </c>
      <c r="F19" s="106">
        <f>IFERROR('8a'!F19/'8b'!$C18*100, "na")</f>
        <v>2.2812510499668804E-2</v>
      </c>
      <c r="G19" s="104">
        <f>IFERROR('8a'!G19/'8b'!$C18*100, "na")</f>
        <v>0.17790124624865225</v>
      </c>
      <c r="H19" s="104">
        <f>IFERROR('8a'!H19/'8b'!$C18*100, "na")</f>
        <v>0.45349872995050761</v>
      </c>
      <c r="I19" s="110">
        <f>IFERROR('8a'!I19/'8b'!$C18*100, "na")</f>
        <v>0.6542124866988287</v>
      </c>
      <c r="J19" s="359">
        <f>IFERROR('8a'!J19/'8b'!$D18*100, "na")</f>
        <v>0.11077621801899924</v>
      </c>
      <c r="K19" s="360">
        <f>IFERROR('8a'!K19/'8b'!$D18*100, "na")</f>
        <v>0.45810931584205039</v>
      </c>
      <c r="L19" s="360">
        <f>IFERROR('8a'!L19/'8b'!$D18*100, "na")</f>
        <v>1.5090048564610845</v>
      </c>
      <c r="M19" s="294">
        <f>IFERROR('8a'!M19/'8b'!$D18*100, "na")</f>
        <v>2.0778903903221342</v>
      </c>
    </row>
    <row r="20" spans="1:13">
      <c r="A20" s="20" t="s">
        <v>20</v>
      </c>
      <c r="B20" s="356">
        <f>IFERROR('8a'!B20/'8b'!$B19*100, "na")</f>
        <v>0.30338232179669372</v>
      </c>
      <c r="C20" s="104">
        <f>IFERROR('8a'!C20/'8b'!$B19*100, "na")</f>
        <v>2.226615384840037</v>
      </c>
      <c r="D20" s="357">
        <f>IFERROR('8a'!D20/'8b'!$B19*100, "na")</f>
        <v>15.087879421285837</v>
      </c>
      <c r="E20" s="358">
        <f>IFERROR('8a'!E20/'8b'!$B19*100, "na")</f>
        <v>17.617877127922569</v>
      </c>
      <c r="F20" s="106">
        <f>IFERROR('8a'!F20/'8b'!$C19*100, "na")</f>
        <v>3.0124748569483821E-2</v>
      </c>
      <c r="G20" s="104">
        <f>IFERROR('8a'!G20/'8b'!$C19*100, "na")</f>
        <v>0.20139528681851931</v>
      </c>
      <c r="H20" s="104">
        <f>IFERROR('8a'!H20/'8b'!$C19*100, "na")</f>
        <v>0.46031292197066187</v>
      </c>
      <c r="I20" s="110">
        <f>IFERROR('8a'!I20/'8b'!$C19*100, "na")</f>
        <v>0.6918329573586649</v>
      </c>
      <c r="J20" s="359">
        <f>IFERROR('8a'!J20/'8b'!$D19*100, "na")</f>
        <v>0.14575418281711094</v>
      </c>
      <c r="K20" s="360">
        <f>IFERROR('8a'!K20/'8b'!$D19*100, "na")</f>
        <v>0.50430410549715754</v>
      </c>
      <c r="L20" s="360">
        <f>IFERROR('8a'!L20/'8b'!$D19*100, "na")</f>
        <v>1.5568922362664419</v>
      </c>
      <c r="M20" s="294">
        <f>IFERROR('8a'!M20/'8b'!$D19*100, "na")</f>
        <v>2.2069505245807108</v>
      </c>
    </row>
    <row r="21" spans="1:13">
      <c r="A21" s="20" t="s">
        <v>21</v>
      </c>
      <c r="B21" s="356">
        <f>IFERROR('8a'!B21/'8b'!$B20*100, "na")</f>
        <v>0.42051656832039175</v>
      </c>
      <c r="C21" s="104">
        <f>IFERROR('8a'!C21/'8b'!$B20*100, "na")</f>
        <v>2.6453385351642948</v>
      </c>
      <c r="D21" s="357">
        <f>IFERROR('8a'!D21/'8b'!$B20*100, "na")</f>
        <v>18.325641936448438</v>
      </c>
      <c r="E21" s="358">
        <f>IFERROR('8a'!E21/'8b'!$B20*100, "na")</f>
        <v>21.391497039933121</v>
      </c>
      <c r="F21" s="106">
        <f>IFERROR('8a'!F21/'8b'!$C20*100, "na")</f>
        <v>3.8866548836924246E-2</v>
      </c>
      <c r="G21" s="104">
        <f>IFERROR('8a'!G21/'8b'!$C20*100, "na")</f>
        <v>0.21387875941056761</v>
      </c>
      <c r="H21" s="104">
        <f>IFERROR('8a'!H21/'8b'!$C20*100, "na")</f>
        <v>0.4652424070458856</v>
      </c>
      <c r="I21" s="110">
        <f>IFERROR('8a'!I21/'8b'!$C20*100, "na")</f>
        <v>0.71798771529337746</v>
      </c>
      <c r="J21" s="359">
        <f>IFERROR('8a'!J21/'8b'!$D20*100, "na")</f>
        <v>0.19629400352730858</v>
      </c>
      <c r="K21" s="360">
        <f>IFERROR('8a'!K21/'8b'!$D20*100, "na")</f>
        <v>0.56302793650073391</v>
      </c>
      <c r="L21" s="360">
        <f>IFERROR('8a'!L21/'8b'!$D20*100, "na")</f>
        <v>1.6613186976139271</v>
      </c>
      <c r="M21" s="294">
        <f>IFERROR('8a'!M21/'8b'!$D20*100, "na")</f>
        <v>2.4206406376419696</v>
      </c>
    </row>
    <row r="22" spans="1:13">
      <c r="A22" s="20" t="s">
        <v>22</v>
      </c>
      <c r="B22" s="356">
        <f>IFERROR('8a'!B22/'8b'!$B21*100, "na")</f>
        <v>0.67450335443193521</v>
      </c>
      <c r="C22" s="104">
        <f>IFERROR('8a'!C22/'8b'!$B21*100, "na")</f>
        <v>3.1629711609090045</v>
      </c>
      <c r="D22" s="357">
        <f>IFERROR('8a'!D22/'8b'!$B21*100, "na")</f>
        <v>20.815664103373692</v>
      </c>
      <c r="E22" s="358">
        <f>IFERROR('8a'!E22/'8b'!$B21*100, "na")</f>
        <v>24.653138618714635</v>
      </c>
      <c r="F22" s="106">
        <f>IFERROR('8a'!F22/'8b'!$C21*100, "na")</f>
        <v>5.3000515387593906E-2</v>
      </c>
      <c r="G22" s="104">
        <f>IFERROR('8a'!G22/'8b'!$C21*100, "na")</f>
        <v>0.22822538765187184</v>
      </c>
      <c r="H22" s="104">
        <f>IFERROR('8a'!H22/'8b'!$C21*100, "na")</f>
        <v>0.47798861918677948</v>
      </c>
      <c r="I22" s="110">
        <f>IFERROR('8a'!I22/'8b'!$C21*100, "na")</f>
        <v>0.75921452222624508</v>
      </c>
      <c r="J22" s="359">
        <f>IFERROR('8a'!J22/'8b'!$D21*100, "na")</f>
        <v>0.2747976105796559</v>
      </c>
      <c r="K22" s="360">
        <f>IFERROR('8a'!K22/'8b'!$D21*100, "na")</f>
        <v>0.70071276400644189</v>
      </c>
      <c r="L22" s="360">
        <f>IFERROR('8a'!L22/'8b'!$D21*100, "na")</f>
        <v>1.7374901196818737</v>
      </c>
      <c r="M22" s="294">
        <f>IFERROR('8a'!M22/'8b'!$D21*100, "na")</f>
        <v>2.7130004942679711</v>
      </c>
    </row>
    <row r="23" spans="1:13">
      <c r="A23" s="20" t="s">
        <v>23</v>
      </c>
      <c r="B23" s="356">
        <f>IFERROR('8a'!B23/'8b'!$B22*100, "na")</f>
        <v>0.80302132768014822</v>
      </c>
      <c r="C23" s="104">
        <f>IFERROR('8a'!C23/'8b'!$B22*100, "na")</f>
        <v>2.9486669053872929</v>
      </c>
      <c r="D23" s="357">
        <f>IFERROR('8a'!D23/'8b'!$B22*100, "na")</f>
        <v>20.441106696157025</v>
      </c>
      <c r="E23" s="358">
        <f>IFERROR('8a'!E23/'8b'!$B22*100, "na")</f>
        <v>24.192794929224469</v>
      </c>
      <c r="F23" s="106">
        <f>IFERROR('8a'!F23/'8b'!$C22*100, "na")</f>
        <v>7.7225003663365779E-2</v>
      </c>
      <c r="G23" s="104">
        <f>IFERROR('8a'!G23/'8b'!$C22*100, "na")</f>
        <v>0.25552867582641536</v>
      </c>
      <c r="H23" s="104">
        <f>IFERROR('8a'!H23/'8b'!$C22*100, "na")</f>
        <v>0.48937214707264909</v>
      </c>
      <c r="I23" s="110">
        <f>IFERROR('8a'!I23/'8b'!$C22*100, "na")</f>
        <v>0.82212582656243027</v>
      </c>
      <c r="J23" s="359">
        <f>IFERROR('8a'!J23/'8b'!$D22*100, "na")</f>
        <v>0.36809990867133779</v>
      </c>
      <c r="K23" s="360">
        <f>IFERROR('8a'!K23/'8b'!$D22*100, "na")</f>
        <v>0.87106482639286287</v>
      </c>
      <c r="L23" s="360">
        <f>IFERROR('8a'!L23/'8b'!$D22*100, "na")</f>
        <v>1.775084790211682</v>
      </c>
      <c r="M23" s="294">
        <f>IFERROR('8a'!M23/'8b'!$D22*100, "na")</f>
        <v>3.0142495252758823</v>
      </c>
    </row>
    <row r="24" spans="1:13">
      <c r="A24" s="20" t="s">
        <v>24</v>
      </c>
      <c r="B24" s="356">
        <f>IFERROR('8a'!B24/'8b'!$B23*100, "na")</f>
        <v>0.77178607814175548</v>
      </c>
      <c r="C24" s="104">
        <f>IFERROR('8a'!C24/'8b'!$B23*100, "na")</f>
        <v>2.5050756058728791</v>
      </c>
      <c r="D24" s="357">
        <f>IFERROR('8a'!D24/'8b'!$B23*100, "na")</f>
        <v>19.285395648656266</v>
      </c>
      <c r="E24" s="358">
        <f>IFERROR('8a'!E24/'8b'!$B23*100, "na")</f>
        <v>22.562257332670903</v>
      </c>
      <c r="F24" s="106">
        <f>IFERROR('8a'!F24/'8b'!$C23*100, "na")</f>
        <v>9.7100700981809243E-2</v>
      </c>
      <c r="G24" s="104">
        <f>IFERROR('8a'!G24/'8b'!$C23*100, "na")</f>
        <v>0.28036654279809764</v>
      </c>
      <c r="H24" s="104">
        <f>IFERROR('8a'!H24/'8b'!$C23*100, "na")</f>
        <v>0.50655420998141032</v>
      </c>
      <c r="I24" s="110">
        <f>IFERROR('8a'!I24/'8b'!$C23*100, "na")</f>
        <v>0.88402145376131736</v>
      </c>
      <c r="J24" s="359">
        <f>IFERROR('8a'!J24/'8b'!$D23*100, "na")</f>
        <v>0.53306773002468744</v>
      </c>
      <c r="K24" s="360">
        <f>IFERROR('8a'!K24/'8b'!$D23*100, "na")</f>
        <v>1.1361477705258793</v>
      </c>
      <c r="L24" s="360">
        <f>IFERROR('8a'!L24/'8b'!$D23*100, "na")</f>
        <v>1.8683908047507354</v>
      </c>
      <c r="M24" s="294">
        <f>IFERROR('8a'!M24/'8b'!$D23*100, "na")</f>
        <v>3.5376063053013018</v>
      </c>
    </row>
    <row r="25" spans="1:13">
      <c r="A25" s="20" t="s">
        <v>25</v>
      </c>
      <c r="B25" s="356">
        <f>IFERROR('8a'!B25/'8b'!$B24*100, "na")</f>
        <v>0.76434845809899155</v>
      </c>
      <c r="C25" s="104">
        <f>IFERROR('8a'!C25/'8b'!$B24*100, "na")</f>
        <v>2.3511679936859102</v>
      </c>
      <c r="D25" s="357">
        <f>IFERROR('8a'!D25/'8b'!$B24*100, "na")</f>
        <v>18.459448334056376</v>
      </c>
      <c r="E25" s="358">
        <f>IFERROR('8a'!E25/'8b'!$B24*100, "na")</f>
        <v>21.574964785841278</v>
      </c>
      <c r="F25" s="106">
        <f>IFERROR('8a'!F25/'8b'!$C24*100, "na")</f>
        <v>9.1519709839972277E-2</v>
      </c>
      <c r="G25" s="104">
        <f>IFERROR('8a'!G25/'8b'!$C24*100, "na")</f>
        <v>0.23436081383217677</v>
      </c>
      <c r="H25" s="104">
        <f>IFERROR('8a'!H25/'8b'!$C24*100, "na")</f>
        <v>0.5020727971024691</v>
      </c>
      <c r="I25" s="110">
        <f>IFERROR('8a'!I25/'8b'!$C24*100, "na")</f>
        <v>0.82795332077461814</v>
      </c>
      <c r="J25" s="359">
        <f>IFERROR('8a'!J25/'8b'!$D24*100, "na")</f>
        <v>0.68434201166008113</v>
      </c>
      <c r="K25" s="360">
        <f>IFERROR('8a'!K25/'8b'!$D24*100, "na")</f>
        <v>1.4030408525735854</v>
      </c>
      <c r="L25" s="360">
        <f>IFERROR('8a'!L25/'8b'!$D24*100, "na")</f>
        <v>2.1220000148392293</v>
      </c>
      <c r="M25" s="294">
        <f>IFERROR('8a'!M25/'8b'!$D24*100, "na")</f>
        <v>4.209382879072896</v>
      </c>
    </row>
    <row r="26" spans="1:13">
      <c r="A26" s="20" t="s">
        <v>26</v>
      </c>
      <c r="B26" s="356">
        <f>IFERROR('8a'!B26/'8b'!$B25*100, "na")</f>
        <v>0.69419997857078075</v>
      </c>
      <c r="C26" s="104">
        <f>IFERROR('8a'!C26/'8b'!$B25*100, "na")</f>
        <v>2.0678492895151979</v>
      </c>
      <c r="D26" s="357">
        <f>IFERROR('8a'!D26/'8b'!$B25*100, "na")</f>
        <v>17.477534146925805</v>
      </c>
      <c r="E26" s="358">
        <f>IFERROR('8a'!E26/'8b'!$B25*100, "na")</f>
        <v>20.239583415011783</v>
      </c>
      <c r="F26" s="106">
        <f>IFERROR('8a'!F26/'8b'!$C25*100, "na")</f>
        <v>7.7369119005233231E-2</v>
      </c>
      <c r="G26" s="104">
        <f>IFERROR('8a'!G26/'8b'!$C25*100, "na")</f>
        <v>0.17791771556996955</v>
      </c>
      <c r="H26" s="104">
        <f>IFERROR('8a'!H26/'8b'!$C25*100, "na")</f>
        <v>0.48202806355050415</v>
      </c>
      <c r="I26" s="110">
        <f>IFERROR('8a'!I26/'8b'!$C25*100, "na")</f>
        <v>0.73731489812570694</v>
      </c>
      <c r="J26" s="359">
        <f>IFERROR('8a'!J26/'8b'!$D25*100, "na")</f>
        <v>0.67755890835957278</v>
      </c>
      <c r="K26" s="360">
        <f>IFERROR('8a'!K26/'8b'!$D25*100, "na")</f>
        <v>1.4963930050189023</v>
      </c>
      <c r="L26" s="360">
        <f>IFERROR('8a'!L26/'8b'!$D25*100, "na")</f>
        <v>2.2424099639593624</v>
      </c>
      <c r="M26" s="294">
        <f>IFERROR('8a'!M26/'8b'!$D25*100, "na")</f>
        <v>4.4163618773378381</v>
      </c>
    </row>
    <row r="27" spans="1:13">
      <c r="A27" s="20" t="s">
        <v>27</v>
      </c>
      <c r="B27" s="356">
        <f>IFERROR('8a'!B27/'8b'!$B26*100, "na")</f>
        <v>0.54212637913741224</v>
      </c>
      <c r="C27" s="104">
        <f>IFERROR('8a'!C27/'8b'!$B26*100, "na")</f>
        <v>1.4714142427281844</v>
      </c>
      <c r="D27" s="357">
        <f>IFERROR('8a'!D27/'8b'!$B26*100, "na")</f>
        <v>16.374623871614844</v>
      </c>
      <c r="E27" s="358">
        <f>IFERROR('8a'!E27/'8b'!$B26*100, "na")</f>
        <v>18.388164493480442</v>
      </c>
      <c r="F27" s="106">
        <f>IFERROR('8a'!F27/'8b'!$C26*100, "na")</f>
        <v>6.4570655848546321E-2</v>
      </c>
      <c r="G27" s="104">
        <f>IFERROR('8a'!G27/'8b'!$C26*100, "na")</f>
        <v>0.13488843813387424</v>
      </c>
      <c r="H27" s="104">
        <f>IFERROR('8a'!H27/'8b'!$C26*100, "na")</f>
        <v>0.46822177146720756</v>
      </c>
      <c r="I27" s="110">
        <f>IFERROR('8a'!I27/'8b'!$C26*100, "na")</f>
        <v>0.66768086544962812</v>
      </c>
      <c r="J27" s="359">
        <f>IFERROR('8a'!J27/'8b'!$D26*100, "na")</f>
        <v>0.68072487088974443</v>
      </c>
      <c r="K27" s="360">
        <f>IFERROR('8a'!K27/'8b'!$D26*100, "na")</f>
        <v>1.517308777812413</v>
      </c>
      <c r="L27" s="360">
        <f>IFERROR('8a'!L27/'8b'!$D26*100, "na")</f>
        <v>2.1917150391332552</v>
      </c>
      <c r="M27" s="294">
        <f>IFERROR('8a'!M27/'8b'!$D26*100, "na")</f>
        <v>4.3897486878354135</v>
      </c>
    </row>
    <row r="28" spans="1:13">
      <c r="A28" s="20" t="s">
        <v>28</v>
      </c>
      <c r="B28" s="356">
        <f>IFERROR('8a'!B28/'8b'!$B27*100, "na")</f>
        <v>0.43186619699293177</v>
      </c>
      <c r="C28" s="104">
        <f>IFERROR('8a'!C28/'8b'!$B27*100, "na")</f>
        <v>1.1004370215323696</v>
      </c>
      <c r="D28" s="357">
        <f>IFERROR('8a'!D28/'8b'!$B27*100, "na")</f>
        <v>15.649866038909336</v>
      </c>
      <c r="E28" s="358">
        <f>IFERROR('8a'!E28/'8b'!$B27*100, "na")</f>
        <v>17.182169257434634</v>
      </c>
      <c r="F28" s="106">
        <f>IFERROR('8a'!F28/'8b'!$C27*100, "na")</f>
        <v>5.8301371675306302E-2</v>
      </c>
      <c r="G28" s="104">
        <f>IFERROR('8a'!G28/'8b'!$C27*100, "na")</f>
        <v>0.11025081026395439</v>
      </c>
      <c r="H28" s="104">
        <f>IFERROR('8a'!H28/'8b'!$C27*100, "na")</f>
        <v>0.45254366548093228</v>
      </c>
      <c r="I28" s="110">
        <f>IFERROR('8a'!I28/'8b'!$C27*100, "na")</f>
        <v>0.62109584742019297</v>
      </c>
      <c r="J28" s="359">
        <f>IFERROR('8a'!J28/'8b'!$D27*100, "na")</f>
        <v>0.68257639653134494</v>
      </c>
      <c r="K28" s="360">
        <f>IFERROR('8a'!K28/'8b'!$D27*100, "na")</f>
        <v>1.5278267600469395</v>
      </c>
      <c r="L28" s="360">
        <f>IFERROR('8a'!L28/'8b'!$D27*100, "na")</f>
        <v>2.0562046920800672</v>
      </c>
      <c r="M28" s="294">
        <f>IFERROR('8a'!M28/'8b'!$D27*100, "na")</f>
        <v>4.266607848658353</v>
      </c>
    </row>
    <row r="29" spans="1:13">
      <c r="A29" s="20" t="s">
        <v>29</v>
      </c>
      <c r="B29" s="356">
        <f>IFERROR('8a'!B29/'8b'!$B28*100, "na")</f>
        <v>0.34031036140096327</v>
      </c>
      <c r="C29" s="104">
        <f>IFERROR('8a'!C29/'8b'!$B28*100, "na")</f>
        <v>0.82597741761631649</v>
      </c>
      <c r="D29" s="357">
        <f>IFERROR('8a'!D29/'8b'!$B28*100, "na")</f>
        <v>14.392642889251992</v>
      </c>
      <c r="E29" s="358">
        <f>IFERROR('8a'!E29/'8b'!$B28*100, "na")</f>
        <v>15.558930668269271</v>
      </c>
      <c r="F29" s="106">
        <f>IFERROR('8a'!F29/'8b'!$C28*100, "na")</f>
        <v>5.5367987165188856E-2</v>
      </c>
      <c r="G29" s="104">
        <f>IFERROR('8a'!G29/'8b'!$C28*100, "na")</f>
        <v>9.6221328762458008E-2</v>
      </c>
      <c r="H29" s="104">
        <f>IFERROR('8a'!H29/'8b'!$C28*100, "na")</f>
        <v>0.44110185028673415</v>
      </c>
      <c r="I29" s="110">
        <f>IFERROR('8a'!I29/'8b'!$C28*100, "na")</f>
        <v>0.592691166214381</v>
      </c>
      <c r="J29" s="359">
        <f>IFERROR('8a'!J29/'8b'!$D28*100, "na")</f>
        <v>0.6579034428503453</v>
      </c>
      <c r="K29" s="360">
        <f>IFERROR('8a'!K29/'8b'!$D28*100, "na")</f>
        <v>1.5290945757768069</v>
      </c>
      <c r="L29" s="360">
        <f>IFERROR('8a'!L29/'8b'!$D28*100, "na")</f>
        <v>1.9165127836683302</v>
      </c>
      <c r="M29" s="294">
        <f>IFERROR('8a'!M29/'8b'!$D28*100, "na")</f>
        <v>4.1035108022954825</v>
      </c>
    </row>
    <row r="30" spans="1:13">
      <c r="A30" s="20" t="s">
        <v>30</v>
      </c>
      <c r="B30" s="356">
        <f>IFERROR('8a'!B30/'8b'!$B29*100, "na")</f>
        <v>0.28207150545264559</v>
      </c>
      <c r="C30" s="104">
        <f>IFERROR('8a'!C30/'8b'!$B29*100, "na")</f>
        <v>0.65018443873510967</v>
      </c>
      <c r="D30" s="357">
        <f>IFERROR('8a'!D30/'8b'!$B29*100, "na")</f>
        <v>13.552737119931047</v>
      </c>
      <c r="E30" s="358">
        <f>IFERROR('8a'!E30/'8b'!$B29*100, "na")</f>
        <v>14.4849930641188</v>
      </c>
      <c r="F30" s="106">
        <f>IFERROR('8a'!F30/'8b'!$C29*100, "na")</f>
        <v>5.5225374833621499E-2</v>
      </c>
      <c r="G30" s="104">
        <f>IFERROR('8a'!G30/'8b'!$C29*100, "na")</f>
        <v>8.7020722595346808E-2</v>
      </c>
      <c r="H30" s="104">
        <f>IFERROR('8a'!H30/'8b'!$C29*100, "na")</f>
        <v>0.42385392228773039</v>
      </c>
      <c r="I30" s="110">
        <f>IFERROR('8a'!I30/'8b'!$C29*100, "na")</f>
        <v>0.56610001971669865</v>
      </c>
      <c r="J30" s="359">
        <f>IFERROR('8a'!J30/'8b'!$D29*100, "na")</f>
        <v>0.60928274390664383</v>
      </c>
      <c r="K30" s="360">
        <f>IFERROR('8a'!K30/'8b'!$D29*100, "na")</f>
        <v>1.5232268334768171</v>
      </c>
      <c r="L30" s="360">
        <f>IFERROR('8a'!L30/'8b'!$D29*100, "na")</f>
        <v>1.7921775164484621</v>
      </c>
      <c r="M30" s="294">
        <f>IFERROR('8a'!M30/'8b'!$D29*100, "na")</f>
        <v>3.9246870938319232</v>
      </c>
    </row>
    <row r="31" spans="1:13">
      <c r="A31" s="20" t="s">
        <v>31</v>
      </c>
      <c r="B31" s="356">
        <f>IFERROR('8a'!B31/'8b'!$B30*100, "na")</f>
        <v>0.25490288687664353</v>
      </c>
      <c r="C31" s="104">
        <f>IFERROR('8a'!C31/'8b'!$B30*100, "na")</f>
        <v>0.53072243501462324</v>
      </c>
      <c r="D31" s="357">
        <f>IFERROR('8a'!D31/'8b'!$B30*100, "na")</f>
        <v>12.823077915907936</v>
      </c>
      <c r="E31" s="358">
        <f>IFERROR('8a'!E31/'8b'!$B30*100, "na")</f>
        <v>13.608703237799203</v>
      </c>
      <c r="F31" s="106">
        <f>IFERROR('8a'!F31/'8b'!$C30*100, "na")</f>
        <v>6.263270514024992E-2</v>
      </c>
      <c r="G31" s="104">
        <f>IFERROR('8a'!G31/'8b'!$C30*100, "na")</f>
        <v>8.282054903138461E-2</v>
      </c>
      <c r="H31" s="104">
        <f>IFERROR('8a'!H31/'8b'!$C30*100, "na")</f>
        <v>0.40710074048443295</v>
      </c>
      <c r="I31" s="110">
        <f>IFERROR('8a'!I31/'8b'!$C30*100, "na")</f>
        <v>0.55255399465606758</v>
      </c>
      <c r="J31" s="359">
        <f>IFERROR('8a'!J31/'8b'!$D30*100, "na")</f>
        <v>0.63305809145380065</v>
      </c>
      <c r="K31" s="360">
        <f>IFERROR('8a'!K31/'8b'!$D30*100, "na")</f>
        <v>1.5334285974238233</v>
      </c>
      <c r="L31" s="360">
        <f>IFERROR('8a'!L31/'8b'!$D30*100, "na")</f>
        <v>1.837457551129464</v>
      </c>
      <c r="M31" s="294">
        <f>IFERROR('8a'!M31/'8b'!$D30*100, "na")</f>
        <v>4.0039442400070877</v>
      </c>
    </row>
    <row r="32" spans="1:13">
      <c r="A32" s="20" t="s">
        <v>32</v>
      </c>
      <c r="B32" s="356">
        <f>IFERROR('8a'!B32/'8b'!$B31*100, "na")</f>
        <v>0.29001650678192081</v>
      </c>
      <c r="C32" s="104">
        <f>IFERROR('8a'!C32/'8b'!$B31*100, "na")</f>
        <v>0.50888940214951883</v>
      </c>
      <c r="D32" s="357">
        <f>IFERROR('8a'!D32/'8b'!$B31*100, "na")</f>
        <v>11.969273383275898</v>
      </c>
      <c r="E32" s="358">
        <f>IFERROR('8a'!E32/'8b'!$B31*100, "na")</f>
        <v>12.768179292207337</v>
      </c>
      <c r="F32" s="106">
        <f>IFERROR('8a'!F32/'8b'!$C31*100, "na")</f>
        <v>7.9786589443716263E-2</v>
      </c>
      <c r="G32" s="104">
        <f>IFERROR('8a'!G32/'8b'!$C31*100, "na")</f>
        <v>8.7957132045809502E-2</v>
      </c>
      <c r="H32" s="104">
        <f>IFERROR('8a'!H32/'8b'!$C31*100, "na")</f>
        <v>0.39673759404132936</v>
      </c>
      <c r="I32" s="110">
        <f>IFERROR('8a'!I32/'8b'!$C31*100, "na")</f>
        <v>0.56448131553085512</v>
      </c>
      <c r="J32" s="359">
        <f>IFERROR('8a'!J32/'8b'!$D31*100, "na")</f>
        <v>0.68850791477180751</v>
      </c>
      <c r="K32" s="360">
        <f>IFERROR('8a'!K32/'8b'!$D31*100, "na")</f>
        <v>1.6059289596101172</v>
      </c>
      <c r="L32" s="360">
        <f>IFERROR('8a'!L32/'8b'!$D31*100, "na")</f>
        <v>1.743532199452879</v>
      </c>
      <c r="M32" s="294">
        <f>IFERROR('8a'!M32/'8b'!$D31*100, "na")</f>
        <v>4.0379690738348035</v>
      </c>
    </row>
    <row r="33" spans="1:13">
      <c r="A33" s="20" t="s">
        <v>33</v>
      </c>
      <c r="B33" s="356">
        <f>IFERROR('8a'!B33/'8b'!$B32*100, "na")</f>
        <v>0.32488907828846292</v>
      </c>
      <c r="C33" s="104">
        <f>IFERROR('8a'!C33/'8b'!$B32*100, "na")</f>
        <v>0.47802105636150138</v>
      </c>
      <c r="D33" s="357">
        <f>IFERROR('8a'!D33/'8b'!$B32*100, "na")</f>
        <v>10.797733376036</v>
      </c>
      <c r="E33" s="358">
        <f>IFERROR('8a'!E33/'8b'!$B32*100, "na")</f>
        <v>11.600643510685964</v>
      </c>
      <c r="F33" s="106">
        <f>IFERROR('8a'!F33/'8b'!$C32*100, "na")</f>
        <v>9.7901690117583581E-2</v>
      </c>
      <c r="G33" s="104">
        <f>IFERROR('8a'!G33/'8b'!$C32*100, "na")</f>
        <v>9.1522855487664936E-2</v>
      </c>
      <c r="H33" s="104">
        <f>IFERROR('8a'!H33/'8b'!$C32*100, "na")</f>
        <v>0.37991533865849331</v>
      </c>
      <c r="I33" s="110">
        <f>IFERROR('8a'!I33/'8b'!$C32*100, "na")</f>
        <v>0.56933988426374182</v>
      </c>
      <c r="J33" s="359">
        <f>IFERROR('8a'!J33/'8b'!$D32*100, "na")</f>
        <v>0.74303706296946737</v>
      </c>
      <c r="K33" s="360">
        <f>IFERROR('8a'!K33/'8b'!$D32*100, "na")</f>
        <v>1.7083134462182781</v>
      </c>
      <c r="L33" s="360">
        <f>IFERROR('8a'!L33/'8b'!$D32*100, "na")</f>
        <v>1.770796363525345</v>
      </c>
      <c r="M33" s="294">
        <f>IFERROR('8a'!M33/'8b'!$D32*100, "na")</f>
        <v>4.2221468727130906</v>
      </c>
    </row>
    <row r="34" spans="1:13">
      <c r="A34" s="20" t="s">
        <v>34</v>
      </c>
      <c r="B34" s="356">
        <f>IFERROR('8a'!B34/'8b'!$B33*100, "na")</f>
        <v>0.36257914864054697</v>
      </c>
      <c r="C34" s="104">
        <f>IFERROR('8a'!C34/'8b'!$B33*100, "na")</f>
        <v>0.46871556606781911</v>
      </c>
      <c r="D34" s="357">
        <f>IFERROR('8a'!D34/'8b'!$B33*100, "na")</f>
        <v>10.805215094496285</v>
      </c>
      <c r="E34" s="358">
        <f>IFERROR('8a'!E34/'8b'!$B33*100, "na")</f>
        <v>11.636509809204652</v>
      </c>
      <c r="F34" s="106">
        <f>IFERROR('8a'!F34/'8b'!$C33*100, "na")</f>
        <v>0.10594172793024842</v>
      </c>
      <c r="G34" s="104">
        <f>IFERROR('8a'!G34/'8b'!$C33*100, "na")</f>
        <v>8.5829199786563268E-2</v>
      </c>
      <c r="H34" s="104">
        <f>IFERROR('8a'!H34/'8b'!$C33*100, "na")</f>
        <v>0.37483939334626054</v>
      </c>
      <c r="I34" s="110">
        <f>IFERROR('8a'!I34/'8b'!$C33*100, "na")</f>
        <v>0.56661032106307219</v>
      </c>
      <c r="J34" s="359">
        <f>IFERROR('8a'!J34/'8b'!$D33*100, "na")</f>
        <v>0.79037652263164482</v>
      </c>
      <c r="K34" s="360">
        <f>IFERROR('8a'!K34/'8b'!$D33*100, "na")</f>
        <v>1.8599235824876523</v>
      </c>
      <c r="L34" s="360">
        <f>IFERROR('8a'!L34/'8b'!$D33*100, "na")</f>
        <v>1.8400267293980663</v>
      </c>
      <c r="M34" s="294">
        <f>IFERROR('8a'!M34/'8b'!$D33*100, "na")</f>
        <v>4.4903268345173633</v>
      </c>
    </row>
    <row r="35" spans="1:13">
      <c r="A35" s="21" t="s">
        <v>35</v>
      </c>
      <c r="B35" s="361">
        <f>IFERROR('8a'!B35/'8b'!$B34*100, "na")</f>
        <v>0.42118365032078564</v>
      </c>
      <c r="C35" s="108">
        <f>IFERROR('8a'!C35/'8b'!$B34*100, "na")</f>
        <v>0.46077438061682147</v>
      </c>
      <c r="D35" s="362">
        <f>IFERROR('8a'!D35/'8b'!$B34*100, "na")</f>
        <v>10.514847383522786</v>
      </c>
      <c r="E35" s="363">
        <f>IFERROR('8a'!E35/'8b'!$B34*100, "na")</f>
        <v>11.396805414460394</v>
      </c>
      <c r="F35" s="107">
        <f>IFERROR('8a'!F35/'8b'!$C34*100, "na")</f>
        <v>0.12050527839759483</v>
      </c>
      <c r="G35" s="108">
        <f>IFERROR('8a'!G35/'8b'!$C34*100, "na")</f>
        <v>8.2424245278407859E-2</v>
      </c>
      <c r="H35" s="108">
        <f>IFERROR('8a'!H35/'8b'!$C34*100, "na")</f>
        <v>0.37009887512756717</v>
      </c>
      <c r="I35" s="111">
        <f>IFERROR('8a'!I35/'8b'!$C34*100, "na")</f>
        <v>0.57302839880356982</v>
      </c>
      <c r="J35" s="364">
        <f>IFERROR('8a'!J35/'8b'!$D34*100, "na")</f>
        <v>0.96000733166871599</v>
      </c>
      <c r="K35" s="365">
        <f>IFERROR('8a'!K35/'8b'!$D34*100, "na")</f>
        <v>1.9097165945566885</v>
      </c>
      <c r="L35" s="365">
        <f>IFERROR('8a'!L35/'8b'!$D34*100, "na")</f>
        <v>1.7495865381362803</v>
      </c>
      <c r="M35" s="297">
        <f>IFERROR('8a'!M35/'8b'!$D34*100, "na")</f>
        <v>4.6193104643616847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5">
        <f>(POWER(B15/B6,1/($A15-$A6))-1)*100</f>
        <v>20.44602552793102</v>
      </c>
      <c r="C38" s="86">
        <f t="shared" ref="C38:M38" si="0">(POWER(C15/C6,1/($A15-$A6))-1)*100</f>
        <v>-1.4562828584166798</v>
      </c>
      <c r="D38" s="86">
        <f t="shared" si="0"/>
        <v>14.674120770026722</v>
      </c>
      <c r="E38" s="87">
        <f t="shared" si="0"/>
        <v>10.515384157960938</v>
      </c>
      <c r="F38" s="85">
        <f t="shared" si="0"/>
        <v>33.462039996811058</v>
      </c>
      <c r="G38" s="86">
        <f t="shared" si="0"/>
        <v>17.784402899380947</v>
      </c>
      <c r="H38" s="86">
        <f t="shared" si="0"/>
        <v>8.0433412912836122</v>
      </c>
      <c r="I38" s="87">
        <f t="shared" si="0"/>
        <v>8.3512783698422854</v>
      </c>
      <c r="J38" s="85">
        <f t="shared" si="0"/>
        <v>30.225372065795298</v>
      </c>
      <c r="K38" s="86">
        <f t="shared" si="0"/>
        <v>24.068193537509419</v>
      </c>
      <c r="L38" s="86">
        <f t="shared" si="0"/>
        <v>6.3265704936941614</v>
      </c>
      <c r="M38" s="87">
        <f t="shared" si="0"/>
        <v>8.15640012844705</v>
      </c>
    </row>
    <row r="39" spans="1:13">
      <c r="A39" s="16" t="s">
        <v>71</v>
      </c>
      <c r="B39" s="37">
        <f>(POWER(B$25/B15,1/($A$25-$A$15))-1)*100</f>
        <v>20.718080984258247</v>
      </c>
      <c r="C39" s="34">
        <f t="shared" ref="C39:M39" si="1">(POWER(C$25/C15,1/($A$25-$A$15))-1)*100</f>
        <v>8.9705553753191012</v>
      </c>
      <c r="D39" s="34">
        <f t="shared" si="1"/>
        <v>11.639195100848232</v>
      </c>
      <c r="E39" s="38">
        <f t="shared" si="1"/>
        <v>11.521409518727044</v>
      </c>
      <c r="F39" s="37">
        <f t="shared" si="1"/>
        <v>40.565444279801689</v>
      </c>
      <c r="G39" s="34">
        <f>(POWER(G$25/G15,1/($A$25-$A$15))-1)*100</f>
        <v>28.395694118844304</v>
      </c>
      <c r="H39" s="34">
        <f t="shared" si="1"/>
        <v>0.22193876616003472</v>
      </c>
      <c r="I39" s="38">
        <f t="shared" si="1"/>
        <v>4.8960434672177255</v>
      </c>
      <c r="J39" s="37">
        <f t="shared" si="1"/>
        <v>24.09503964187525</v>
      </c>
      <c r="K39" s="34">
        <f t="shared" si="1"/>
        <v>19.024555841183055</v>
      </c>
      <c r="L39" s="34">
        <f t="shared" si="1"/>
        <v>3.974125831764086</v>
      </c>
      <c r="M39" s="38">
        <f t="shared" si="1"/>
        <v>9.0990804059516215</v>
      </c>
    </row>
    <row r="40" spans="1:13">
      <c r="A40" s="16" t="s">
        <v>69</v>
      </c>
      <c r="B40" s="37">
        <f>(POWER(B$35/B25,1/($A$35-$A$25))-1)*100</f>
        <v>-5.7854428606511688</v>
      </c>
      <c r="C40" s="34">
        <f t="shared" ref="C40:M40" si="2">(POWER(C$35/C25,1/($A$35-$A$25))-1)*100</f>
        <v>-15.038833551464803</v>
      </c>
      <c r="D40" s="34">
        <f t="shared" si="2"/>
        <v>-5.4724448341043841</v>
      </c>
      <c r="E40" s="38">
        <f t="shared" si="2"/>
        <v>-6.1826192732440948</v>
      </c>
      <c r="F40" s="37">
        <f t="shared" si="2"/>
        <v>2.7895923208846707</v>
      </c>
      <c r="G40" s="34">
        <f t="shared" si="2"/>
        <v>-9.9223602346542492</v>
      </c>
      <c r="H40" s="34">
        <f t="shared" si="2"/>
        <v>-3.003713559035881</v>
      </c>
      <c r="I40" s="38">
        <f t="shared" si="2"/>
        <v>-3.6133182447758871</v>
      </c>
      <c r="J40" s="37">
        <f t="shared" si="2"/>
        <v>3.4427683720765101</v>
      </c>
      <c r="K40" s="34">
        <f t="shared" si="2"/>
        <v>3.1311500000352988</v>
      </c>
      <c r="L40" s="34">
        <f t="shared" si="2"/>
        <v>-1.9112941611775902</v>
      </c>
      <c r="M40" s="38">
        <f t="shared" si="2"/>
        <v>0.93362525656557338</v>
      </c>
    </row>
    <row r="41" spans="1:13">
      <c r="A41" s="17" t="s">
        <v>70</v>
      </c>
      <c r="B41" s="39">
        <f>(POWER(B35/B6,1/($A$35-$A$6))-1)*100</f>
        <v>10.750591733122207</v>
      </c>
      <c r="C41" s="40">
        <f t="shared" ref="C41:M41" si="3">(POWER(C35/C6,1/($A$35-$A$6))-1)*100</f>
        <v>-3.0648542042316484</v>
      </c>
      <c r="D41" s="40">
        <f t="shared" si="3"/>
        <v>6.2955717218219798</v>
      </c>
      <c r="E41" s="41">
        <f t="shared" si="3"/>
        <v>4.7729016108874145</v>
      </c>
      <c r="F41" s="39">
        <f t="shared" si="3"/>
        <v>24.170130227864583</v>
      </c>
      <c r="G41" s="40">
        <f t="shared" si="3"/>
        <v>10.622535453105808</v>
      </c>
      <c r="H41" s="40">
        <f t="shared" si="3"/>
        <v>1.4359178039767162</v>
      </c>
      <c r="I41" s="41">
        <f t="shared" si="3"/>
        <v>2.909983312367781</v>
      </c>
      <c r="J41" s="39">
        <f t="shared" si="3"/>
        <v>18.302333581652121</v>
      </c>
      <c r="K41" s="40">
        <f t="shared" si="3"/>
        <v>14.753464981321486</v>
      </c>
      <c r="L41" s="40">
        <f t="shared" si="3"/>
        <v>2.6158509643309014</v>
      </c>
      <c r="M41" s="41">
        <f t="shared" si="3"/>
        <v>5.9257058701333021</v>
      </c>
    </row>
    <row r="43" spans="1:13">
      <c r="A43" s="323" t="s">
        <v>239</v>
      </c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1" orientation="landscape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92"/>
  <dimension ref="A1:M43"/>
  <sheetViews>
    <sheetView view="pageBreakPreview" zoomScale="60" zoomScaleNormal="100" workbookViewId="0">
      <selection sqref="A1:H2"/>
    </sheetView>
  </sheetViews>
  <sheetFormatPr defaultRowHeight="15"/>
  <cols>
    <col min="2" max="2" width="12" customWidth="1"/>
    <col min="4" max="4" width="18" customWidth="1"/>
    <col min="6" max="6" width="13.140625" customWidth="1"/>
    <col min="8" max="8" width="21.28515625" customWidth="1"/>
    <col min="10" max="10" width="12.28515625" customWidth="1"/>
    <col min="12" max="12" width="19.7109375" customWidth="1"/>
    <col min="13" max="13" width="10.42578125" bestFit="1" customWidth="1"/>
  </cols>
  <sheetData>
    <row r="1" spans="1:13" ht="15" customHeight="1">
      <c r="A1" s="387" t="s">
        <v>153</v>
      </c>
      <c r="B1" s="387"/>
      <c r="C1" s="387"/>
      <c r="D1" s="387"/>
      <c r="E1" s="387"/>
      <c r="F1" s="387"/>
      <c r="G1" s="387"/>
      <c r="H1" s="387"/>
      <c r="I1" s="272"/>
      <c r="J1" s="1"/>
      <c r="K1" s="1"/>
      <c r="L1" s="1"/>
      <c r="M1" s="1"/>
    </row>
    <row r="2" spans="1:13">
      <c r="A2" s="387"/>
      <c r="B2" s="387"/>
      <c r="C2" s="387"/>
      <c r="D2" s="387"/>
      <c r="E2" s="387"/>
      <c r="F2" s="387"/>
      <c r="G2" s="387"/>
      <c r="H2" s="387"/>
      <c r="I2" s="272"/>
      <c r="J2" s="1"/>
      <c r="K2" s="1"/>
      <c r="L2" s="1"/>
      <c r="M2" s="1"/>
    </row>
    <row r="3" spans="1:13">
      <c r="A3" s="272"/>
      <c r="B3" s="272"/>
      <c r="C3" s="272"/>
      <c r="D3" s="272"/>
      <c r="E3" s="272"/>
      <c r="F3" s="272"/>
      <c r="G3" s="272"/>
      <c r="H3" s="272"/>
      <c r="I3" s="272"/>
      <c r="J3" s="1"/>
      <c r="K3" s="1"/>
      <c r="L3" s="1"/>
      <c r="M3" s="1"/>
    </row>
    <row r="4" spans="1:13">
      <c r="A4" s="18"/>
      <c r="B4" s="377" t="s">
        <v>3</v>
      </c>
      <c r="C4" s="375"/>
      <c r="D4" s="375"/>
      <c r="E4" s="376"/>
      <c r="F4" s="377" t="s">
        <v>4</v>
      </c>
      <c r="G4" s="375"/>
      <c r="H4" s="375"/>
      <c r="I4" s="376"/>
      <c r="J4" s="377" t="s">
        <v>42</v>
      </c>
      <c r="K4" s="375"/>
      <c r="L4" s="375"/>
      <c r="M4" s="376"/>
    </row>
    <row r="5" spans="1:13" ht="45">
      <c r="A5" s="18"/>
      <c r="B5" s="273" t="s">
        <v>0</v>
      </c>
      <c r="C5" s="274" t="s">
        <v>1</v>
      </c>
      <c r="D5" s="274" t="s">
        <v>2</v>
      </c>
      <c r="E5" s="275" t="s">
        <v>84</v>
      </c>
      <c r="F5" s="273" t="s">
        <v>0</v>
      </c>
      <c r="G5" s="274" t="s">
        <v>1</v>
      </c>
      <c r="H5" s="274" t="s">
        <v>2</v>
      </c>
      <c r="I5" s="275" t="s">
        <v>84</v>
      </c>
      <c r="J5" s="273" t="s">
        <v>39</v>
      </c>
      <c r="K5" s="274" t="s">
        <v>41</v>
      </c>
      <c r="L5" s="274" t="s">
        <v>40</v>
      </c>
      <c r="M5" s="275" t="s">
        <v>49</v>
      </c>
    </row>
    <row r="6" spans="1:13">
      <c r="A6" s="19" t="s">
        <v>6</v>
      </c>
      <c r="B6" s="172">
        <f>IFERROR('8a'!B6/'8a'!$E6*100, "na")</f>
        <v>0.73938892643848775</v>
      </c>
      <c r="C6" s="30">
        <f>IFERROR('8a'!C6/'8a'!$E6*100, "na")</f>
        <v>38.545048661783973</v>
      </c>
      <c r="D6" s="228">
        <f>IFERROR('8a'!D6/'8a'!$E6*100, "na")</f>
        <v>60.715562411777555</v>
      </c>
      <c r="E6" s="173">
        <f>IFERROR('8a'!E6/'8a'!$E6*100, "na")</f>
        <v>100</v>
      </c>
      <c r="F6" s="172">
        <f>IFERROR('8a'!F6/'8a'!$I6*100, "na")</f>
        <v>9.069862197250772E-2</v>
      </c>
      <c r="G6" s="30">
        <f>IFERROR('8a'!G6/'8a'!$I6*100, "na")</f>
        <v>1.7688129968278212</v>
      </c>
      <c r="H6" s="30">
        <f>IFERROR('8a'!H6/'8a'!$I6*100, "na")</f>
        <v>98.14048838119966</v>
      </c>
      <c r="I6" s="36">
        <f>IFERROR('8a'!I6/'8a'!$I6*100, "na")</f>
        <v>100</v>
      </c>
      <c r="J6" s="174">
        <f>IFERROR('8a'!J6/'8a'!$M6*100, "na")</f>
        <v>0.84320078456090553</v>
      </c>
      <c r="K6" s="175">
        <f>IFERROR('8a'!K6/'8a'!$M6*100, "na")</f>
        <v>4.0571678494402619</v>
      </c>
      <c r="L6" s="175">
        <f>IFERROR('8a'!L6/'8a'!$M6*100, "na")</f>
        <v>95.099631365998832</v>
      </c>
      <c r="M6" s="122">
        <f>IFERROR('8a'!M6/'8a'!$M6*100, "na")</f>
        <v>100</v>
      </c>
    </row>
    <row r="7" spans="1:13">
      <c r="A7" s="20" t="s">
        <v>7</v>
      </c>
      <c r="B7" s="176">
        <f>IFERROR('8a'!B7/'8a'!$E7*100, "na")</f>
        <v>0.65061959478123199</v>
      </c>
      <c r="C7" s="34">
        <f>IFERROR('8a'!C7/'8a'!$E7*100, "na")</f>
        <v>31.498869045133937</v>
      </c>
      <c r="D7" s="229">
        <f>IFERROR('8a'!D7/'8a'!$E7*100, "na")</f>
        <v>67.850511360084823</v>
      </c>
      <c r="E7" s="177">
        <f>IFERROR('8a'!E7/'8a'!$E7*100, "na")</f>
        <v>100</v>
      </c>
      <c r="F7" s="37">
        <f>IFERROR('8a'!F7/'8a'!$I7*100, "na")</f>
        <v>7.5378836003653998E-2</v>
      </c>
      <c r="G7" s="34">
        <f>IFERROR('8a'!G7/'8a'!$I7*100, "na")</f>
        <v>1.357963756377677</v>
      </c>
      <c r="H7" s="34">
        <f>IFERROR('8a'!H7/'8a'!$I7*100, "na")</f>
        <v>98.566657407618663</v>
      </c>
      <c r="I7" s="38">
        <f>IFERROR('8a'!I7/'8a'!$I7*100, "na")</f>
        <v>100</v>
      </c>
      <c r="J7" s="178">
        <f>IFERROR('8a'!J7/'8a'!$M7*100, "na")</f>
        <v>1.0758362400795505</v>
      </c>
      <c r="K7" s="179">
        <f>IFERROR('8a'!K7/'8a'!$M7*100, "na")</f>
        <v>4.4080073966422226</v>
      </c>
      <c r="L7" s="179">
        <f>IFERROR('8a'!L7/'8a'!$M7*100, "na")</f>
        <v>94.516156363278228</v>
      </c>
      <c r="M7" s="125">
        <f>IFERROR('8a'!M7/'8a'!$M7*100, "na")</f>
        <v>100</v>
      </c>
    </row>
    <row r="8" spans="1:13">
      <c r="A8" s="20" t="s">
        <v>8</v>
      </c>
      <c r="B8" s="176">
        <f>IFERROR('8a'!B8/'8a'!$E8*100, "na")</f>
        <v>0.6036701401930441</v>
      </c>
      <c r="C8" s="34">
        <f>IFERROR('8a'!C8/'8a'!$E8*100, "na")</f>
        <v>23.953793960640827</v>
      </c>
      <c r="D8" s="229">
        <f>IFERROR('8a'!D8/'8a'!$E8*100, "na")</f>
        <v>75.442535899166131</v>
      </c>
      <c r="E8" s="177">
        <f>IFERROR('8a'!E8/'8a'!$E8*100, "na")</f>
        <v>100</v>
      </c>
      <c r="F8" s="37">
        <f>IFERROR('8a'!F8/'8a'!$I8*100, "na")</f>
        <v>5.4699797193547638E-2</v>
      </c>
      <c r="G8" s="34">
        <f>IFERROR('8a'!G8/'8a'!$I8*100, "na")</f>
        <v>0.92918066457077686</v>
      </c>
      <c r="H8" s="34">
        <f>IFERROR('8a'!H8/'8a'!$I8*100, "na")</f>
        <v>99.016119538235685</v>
      </c>
      <c r="I8" s="38">
        <f>IFERROR('8a'!I8/'8a'!$I8*100, "na")</f>
        <v>100</v>
      </c>
      <c r="J8" s="178">
        <f>IFERROR('8a'!J8/'8a'!$M8*100, "na")</f>
        <v>1.4205402652529653</v>
      </c>
      <c r="K8" s="179">
        <f>IFERROR('8a'!K8/'8a'!$M8*100, "na")</f>
        <v>4.9364580029696352</v>
      </c>
      <c r="L8" s="179">
        <f>IFERROR('8a'!L8/'8a'!$M8*100, "na")</f>
        <v>93.643001731777403</v>
      </c>
      <c r="M8" s="125">
        <f>IFERROR('8a'!M8/'8a'!$M8*100, "na")</f>
        <v>100</v>
      </c>
    </row>
    <row r="9" spans="1:13">
      <c r="A9" s="20" t="s">
        <v>9</v>
      </c>
      <c r="B9" s="176">
        <f>IFERROR('8a'!B9/'8a'!$E9*100, "na")</f>
        <v>0.6009397689242596</v>
      </c>
      <c r="C9" s="34">
        <f>IFERROR('8a'!C9/'8a'!$E9*100, "na")</f>
        <v>16.859600467031068</v>
      </c>
      <c r="D9" s="229">
        <f>IFERROR('8a'!D9/'8a'!$E9*100, "na")</f>
        <v>82.539459764044679</v>
      </c>
      <c r="E9" s="177">
        <f>IFERROR('8a'!E9/'8a'!$E9*100, "na")</f>
        <v>100</v>
      </c>
      <c r="F9" s="37">
        <f>IFERROR('8a'!F9/'8a'!$I9*100, "na")</f>
        <v>4.376157721797938E-2</v>
      </c>
      <c r="G9" s="34">
        <f>IFERROR('8a'!G9/'8a'!$I9*100, "na")</f>
        <v>0.6394339588303396</v>
      </c>
      <c r="H9" s="34">
        <f>IFERROR('8a'!H9/'8a'!$I9*100, "na")</f>
        <v>99.316804463951698</v>
      </c>
      <c r="I9" s="38">
        <f>IFERROR('8a'!I9/'8a'!$I9*100, "na")</f>
        <v>100</v>
      </c>
      <c r="J9" s="178">
        <f>IFERROR('8a'!J9/'8a'!$M9*100, "na")</f>
        <v>2.1784020893171734</v>
      </c>
      <c r="K9" s="179">
        <f>IFERROR('8a'!K9/'8a'!$M9*100, "na")</f>
        <v>5.7513081201346372</v>
      </c>
      <c r="L9" s="179">
        <f>IFERROR('8a'!L9/'8a'!$M9*100, "na")</f>
        <v>92.070289790548188</v>
      </c>
      <c r="M9" s="125">
        <f>IFERROR('8a'!M9/'8a'!$M9*100, "na")</f>
        <v>100</v>
      </c>
    </row>
    <row r="10" spans="1:13">
      <c r="A10" s="20" t="s">
        <v>10</v>
      </c>
      <c r="B10" s="176">
        <f>IFERROR('8a'!B10/'8a'!$E10*100, "na")</f>
        <v>0.6514926324017517</v>
      </c>
      <c r="C10" s="34">
        <f>IFERROR('8a'!C10/'8a'!$E10*100, "na")</f>
        <v>14.267827187603949</v>
      </c>
      <c r="D10" s="229">
        <f>IFERROR('8a'!D10/'8a'!$E10*100, "na")</f>
        <v>85.080680179994303</v>
      </c>
      <c r="E10" s="177">
        <f>IFERROR('8a'!E10/'8a'!$E10*100, "na")</f>
        <v>100</v>
      </c>
      <c r="F10" s="37">
        <f>IFERROR('8a'!F10/'8a'!$I10*100, "na")</f>
        <v>3.7738198952449578E-2</v>
      </c>
      <c r="G10" s="34">
        <f>IFERROR('8a'!G10/'8a'!$I10*100, "na")</f>
        <v>0.49638360774892748</v>
      </c>
      <c r="H10" s="34">
        <f>IFERROR('8a'!H10/'8a'!$I10*100, "na")</f>
        <v>99.465878193298622</v>
      </c>
      <c r="I10" s="38">
        <f>IFERROR('8a'!I10/'8a'!$I10*100, "na")</f>
        <v>100</v>
      </c>
      <c r="J10" s="178">
        <f>IFERROR('8a'!J10/'8a'!$M10*100, "na")</f>
        <v>2.954932467172978</v>
      </c>
      <c r="K10" s="179">
        <f>IFERROR('8a'!K10/'8a'!$M10*100, "na")</f>
        <v>6.6255302225670718</v>
      </c>
      <c r="L10" s="179">
        <f>IFERROR('8a'!L10/'8a'!$M10*100, "na")</f>
        <v>90.41953731025994</v>
      </c>
      <c r="M10" s="125">
        <f>IFERROR('8a'!M10/'8a'!$M10*100, "na")</f>
        <v>100</v>
      </c>
    </row>
    <row r="11" spans="1:13">
      <c r="A11" s="20" t="s">
        <v>11</v>
      </c>
      <c r="B11" s="176">
        <f>IFERROR('8a'!B11/'8a'!$E11*100, "na")</f>
        <v>0.77531845177128267</v>
      </c>
      <c r="C11" s="34">
        <f>IFERROR('8a'!C11/'8a'!$E11*100, "na")</f>
        <v>13.233689390679954</v>
      </c>
      <c r="D11" s="229">
        <f>IFERROR('8a'!D11/'8a'!$E11*100, "na")</f>
        <v>85.99099215754876</v>
      </c>
      <c r="E11" s="177">
        <f>IFERROR('8a'!E11/'8a'!$E11*100, "na")</f>
        <v>100</v>
      </c>
      <c r="F11" s="37">
        <f>IFERROR('8a'!F11/'8a'!$I11*100, "na")</f>
        <v>3.4100726530100892E-2</v>
      </c>
      <c r="G11" s="34">
        <f>IFERROR('8a'!G11/'8a'!$I11*100, "na")</f>
        <v>0.41553904652678297</v>
      </c>
      <c r="H11" s="34">
        <f>IFERROR('8a'!H11/'8a'!$I11*100, "na")</f>
        <v>99.550360226943113</v>
      </c>
      <c r="I11" s="38">
        <f>IFERROR('8a'!I11/'8a'!$I11*100, "na")</f>
        <v>100</v>
      </c>
      <c r="J11" s="178">
        <f>IFERROR('8a'!J11/'8a'!$M11*100, "na")</f>
        <v>3.3709021705148334</v>
      </c>
      <c r="K11" s="179">
        <f>IFERROR('8a'!K11/'8a'!$M11*100, "na")</f>
        <v>7.2903153734475428</v>
      </c>
      <c r="L11" s="179">
        <f>IFERROR('8a'!L11/'8a'!$M11*100, "na")</f>
        <v>89.33878245603762</v>
      </c>
      <c r="M11" s="125">
        <f>IFERROR('8a'!M11/'8a'!$M11*100, "na")</f>
        <v>100</v>
      </c>
    </row>
    <row r="12" spans="1:13">
      <c r="A12" s="20" t="s">
        <v>12</v>
      </c>
      <c r="B12" s="176">
        <f>IFERROR('8a'!B12/'8a'!$E12*100, "na")</f>
        <v>1.0768836478934571</v>
      </c>
      <c r="C12" s="34">
        <f>IFERROR('8a'!C12/'8a'!$E12*100, "na")</f>
        <v>12.557075636369316</v>
      </c>
      <c r="D12" s="229">
        <f>IFERROR('8a'!D12/'8a'!$E12*100, "na")</f>
        <v>86.366040715737228</v>
      </c>
      <c r="E12" s="177">
        <f>IFERROR('8a'!E12/'8a'!$E12*100, "na")</f>
        <v>100</v>
      </c>
      <c r="F12" s="37">
        <f>IFERROR('8a'!F12/'8a'!$I12*100, "na")</f>
        <v>5.1738094468024756E-2</v>
      </c>
      <c r="G12" s="34">
        <f>IFERROR('8a'!G12/'8a'!$I12*100, "na")</f>
        <v>0.39227739193288386</v>
      </c>
      <c r="H12" s="34">
        <f>IFERROR('8a'!H12/'8a'!$I12*100, "na")</f>
        <v>99.555984513599086</v>
      </c>
      <c r="I12" s="38">
        <f>IFERROR('8a'!I12/'8a'!$I12*100, "na")</f>
        <v>100</v>
      </c>
      <c r="J12" s="178">
        <f>IFERROR('8a'!J12/'8a'!$M12*100, "na")</f>
        <v>3.9859231791588381</v>
      </c>
      <c r="K12" s="179">
        <f>IFERROR('8a'!K12/'8a'!$M12*100, "na")</f>
        <v>8.2387889442666342</v>
      </c>
      <c r="L12" s="179">
        <f>IFERROR('8a'!L12/'8a'!$M12*100, "na")</f>
        <v>87.775287876574538</v>
      </c>
      <c r="M12" s="125">
        <f>IFERROR('8a'!M12/'8a'!$M12*100, "na")</f>
        <v>100</v>
      </c>
    </row>
    <row r="13" spans="1:13">
      <c r="A13" s="20" t="s">
        <v>13</v>
      </c>
      <c r="B13" s="176">
        <f>IFERROR('8a'!B13/'8a'!$E13*100, "na")</f>
        <v>1.3814061042130015</v>
      </c>
      <c r="C13" s="34">
        <f>IFERROR('8a'!C13/'8a'!$E13*100, "na")</f>
        <v>12.636942358732606</v>
      </c>
      <c r="D13" s="229">
        <f>IFERROR('8a'!D13/'8a'!$E13*100, "na")</f>
        <v>85.981651537054404</v>
      </c>
      <c r="E13" s="177">
        <f>IFERROR('8a'!E13/'8a'!$E13*100, "na")</f>
        <v>100</v>
      </c>
      <c r="F13" s="37">
        <f>IFERROR('8a'!F13/'8a'!$I13*100, "na")</f>
        <v>0.15802752339993034</v>
      </c>
      <c r="G13" s="34">
        <f>IFERROR('8a'!G13/'8a'!$I13*100, "na")</f>
        <v>0.75410535275080626</v>
      </c>
      <c r="H13" s="34">
        <f>IFERROR('8a'!H13/'8a'!$I13*100, "na")</f>
        <v>99.087867123849264</v>
      </c>
      <c r="I13" s="38">
        <f>IFERROR('8a'!I13/'8a'!$I13*100, "na")</f>
        <v>100</v>
      </c>
      <c r="J13" s="178">
        <f>IFERROR('8a'!J13/'8a'!$M13*100, "na")</f>
        <v>4.3730043731404491</v>
      </c>
      <c r="K13" s="179">
        <f>IFERROR('8a'!K13/'8a'!$M13*100, "na")</f>
        <v>9.4292546923525578</v>
      </c>
      <c r="L13" s="179">
        <f>IFERROR('8a'!L13/'8a'!$M13*100, "na")</f>
        <v>86.197740934506996</v>
      </c>
      <c r="M13" s="125">
        <f>IFERROR('8a'!M13/'8a'!$M13*100, "na")</f>
        <v>100</v>
      </c>
    </row>
    <row r="14" spans="1:13">
      <c r="A14" s="20" t="s">
        <v>14</v>
      </c>
      <c r="B14" s="176">
        <f>IFERROR('8a'!B14/'8a'!$E14*100, "na")</f>
        <v>1.5619929784273903</v>
      </c>
      <c r="C14" s="34">
        <f>IFERROR('8a'!C14/'8a'!$E14*100, "na")</f>
        <v>13.130854085936718</v>
      </c>
      <c r="D14" s="229">
        <f>IFERROR('8a'!D14/'8a'!$E14*100, "na")</f>
        <v>85.307152935635898</v>
      </c>
      <c r="E14" s="177">
        <f>IFERROR('8a'!E14/'8a'!$E14*100, "na")</f>
        <v>100</v>
      </c>
      <c r="F14" s="37">
        <f>IFERROR('8a'!F14/'8a'!$I14*100, "na")</f>
        <v>0.34874153068109637</v>
      </c>
      <c r="G14" s="34">
        <f>IFERROR('8a'!G14/'8a'!$I14*100, "na")</f>
        <v>1.9323836425347445</v>
      </c>
      <c r="H14" s="34">
        <f>IFERROR('8a'!H14/'8a'!$I14*100, "na")</f>
        <v>97.718874826784159</v>
      </c>
      <c r="I14" s="38">
        <f>IFERROR('8a'!I14/'8a'!$I14*100, "na")</f>
        <v>100</v>
      </c>
      <c r="J14" s="178">
        <f>IFERROR('8a'!J14/'8a'!$M14*100, "na")</f>
        <v>4.7821423981195981</v>
      </c>
      <c r="K14" s="179">
        <f>IFERROR('8a'!K14/'8a'!$M14*100, "na")</f>
        <v>11.406857908955683</v>
      </c>
      <c r="L14" s="179">
        <f>IFERROR('8a'!L14/'8a'!$M14*100, "na")</f>
        <v>83.81099969292471</v>
      </c>
      <c r="M14" s="125">
        <f>IFERROR('8a'!M14/'8a'!$M14*100, "na")</f>
        <v>100</v>
      </c>
    </row>
    <row r="15" spans="1:13">
      <c r="A15" s="20" t="s">
        <v>15</v>
      </c>
      <c r="B15" s="176">
        <f>IFERROR('8a'!B15/'8a'!$E15*100, "na")</f>
        <v>1.6039859757929673</v>
      </c>
      <c r="C15" s="34">
        <f>IFERROR('8a'!C15/'8a'!$E15*100, "na")</f>
        <v>13.734865811879187</v>
      </c>
      <c r="D15" s="229">
        <f>IFERROR('8a'!D15/'8a'!$E15*100, "na")</f>
        <v>84.661148212327845</v>
      </c>
      <c r="E15" s="177">
        <f>IFERROR('8a'!E15/'8a'!$E15*100, "na")</f>
        <v>100</v>
      </c>
      <c r="F15" s="37">
        <f>IFERROR('8a'!F15/'8a'!$I15*100, "na")</f>
        <v>0.59198971485013174</v>
      </c>
      <c r="G15" s="34">
        <f>IFERROR('8a'!G15/'8a'!$I15*100, "na")</f>
        <v>3.749433243253343</v>
      </c>
      <c r="H15" s="34">
        <f>IFERROR('8a'!H15/'8a'!$I15*100, "na")</f>
        <v>95.658577041896535</v>
      </c>
      <c r="I15" s="38">
        <f>IFERROR('8a'!I15/'8a'!$I15*100, "na")</f>
        <v>100</v>
      </c>
      <c r="J15" s="178">
        <f>IFERROR('8a'!J15/'8a'!$M15*100, "na")</f>
        <v>4.4845766366523083</v>
      </c>
      <c r="K15" s="179">
        <f>IFERROR('8a'!K15/'8a'!$M15*100, "na")</f>
        <v>13.953947692238176</v>
      </c>
      <c r="L15" s="179">
        <f>IFERROR('8a'!L15/'8a'!$M15*100, "na")</f>
        <v>81.561475671109534</v>
      </c>
      <c r="M15" s="125">
        <f>IFERROR('8a'!M15/'8a'!$M15*100, "na")</f>
        <v>100</v>
      </c>
    </row>
    <row r="16" spans="1:13">
      <c r="A16" s="20" t="s">
        <v>16</v>
      </c>
      <c r="B16" s="176">
        <f>IFERROR('8a'!B16/'8a'!$E16*100, "na")</f>
        <v>1.6157283852644404</v>
      </c>
      <c r="C16" s="34">
        <f>IFERROR('8a'!C16/'8a'!$E16*100, "na")</f>
        <v>14.950809480248624</v>
      </c>
      <c r="D16" s="229">
        <f>IFERROR('8a'!D16/'8a'!$E16*100, "na")</f>
        <v>83.43346213448693</v>
      </c>
      <c r="E16" s="177">
        <f>IFERROR('8a'!E16/'8a'!$E16*100, "na")</f>
        <v>100</v>
      </c>
      <c r="F16" s="37">
        <f>IFERROR('8a'!F16/'8a'!$I16*100, "na")</f>
        <v>0.83790943197110945</v>
      </c>
      <c r="G16" s="34">
        <f>IFERROR('8a'!G16/'8a'!$I16*100, "na")</f>
        <v>6.0824002288544952</v>
      </c>
      <c r="H16" s="34">
        <f>IFERROR('8a'!H16/'8a'!$I16*100, "na")</f>
        <v>93.079690339174391</v>
      </c>
      <c r="I16" s="38">
        <f>IFERROR('8a'!I16/'8a'!$I16*100, "na")</f>
        <v>100</v>
      </c>
      <c r="J16" s="178">
        <f>IFERROR('8a'!J16/'8a'!$M16*100, "na")</f>
        <v>4.1444102070952127</v>
      </c>
      <c r="K16" s="179">
        <f>IFERROR('8a'!K16/'8a'!$M16*100, "na")</f>
        <v>16.074826116744948</v>
      </c>
      <c r="L16" s="179">
        <f>IFERROR('8a'!L16/'8a'!$M16*100, "na")</f>
        <v>79.78076367615985</v>
      </c>
      <c r="M16" s="125">
        <f>IFERROR('8a'!M16/'8a'!$M16*100, "na")</f>
        <v>100</v>
      </c>
    </row>
    <row r="17" spans="1:13">
      <c r="A17" s="20" t="s">
        <v>17</v>
      </c>
      <c r="B17" s="176">
        <f>IFERROR('8a'!B17/'8a'!$E17*100, "na")</f>
        <v>1.4459083155485826</v>
      </c>
      <c r="C17" s="34">
        <f>IFERROR('8a'!C17/'8a'!$E17*100, "na")</f>
        <v>12.662601973797274</v>
      </c>
      <c r="D17" s="229">
        <f>IFERROR('8a'!D17/'8a'!$E17*100, "na")</f>
        <v>85.891489710654142</v>
      </c>
      <c r="E17" s="177">
        <f>IFERROR('8a'!E17/'8a'!$E17*100, "na")</f>
        <v>100</v>
      </c>
      <c r="F17" s="37">
        <f>IFERROR('8a'!F17/'8a'!$I17*100, "na")</f>
        <v>1.3681971366847989</v>
      </c>
      <c r="G17" s="34">
        <f>IFERROR('8a'!G17/'8a'!$I17*100, "na")</f>
        <v>9.4612454525645688</v>
      </c>
      <c r="H17" s="34">
        <f>IFERROR('8a'!H17/'8a'!$I17*100, "na")</f>
        <v>89.170557410750632</v>
      </c>
      <c r="I17" s="38">
        <f>IFERROR('8a'!I17/'8a'!$I17*100, "na")</f>
        <v>100</v>
      </c>
      <c r="J17" s="178">
        <f>IFERROR('8a'!J17/'8a'!$M17*100, "na")</f>
        <v>4.2758249263540344</v>
      </c>
      <c r="K17" s="179">
        <f>IFERROR('8a'!K17/'8a'!$M17*100, "na")</f>
        <v>18.381456019329402</v>
      </c>
      <c r="L17" s="179">
        <f>IFERROR('8a'!L17/'8a'!$M17*100, "na")</f>
        <v>77.342719054316561</v>
      </c>
      <c r="M17" s="125">
        <f>IFERROR('8a'!M17/'8a'!$M17*100, "na")</f>
        <v>100</v>
      </c>
    </row>
    <row r="18" spans="1:13">
      <c r="A18" s="20" t="s">
        <v>18</v>
      </c>
      <c r="B18" s="176">
        <f>IFERROR('8a'!B18/'8a'!$E18*100, "na")</f>
        <v>1.6389528427197542</v>
      </c>
      <c r="C18" s="34">
        <f>IFERROR('8a'!C18/'8a'!$E18*100, "na")</f>
        <v>12.639077088052078</v>
      </c>
      <c r="D18" s="229">
        <f>IFERROR('8a'!D18/'8a'!$E18*100, "na")</f>
        <v>85.721970069228163</v>
      </c>
      <c r="E18" s="177">
        <f>IFERROR('8a'!E18/'8a'!$E18*100, "na")</f>
        <v>100</v>
      </c>
      <c r="F18" s="37">
        <f>IFERROR('8a'!F18/'8a'!$I18*100, "na")</f>
        <v>2.7604376848419405</v>
      </c>
      <c r="G18" s="34">
        <f>IFERROR('8a'!G18/'8a'!$I18*100, "na")</f>
        <v>20.006980024311289</v>
      </c>
      <c r="H18" s="34">
        <f>IFERROR('8a'!H18/'8a'!$I18*100, "na")</f>
        <v>77.232582290846779</v>
      </c>
      <c r="I18" s="38">
        <f>IFERROR('8a'!I18/'8a'!$I18*100, "na")</f>
        <v>100</v>
      </c>
      <c r="J18" s="178">
        <f>IFERROR('8a'!J18/'8a'!$M18*100, "na")</f>
        <v>4.726413311388221</v>
      </c>
      <c r="K18" s="179">
        <f>IFERROR('8a'!K18/'8a'!$M18*100, "na")</f>
        <v>20.693849833427652</v>
      </c>
      <c r="L18" s="179">
        <f>IFERROR('8a'!L18/'8a'!$M18*100, "na")</f>
        <v>74.579736855184137</v>
      </c>
      <c r="M18" s="125">
        <f>IFERROR('8a'!M18/'8a'!$M18*100, "na")</f>
        <v>100</v>
      </c>
    </row>
    <row r="19" spans="1:13">
      <c r="A19" s="20" t="s">
        <v>19</v>
      </c>
      <c r="B19" s="176">
        <f>IFERROR('8a'!B19/'8a'!$E19*100, "na")</f>
        <v>1.6016564236354673</v>
      </c>
      <c r="C19" s="34">
        <f>IFERROR('8a'!C19/'8a'!$E19*100, "na")</f>
        <v>12.898313891132156</v>
      </c>
      <c r="D19" s="229">
        <f>IFERROR('8a'!D19/'8a'!$E19*100, "na")</f>
        <v>85.500029685232377</v>
      </c>
      <c r="E19" s="177">
        <f>IFERROR('8a'!E19/'8a'!$E19*100, "na")</f>
        <v>100</v>
      </c>
      <c r="F19" s="37">
        <f>IFERROR('8a'!F19/'8a'!$I19*100, "na")</f>
        <v>3.4870185090445553</v>
      </c>
      <c r="G19" s="34">
        <f>IFERROR('8a'!G19/'8a'!$I19*100, "na")</f>
        <v>27.19319026549708</v>
      </c>
      <c r="H19" s="34">
        <f>IFERROR('8a'!H19/'8a'!$I19*100, "na")</f>
        <v>69.31979122545836</v>
      </c>
      <c r="I19" s="38">
        <f>IFERROR('8a'!I19/'8a'!$I19*100, "na")</f>
        <v>100</v>
      </c>
      <c r="J19" s="178">
        <f>IFERROR('8a'!J19/'8a'!$M19*100, "na")</f>
        <v>5.3311867909368242</v>
      </c>
      <c r="K19" s="179">
        <f>IFERROR('8a'!K19/'8a'!$M19*100, "na")</f>
        <v>22.046847031764262</v>
      </c>
      <c r="L19" s="179">
        <f>IFERROR('8a'!L19/'8a'!$M19*100, "na")</f>
        <v>72.621966177298901</v>
      </c>
      <c r="M19" s="125">
        <f>IFERROR('8a'!M19/'8a'!$M19*100, "na")</f>
        <v>100</v>
      </c>
    </row>
    <row r="20" spans="1:13">
      <c r="A20" s="20" t="s">
        <v>20</v>
      </c>
      <c r="B20" s="176">
        <f>IFERROR('8a'!B20/'8a'!$E20*100, "na")</f>
        <v>1.722014063294057</v>
      </c>
      <c r="C20" s="34">
        <f>IFERROR('8a'!C20/'8a'!$E20*100, "na")</f>
        <v>12.638386388284403</v>
      </c>
      <c r="D20" s="229">
        <f>IFERROR('8a'!D20/'8a'!$E20*100, "na")</f>
        <v>85.639599548421543</v>
      </c>
      <c r="E20" s="177">
        <f>IFERROR('8a'!E20/'8a'!$E20*100, "na")</f>
        <v>100</v>
      </c>
      <c r="F20" s="37">
        <f>IFERROR('8a'!F20/'8a'!$I20*100, "na")</f>
        <v>4.3543384640848117</v>
      </c>
      <c r="G20" s="34">
        <f>IFERROR('8a'!G20/'8a'!$I20*100, "na")</f>
        <v>29.110392136769882</v>
      </c>
      <c r="H20" s="34">
        <f>IFERROR('8a'!H20/'8a'!$I20*100, "na")</f>
        <v>66.535269399145307</v>
      </c>
      <c r="I20" s="38">
        <f>IFERROR('8a'!I20/'8a'!$I20*100, "na")</f>
        <v>100</v>
      </c>
      <c r="J20" s="178">
        <f>IFERROR('8a'!J20/'8a'!$M20*100, "na")</f>
        <v>6.6043248905546807</v>
      </c>
      <c r="K20" s="179">
        <f>IFERROR('8a'!K20/'8a'!$M20*100, "na")</f>
        <v>22.850720932811498</v>
      </c>
      <c r="L20" s="179">
        <f>IFERROR('8a'!L20/'8a'!$M20*100, "na")</f>
        <v>70.544954176633823</v>
      </c>
      <c r="M20" s="125">
        <f>IFERROR('8a'!M20/'8a'!$M20*100, "na")</f>
        <v>100</v>
      </c>
    </row>
    <row r="21" spans="1:13">
      <c r="A21" s="20" t="s">
        <v>21</v>
      </c>
      <c r="B21" s="176">
        <f>IFERROR('8a'!B21/'8a'!$E21*100, "na")</f>
        <v>1.9658117780881896</v>
      </c>
      <c r="C21" s="34">
        <f>IFERROR('8a'!C21/'8a'!$E21*100, "na")</f>
        <v>12.366308586192174</v>
      </c>
      <c r="D21" s="229">
        <f>IFERROR('8a'!D21/'8a'!$E21*100, "na")</f>
        <v>85.667879635719629</v>
      </c>
      <c r="E21" s="177">
        <f>IFERROR('8a'!E21/'8a'!$E21*100, "na")</f>
        <v>100</v>
      </c>
      <c r="F21" s="37">
        <f>IFERROR('8a'!F21/'8a'!$I21*100, "na")</f>
        <v>5.4132609805228995</v>
      </c>
      <c r="G21" s="34">
        <f>IFERROR('8a'!G21/'8a'!$I21*100, "na")</f>
        <v>29.78863772386056</v>
      </c>
      <c r="H21" s="34">
        <f>IFERROR('8a'!H21/'8a'!$I21*100, "na")</f>
        <v>64.798101295616533</v>
      </c>
      <c r="I21" s="38">
        <f>IFERROR('8a'!I21/'8a'!$I21*100, "na")</f>
        <v>100</v>
      </c>
      <c r="J21" s="178">
        <f>IFERROR('8a'!J21/'8a'!$M21*100, "na")</f>
        <v>8.1091757477278996</v>
      </c>
      <c r="K21" s="179">
        <f>IFERROR('8a'!K21/'8a'!$M21*100, "na")</f>
        <v>23.259459820074696</v>
      </c>
      <c r="L21" s="179">
        <f>IFERROR('8a'!L21/'8a'!$M21*100, "na")</f>
        <v>68.631364432197401</v>
      </c>
      <c r="M21" s="125">
        <f>IFERROR('8a'!M21/'8a'!$M21*100, "na")</f>
        <v>100</v>
      </c>
    </row>
    <row r="22" spans="1:13">
      <c r="A22" s="20" t="s">
        <v>22</v>
      </c>
      <c r="B22" s="176">
        <f>IFERROR('8a'!B22/'8a'!$E22*100, "na")</f>
        <v>2.7359735604614159</v>
      </c>
      <c r="C22" s="34">
        <f>IFERROR('8a'!C22/'8a'!$E22*100, "na")</f>
        <v>12.829892411783774</v>
      </c>
      <c r="D22" s="229">
        <f>IFERROR('8a'!D22/'8a'!$E22*100, "na")</f>
        <v>84.434134027754808</v>
      </c>
      <c r="E22" s="177">
        <f>IFERROR('8a'!E22/'8a'!$E22*100, "na")</f>
        <v>100</v>
      </c>
      <c r="F22" s="37">
        <f>IFERROR('8a'!F22/'8a'!$I22*100, "na")</f>
        <v>6.9809670173563685</v>
      </c>
      <c r="G22" s="34">
        <f>IFERROR('8a'!G22/'8a'!$I22*100, "na")</f>
        <v>30.06072473200939</v>
      </c>
      <c r="H22" s="34">
        <f>IFERROR('8a'!H22/'8a'!$I22*100, "na")</f>
        <v>62.958308250634246</v>
      </c>
      <c r="I22" s="38">
        <f>IFERROR('8a'!I22/'8a'!$I22*100, "na")</f>
        <v>100</v>
      </c>
      <c r="J22" s="178">
        <f>IFERROR('8a'!J22/'8a'!$M22*100, "na")</f>
        <v>10.128918559368067</v>
      </c>
      <c r="K22" s="179">
        <f>IFERROR('8a'!K22/'8a'!$M22*100, "na")</f>
        <v>25.827963005790384</v>
      </c>
      <c r="L22" s="179">
        <f>IFERROR('8a'!L22/'8a'!$M22*100, "na")</f>
        <v>64.043118434841546</v>
      </c>
      <c r="M22" s="125">
        <f>IFERROR('8a'!M22/'8a'!$M22*100, "na")</f>
        <v>100</v>
      </c>
    </row>
    <row r="23" spans="1:13">
      <c r="A23" s="20" t="s">
        <v>23</v>
      </c>
      <c r="B23" s="176">
        <f>IFERROR('8a'!B23/'8a'!$E23*100, "na")</f>
        <v>3.319258192488181</v>
      </c>
      <c r="C23" s="34">
        <f>IFERROR('8a'!C23/'8a'!$E23*100, "na")</f>
        <v>12.188202785224107</v>
      </c>
      <c r="D23" s="229">
        <f>IFERROR('8a'!D23/'8a'!$E23*100, "na")</f>
        <v>84.492539022287716</v>
      </c>
      <c r="E23" s="177">
        <f>IFERROR('8a'!E23/'8a'!$E23*100, "na")</f>
        <v>100</v>
      </c>
      <c r="F23" s="37">
        <f>IFERROR('8a'!F23/'8a'!$I23*100, "na")</f>
        <v>9.393331430332033</v>
      </c>
      <c r="G23" s="34">
        <f>IFERROR('8a'!G23/'8a'!$I23*100, "na")</f>
        <v>31.081455851455498</v>
      </c>
      <c r="H23" s="34">
        <f>IFERROR('8a'!H23/'8a'!$I23*100, "na")</f>
        <v>59.525212718212472</v>
      </c>
      <c r="I23" s="38">
        <f>IFERROR('8a'!I23/'8a'!$I23*100, "na")</f>
        <v>100</v>
      </c>
      <c r="J23" s="178">
        <f>IFERROR('8a'!J23/'8a'!$M23*100, "na")</f>
        <v>12.211991926502733</v>
      </c>
      <c r="K23" s="179">
        <f>IFERROR('8a'!K23/'8a'!$M23*100, "na")</f>
        <v>28.898232183121525</v>
      </c>
      <c r="L23" s="179">
        <f>IFERROR('8a'!L23/'8a'!$M23*100, "na")</f>
        <v>58.889775890375752</v>
      </c>
      <c r="M23" s="125">
        <f>IFERROR('8a'!M23/'8a'!$M23*100, "na")</f>
        <v>100</v>
      </c>
    </row>
    <row r="24" spans="1:13">
      <c r="A24" s="20" t="s">
        <v>24</v>
      </c>
      <c r="B24" s="176">
        <f>IFERROR('8a'!B24/'8a'!$E24*100, "na")</f>
        <v>3.4206953088163896</v>
      </c>
      <c r="C24" s="34">
        <f>IFERROR('8a'!C24/'8a'!$E24*100, "na")</f>
        <v>11.102947586035398</v>
      </c>
      <c r="D24" s="229">
        <f>IFERROR('8a'!D24/'8a'!$E24*100, "na")</f>
        <v>85.47635710514821</v>
      </c>
      <c r="E24" s="177">
        <f>IFERROR('8a'!E24/'8a'!$E24*100, "na")</f>
        <v>100</v>
      </c>
      <c r="F24" s="37">
        <f>IFERROR('8a'!F24/'8a'!$I24*100, "na")</f>
        <v>10.98397562283891</v>
      </c>
      <c r="G24" s="34">
        <f>IFERROR('8a'!G24/'8a'!$I24*100, "na")</f>
        <v>31.714902574501956</v>
      </c>
      <c r="H24" s="34">
        <f>IFERROR('8a'!H24/'8a'!$I24*100, "na")</f>
        <v>57.301121802659125</v>
      </c>
      <c r="I24" s="38">
        <f>IFERROR('8a'!I24/'8a'!$I24*100, "na")</f>
        <v>100</v>
      </c>
      <c r="J24" s="178">
        <f>IFERROR('8a'!J24/'8a'!$M24*100, "na")</f>
        <v>15.068599612847123</v>
      </c>
      <c r="K24" s="179">
        <f>IFERROR('8a'!K24/'8a'!$M24*100, "na")</f>
        <v>32.116286338117895</v>
      </c>
      <c r="L24" s="179">
        <f>IFERROR('8a'!L24/'8a'!$M24*100, "na")</f>
        <v>52.815114049034982</v>
      </c>
      <c r="M24" s="125">
        <f>IFERROR('8a'!M24/'8a'!$M24*100, "na")</f>
        <v>100</v>
      </c>
    </row>
    <row r="25" spans="1:13">
      <c r="A25" s="20" t="s">
        <v>25</v>
      </c>
      <c r="B25" s="176">
        <f>IFERROR('8a'!B25/'8a'!$E25*100, "na")</f>
        <v>3.5427564572462273</v>
      </c>
      <c r="C25" s="34">
        <f>IFERROR('8a'!C25/'8a'!$E25*100, "na")</f>
        <v>10.897667815564088</v>
      </c>
      <c r="D25" s="229">
        <f>IFERROR('8a'!D25/'8a'!$E25*100, "na")</f>
        <v>85.559575727189667</v>
      </c>
      <c r="E25" s="177">
        <f>IFERROR('8a'!E25/'8a'!$E25*100, "na")</f>
        <v>100</v>
      </c>
      <c r="F25" s="37">
        <f>IFERROR('8a'!F25/'8a'!$I25*100, "na")</f>
        <v>11.053728216748754</v>
      </c>
      <c r="G25" s="34">
        <f>IFERROR('8a'!G25/'8a'!$I25*100, "na")</f>
        <v>28.30604189290684</v>
      </c>
      <c r="H25" s="34">
        <f>IFERROR('8a'!H25/'8a'!$I25*100, "na")</f>
        <v>60.640229890344408</v>
      </c>
      <c r="I25" s="38">
        <f>IFERROR('8a'!I25/'8a'!$I25*100, "na")</f>
        <v>100</v>
      </c>
      <c r="J25" s="178">
        <f>IFERROR('8a'!J25/'8a'!$M25*100, "na")</f>
        <v>16.257537775010036</v>
      </c>
      <c r="K25" s="179">
        <f>IFERROR('8a'!K25/'8a'!$M25*100, "na")</f>
        <v>33.331271896145523</v>
      </c>
      <c r="L25" s="179">
        <f>IFERROR('8a'!L25/'8a'!$M25*100, "na")</f>
        <v>50.411190328844434</v>
      </c>
      <c r="M25" s="125">
        <f>IFERROR('8a'!M25/'8a'!$M25*100, "na")</f>
        <v>100</v>
      </c>
    </row>
    <row r="26" spans="1:13">
      <c r="A26" s="20" t="s">
        <v>26</v>
      </c>
      <c r="B26" s="176">
        <f>IFERROR('8a'!B26/'8a'!$E26*100, "na")</f>
        <v>3.4299123867138972</v>
      </c>
      <c r="C26" s="34">
        <f>IFERROR('8a'!C26/'8a'!$E26*100, "na")</f>
        <v>10.216856973357787</v>
      </c>
      <c r="D26" s="229">
        <f>IFERROR('8a'!D26/'8a'!$E26*100, "na")</f>
        <v>86.353230639928313</v>
      </c>
      <c r="E26" s="177">
        <f>IFERROR('8a'!E26/'8a'!$E26*100, "na")</f>
        <v>100</v>
      </c>
      <c r="F26" s="37">
        <f>IFERROR('8a'!F26/'8a'!$I26*100, "na")</f>
        <v>10.493361683306494</v>
      </c>
      <c r="G26" s="34">
        <f>IFERROR('8a'!G26/'8a'!$I26*100, "na")</f>
        <v>24.130492415417848</v>
      </c>
      <c r="H26" s="34">
        <f>IFERROR('8a'!H26/'8a'!$I26*100, "na")</f>
        <v>65.376145901275663</v>
      </c>
      <c r="I26" s="38">
        <f>IFERROR('8a'!I26/'8a'!$I26*100, "na")</f>
        <v>100</v>
      </c>
      <c r="J26" s="178">
        <f>IFERROR('8a'!J26/'8a'!$M26*100, "na")</f>
        <v>15.342015151349015</v>
      </c>
      <c r="K26" s="179">
        <f>IFERROR('8a'!K26/'8a'!$M26*100, "na")</f>
        <v>33.882934564250903</v>
      </c>
      <c r="L26" s="179">
        <f>IFERROR('8a'!L26/'8a'!$M26*100, "na")</f>
        <v>50.775050284400081</v>
      </c>
      <c r="M26" s="125">
        <f>IFERROR('8a'!M26/'8a'!$M26*100, "na")</f>
        <v>100</v>
      </c>
    </row>
    <row r="27" spans="1:13">
      <c r="A27" s="20" t="s">
        <v>27</v>
      </c>
      <c r="B27" s="176">
        <f>IFERROR('8a'!B27/'8a'!$E27*100, "na")</f>
        <v>2.9482354224622269</v>
      </c>
      <c r="C27" s="34">
        <f>IFERROR('8a'!C27/'8a'!$E27*100, "na")</f>
        <v>8.0019636720667648</v>
      </c>
      <c r="D27" s="229">
        <f>IFERROR('8a'!D27/'8a'!$E27*100, "na")</f>
        <v>89.049800905471017</v>
      </c>
      <c r="E27" s="177">
        <f>IFERROR('8a'!E27/'8a'!$E27*100, "na")</f>
        <v>100</v>
      </c>
      <c r="F27" s="37">
        <f>IFERROR('8a'!F27/'8a'!$I27*100, "na")</f>
        <v>9.6708860759493671</v>
      </c>
      <c r="G27" s="34">
        <f>IFERROR('8a'!G27/'8a'!$I27*100, "na")</f>
        <v>20.202531645569621</v>
      </c>
      <c r="H27" s="34">
        <f>IFERROR('8a'!H27/'8a'!$I27*100, "na")</f>
        <v>70.12658227848101</v>
      </c>
      <c r="I27" s="38">
        <f>IFERROR('8a'!I27/'8a'!$I27*100, "na")</f>
        <v>100</v>
      </c>
      <c r="J27" s="178">
        <f>IFERROR('8a'!J27/'8a'!$M27*100, "na")</f>
        <v>15.507149026005182</v>
      </c>
      <c r="K27" s="179">
        <f>IFERROR('8a'!K27/'8a'!$M27*100, "na")</f>
        <v>34.564821034449665</v>
      </c>
      <c r="L27" s="179">
        <f>IFERROR('8a'!L27/'8a'!$M27*100, "na")</f>
        <v>49.928029939545141</v>
      </c>
      <c r="M27" s="125">
        <f>IFERROR('8a'!M27/'8a'!$M27*100, "na")</f>
        <v>100</v>
      </c>
    </row>
    <row r="28" spans="1:13">
      <c r="A28" s="20" t="s">
        <v>28</v>
      </c>
      <c r="B28" s="176">
        <f>IFERROR('8a'!B28/'8a'!$E28*100, "na")</f>
        <v>2.5134556092564715</v>
      </c>
      <c r="C28" s="34">
        <f>IFERROR('8a'!C28/'8a'!$E28*100, "na")</f>
        <v>6.4045290501152303</v>
      </c>
      <c r="D28" s="229">
        <f>IFERROR('8a'!D28/'8a'!$E28*100, "na")</f>
        <v>91.082015340628303</v>
      </c>
      <c r="E28" s="177">
        <f>IFERROR('8a'!E28/'8a'!$E28*100, "na")</f>
        <v>100</v>
      </c>
      <c r="F28" s="37">
        <f>IFERROR('8a'!F28/'8a'!$I28*100, "na")</f>
        <v>9.3868558158083122</v>
      </c>
      <c r="G28" s="34">
        <f>IFERROR('8a'!G28/'8a'!$I28*100, "na")</f>
        <v>17.751013909028099</v>
      </c>
      <c r="H28" s="34">
        <f>IFERROR('8a'!H28/'8a'!$I28*100, "na")</f>
        <v>72.862130275163594</v>
      </c>
      <c r="I28" s="38">
        <f>IFERROR('8a'!I28/'8a'!$I28*100, "na")</f>
        <v>100</v>
      </c>
      <c r="J28" s="178">
        <f>IFERROR('8a'!J28/'8a'!$M28*100, "na")</f>
        <v>15.998104835108833</v>
      </c>
      <c r="K28" s="179">
        <f>IFERROR('8a'!K28/'8a'!$M28*100, "na")</f>
        <v>35.808933331601331</v>
      </c>
      <c r="L28" s="179">
        <f>IFERROR('8a'!L28/'8a'!$M28*100, "na")</f>
        <v>48.192961833289814</v>
      </c>
      <c r="M28" s="125">
        <f>IFERROR('8a'!M28/'8a'!$M28*100, "na")</f>
        <v>100</v>
      </c>
    </row>
    <row r="29" spans="1:13">
      <c r="A29" s="20" t="s">
        <v>29</v>
      </c>
      <c r="B29" s="176">
        <f>IFERROR('8a'!B29/'8a'!$E29*100, "na")</f>
        <v>2.1872348984431738</v>
      </c>
      <c r="C29" s="34">
        <f>IFERROR('8a'!C29/'8a'!$E29*100, "na")</f>
        <v>5.3087029901149103</v>
      </c>
      <c r="D29" s="229">
        <f>IFERROR('8a'!D29/'8a'!$E29*100, "na")</f>
        <v>92.504062111441925</v>
      </c>
      <c r="E29" s="177">
        <f>IFERROR('8a'!E29/'8a'!$E29*100, "na")</f>
        <v>100</v>
      </c>
      <c r="F29" s="37">
        <f>IFERROR('8a'!F29/'8a'!$I29*100, "na")</f>
        <v>9.3417938922278143</v>
      </c>
      <c r="G29" s="34">
        <f>IFERROR('8a'!G29/'8a'!$I29*100, "na")</f>
        <v>16.23464870870945</v>
      </c>
      <c r="H29" s="34">
        <f>IFERROR('8a'!H29/'8a'!$I29*100, "na")</f>
        <v>74.42355739906273</v>
      </c>
      <c r="I29" s="38">
        <f>IFERROR('8a'!I29/'8a'!$I29*100, "na")</f>
        <v>100</v>
      </c>
      <c r="J29" s="178">
        <f>IFERROR('8a'!J29/'8a'!$M29*100, "na")</f>
        <v>16.032696745487247</v>
      </c>
      <c r="K29" s="179">
        <f>IFERROR('8a'!K29/'8a'!$M29*100, "na")</f>
        <v>37.263081528174354</v>
      </c>
      <c r="L29" s="179">
        <f>IFERROR('8a'!L29/'8a'!$M29*100, "na")</f>
        <v>46.70422172633841</v>
      </c>
      <c r="M29" s="125">
        <f>IFERROR('8a'!M29/'8a'!$M29*100, "na")</f>
        <v>100</v>
      </c>
    </row>
    <row r="30" spans="1:13">
      <c r="A30" s="20" t="s">
        <v>30</v>
      </c>
      <c r="B30" s="176">
        <f>IFERROR('8a'!B30/'8a'!$E30*100, "na")</f>
        <v>1.9473361444084716</v>
      </c>
      <c r="C30" s="34">
        <f>IFERROR('8a'!C30/'8a'!$E30*100, "na")</f>
        <v>4.4886762172202932</v>
      </c>
      <c r="D30" s="229">
        <f>IFERROR('8a'!D30/'8a'!$E30*100, "na")</f>
        <v>93.563987638371231</v>
      </c>
      <c r="E30" s="177">
        <f>IFERROR('8a'!E30/'8a'!$E30*100, "na")</f>
        <v>100</v>
      </c>
      <c r="F30" s="37">
        <f>IFERROR('8a'!F30/'8a'!$I30*100, "na")</f>
        <v>9.7554094524248036</v>
      </c>
      <c r="G30" s="34">
        <f>IFERROR('8a'!G30/'8a'!$I30*100, "na")</f>
        <v>15.371969539745962</v>
      </c>
      <c r="H30" s="34">
        <f>IFERROR('8a'!H30/'8a'!$I30*100, "na")</f>
        <v>74.872621007829238</v>
      </c>
      <c r="I30" s="38">
        <f>IFERROR('8a'!I30/'8a'!$I30*100, "na")</f>
        <v>100</v>
      </c>
      <c r="J30" s="178">
        <f>IFERROR('8a'!J30/'8a'!$M30*100, "na")</f>
        <v>15.524364856097661</v>
      </c>
      <c r="K30" s="179">
        <f>IFERROR('8a'!K30/'8a'!$M30*100, "na")</f>
        <v>38.811421065152821</v>
      </c>
      <c r="L30" s="179">
        <f>IFERROR('8a'!L30/'8a'!$M30*100, "na")</f>
        <v>45.664214078749509</v>
      </c>
      <c r="M30" s="125">
        <f>IFERROR('8a'!M30/'8a'!$M30*100, "na")</f>
        <v>100</v>
      </c>
    </row>
    <row r="31" spans="1:13">
      <c r="A31" s="20" t="s">
        <v>31</v>
      </c>
      <c r="B31" s="176">
        <f>IFERROR('8a'!B31/'8a'!$E31*100, "na")</f>
        <v>1.873087262044421</v>
      </c>
      <c r="C31" s="34">
        <f>IFERROR('8a'!C31/'8a'!$E31*100, "na")</f>
        <v>3.8998751441687811</v>
      </c>
      <c r="D31" s="229">
        <f>IFERROR('8a'!D31/'8a'!$E31*100, "na")</f>
        <v>94.227037593786804</v>
      </c>
      <c r="E31" s="177">
        <f>IFERROR('8a'!E31/'8a'!$E31*100, "na")</f>
        <v>100</v>
      </c>
      <c r="F31" s="37">
        <f>IFERROR('8a'!F31/'8a'!$I31*100, "na")</f>
        <v>11.335128466356508</v>
      </c>
      <c r="G31" s="34">
        <f>IFERROR('8a'!G31/'8a'!$I31*100, "na")</f>
        <v>14.988679809099118</v>
      </c>
      <c r="H31" s="34">
        <f>IFERROR('8a'!H31/'8a'!$I31*100, "na")</f>
        <v>73.676191724544367</v>
      </c>
      <c r="I31" s="38">
        <f>IFERROR('8a'!I31/'8a'!$I31*100, "na")</f>
        <v>100</v>
      </c>
      <c r="J31" s="178">
        <f>IFERROR('8a'!J31/'8a'!$M31*100, "na")</f>
        <v>15.810861827902977</v>
      </c>
      <c r="K31" s="179">
        <f>IFERROR('8a'!K31/'8a'!$M31*100, "na")</f>
        <v>38.297950858104571</v>
      </c>
      <c r="L31" s="179">
        <f>IFERROR('8a'!L31/'8a'!$M31*100, "na")</f>
        <v>45.891187313992447</v>
      </c>
      <c r="M31" s="125">
        <f>IFERROR('8a'!M31/'8a'!$M31*100, "na")</f>
        <v>100</v>
      </c>
    </row>
    <row r="32" spans="1:13">
      <c r="A32" s="20" t="s">
        <v>32</v>
      </c>
      <c r="B32" s="176">
        <f>IFERROR('8a'!B32/'8a'!$E32*100, "na")</f>
        <v>2.2714006448744293</v>
      </c>
      <c r="C32" s="34">
        <f>IFERROR('8a'!C32/'8a'!$E32*100, "na")</f>
        <v>3.985606643698242</v>
      </c>
      <c r="D32" s="229">
        <f>IFERROR('8a'!D32/'8a'!$E32*100, "na")</f>
        <v>93.742992711427334</v>
      </c>
      <c r="E32" s="177">
        <f>IFERROR('8a'!E32/'8a'!$E32*100, "na")</f>
        <v>100</v>
      </c>
      <c r="F32" s="37">
        <f>IFERROR('8a'!F32/'8a'!$I32*100, "na")</f>
        <v>14.13449608490275</v>
      </c>
      <c r="G32" s="34">
        <f>IFERROR('8a'!G32/'8a'!$I32*100, "na")</f>
        <v>15.581938609091425</v>
      </c>
      <c r="H32" s="34">
        <f>IFERROR('8a'!H32/'8a'!$I32*100, "na")</f>
        <v>70.283565306005826</v>
      </c>
      <c r="I32" s="38">
        <f>IFERROR('8a'!I32/'8a'!$I32*100, "na")</f>
        <v>100</v>
      </c>
      <c r="J32" s="178">
        <f>IFERROR('8a'!J32/'8a'!$M32*100, "na")</f>
        <v>17.050846655394047</v>
      </c>
      <c r="K32" s="179">
        <f>IFERROR('8a'!K32/'8a'!$M32*100, "na")</f>
        <v>39.770709736639681</v>
      </c>
      <c r="L32" s="179">
        <f>IFERROR('8a'!L32/'8a'!$M32*100, "na")</f>
        <v>43.17844360796628</v>
      </c>
      <c r="M32" s="125">
        <f>IFERROR('8a'!M32/'8a'!$M32*100, "na")</f>
        <v>100</v>
      </c>
    </row>
    <row r="33" spans="1:13">
      <c r="A33" s="20" t="s">
        <v>33</v>
      </c>
      <c r="B33" s="176">
        <f>IFERROR('8a'!B33/'8a'!$E33*100, "na")</f>
        <v>2.8006125521329093</v>
      </c>
      <c r="C33" s="34">
        <f>IFERROR('8a'!C33/'8a'!$E33*100, "na")</f>
        <v>4.1206425826392401</v>
      </c>
      <c r="D33" s="229">
        <f>IFERROR('8a'!D33/'8a'!$E33*100, "na")</f>
        <v>93.078744865227847</v>
      </c>
      <c r="E33" s="177">
        <f>IFERROR('8a'!E33/'8a'!$E33*100, "na")</f>
        <v>100</v>
      </c>
      <c r="F33" s="37">
        <f>IFERROR('8a'!F33/'8a'!$I33*100, "na")</f>
        <v>17.195649351737927</v>
      </c>
      <c r="G33" s="34">
        <f>IFERROR('8a'!G33/'8a'!$I33*100, "na")</f>
        <v>16.075258034314658</v>
      </c>
      <c r="H33" s="34">
        <f>IFERROR('8a'!H33/'8a'!$I33*100, "na")</f>
        <v>66.729092613947415</v>
      </c>
      <c r="I33" s="38">
        <f>IFERROR('8a'!I33/'8a'!$I33*100, "na")</f>
        <v>100</v>
      </c>
      <c r="J33" s="178">
        <f>IFERROR('8a'!J33/'8a'!$M33*100, "na")</f>
        <v>17.598560291011442</v>
      </c>
      <c r="K33" s="179">
        <f>IFERROR('8a'!K33/'8a'!$M33*100, "na")</f>
        <v>40.460777365628225</v>
      </c>
      <c r="L33" s="179">
        <f>IFERROR('8a'!L33/'8a'!$M33*100, "na")</f>
        <v>41.940662343360337</v>
      </c>
      <c r="M33" s="125">
        <f>IFERROR('8a'!M33/'8a'!$M33*100, "na")</f>
        <v>100</v>
      </c>
    </row>
    <row r="34" spans="1:13">
      <c r="A34" s="20" t="s">
        <v>34</v>
      </c>
      <c r="B34" s="176">
        <f>IFERROR('8a'!B34/'8a'!$E34*100, "na")</f>
        <v>3.1158754178485846</v>
      </c>
      <c r="C34" s="34">
        <f>IFERROR('8a'!C34/'8a'!$E34*100, "na")</f>
        <v>4.0279737975819705</v>
      </c>
      <c r="D34" s="229">
        <f>IFERROR('8a'!D34/'8a'!$E34*100, "na")</f>
        <v>92.856150784569451</v>
      </c>
      <c r="E34" s="177">
        <f>IFERROR('8a'!E34/'8a'!$E34*100, "na")</f>
        <v>100</v>
      </c>
      <c r="F34" s="37">
        <f>IFERROR('8a'!F34/'8a'!$I34*100, "na")</f>
        <v>18.697458198693052</v>
      </c>
      <c r="G34" s="34">
        <f>IFERROR('8a'!G34/'8a'!$I34*100, "na")</f>
        <v>15.147835575167576</v>
      </c>
      <c r="H34" s="34">
        <f>IFERROR('8a'!H34/'8a'!$I34*100, "na")</f>
        <v>66.154706226139368</v>
      </c>
      <c r="I34" s="38">
        <f>IFERROR('8a'!I34/'8a'!$I34*100, "na")</f>
        <v>100</v>
      </c>
      <c r="J34" s="178">
        <f>IFERROR('8a'!J34/'8a'!$M34*100, "na")</f>
        <v>17.601759331992977</v>
      </c>
      <c r="K34" s="179">
        <f>IFERROR('8a'!K34/'8a'!$M34*100, "na")</f>
        <v>41.420672726767414</v>
      </c>
      <c r="L34" s="179">
        <f>IFERROR('8a'!L34/'8a'!$M34*100, "na")</f>
        <v>40.977567941239606</v>
      </c>
      <c r="M34" s="125">
        <f>IFERROR('8a'!M34/'8a'!$M34*100, "na")</f>
        <v>100</v>
      </c>
    </row>
    <row r="35" spans="1:13">
      <c r="A35" s="21" t="s">
        <v>35</v>
      </c>
      <c r="B35" s="180">
        <f>IFERROR('8a'!B35/'8a'!$E35*100, "na")</f>
        <v>3.695629038172251</v>
      </c>
      <c r="C35" s="40">
        <f>IFERROR('8a'!C35/'8a'!$E35*100, "na")</f>
        <v>4.0430134924668089</v>
      </c>
      <c r="D35" s="230">
        <f>IFERROR('8a'!D35/'8a'!$E35*100, "na")</f>
        <v>92.261357469360945</v>
      </c>
      <c r="E35" s="181">
        <f>IFERROR('8a'!E35/'8a'!$E35*100, "na")</f>
        <v>100</v>
      </c>
      <c r="F35" s="39">
        <f>IFERROR('8a'!F35/'8a'!$I35*100, "na")</f>
        <v>21.029547339922189</v>
      </c>
      <c r="G35" s="40">
        <f>IFERROR('8a'!G35/'8a'!$I35*100, "na")</f>
        <v>14.383972147017854</v>
      </c>
      <c r="H35" s="40">
        <f>IFERROR('8a'!H35/'8a'!$I35*100, "na")</f>
        <v>64.586480513059968</v>
      </c>
      <c r="I35" s="41">
        <f>IFERROR('8a'!I35/'8a'!$I35*100, "na")</f>
        <v>100</v>
      </c>
      <c r="J35" s="182">
        <f>IFERROR('8a'!J35/'8a'!$M35*100, "na")</f>
        <v>20.782481261548501</v>
      </c>
      <c r="K35" s="183">
        <f>IFERROR('8a'!K35/'8a'!$M35*100, "na")</f>
        <v>41.342027328327255</v>
      </c>
      <c r="L35" s="183">
        <f>IFERROR('8a'!L35/'8a'!$M35*100, "na")</f>
        <v>37.875491410124248</v>
      </c>
      <c r="M35" s="128">
        <f>IFERROR('8a'!M35/'8a'!$M35*100, "na")</f>
        <v>100</v>
      </c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384" t="s">
        <v>52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</row>
    <row r="38" spans="1:13">
      <c r="A38" s="15" t="s">
        <v>53</v>
      </c>
      <c r="B38" s="85">
        <f>(POWER(B15/B6,1/($A15-$A6))-1)*100</f>
        <v>8.9857547396080975</v>
      </c>
      <c r="C38" s="86">
        <f t="shared" ref="C38:M38" si="0">(POWER(C15/C6,1/($A15-$A6))-1)*100</f>
        <v>-10.832579651776243</v>
      </c>
      <c r="D38" s="86">
        <f t="shared" si="0"/>
        <v>3.763038642766392</v>
      </c>
      <c r="E38" s="87"/>
      <c r="F38" s="85">
        <f t="shared" si="0"/>
        <v>23.17532566736924</v>
      </c>
      <c r="G38" s="86">
        <f t="shared" si="0"/>
        <v>8.7060574378642563</v>
      </c>
      <c r="H38" s="86">
        <f t="shared" si="0"/>
        <v>-0.28420253382482885</v>
      </c>
      <c r="I38" s="87"/>
      <c r="J38" s="85">
        <f t="shared" si="0"/>
        <v>20.404684245351223</v>
      </c>
      <c r="K38" s="86">
        <f t="shared" si="0"/>
        <v>14.711837108266778</v>
      </c>
      <c r="L38" s="86">
        <f t="shared" si="0"/>
        <v>-1.6918366666972773</v>
      </c>
      <c r="M38" s="87">
        <f t="shared" si="0"/>
        <v>0</v>
      </c>
    </row>
    <row r="39" spans="1:13">
      <c r="A39" s="16" t="s">
        <v>71</v>
      </c>
      <c r="B39" s="37">
        <f>(POWER(B$25/B15,1/($A$25-$A$15))-1)*100</f>
        <v>8.246552393141048</v>
      </c>
      <c r="C39" s="34">
        <f t="shared" ref="C39:M39" si="1">(POWER(C$25/C15,1/($A$25-$A$15))-1)*100</f>
        <v>-2.2873223665448639</v>
      </c>
      <c r="D39" s="34">
        <f t="shared" si="1"/>
        <v>0.105617013477044</v>
      </c>
      <c r="E39" s="38"/>
      <c r="F39" s="37">
        <f t="shared" si="1"/>
        <v>34.004524511671818</v>
      </c>
      <c r="G39" s="34">
        <f>(POWER(G$25/G15,1/($A$25-$A$15))-1)*100</f>
        <v>22.402799833885755</v>
      </c>
      <c r="H39" s="34">
        <f t="shared" si="1"/>
        <v>-4.4559399445017629</v>
      </c>
      <c r="I39" s="38"/>
      <c r="J39" s="37">
        <f t="shared" si="1"/>
        <v>13.74526639466116</v>
      </c>
      <c r="K39" s="34">
        <f t="shared" si="1"/>
        <v>9.0976710328806618</v>
      </c>
      <c r="L39" s="34">
        <f t="shared" si="1"/>
        <v>-4.6975231643730293</v>
      </c>
      <c r="M39" s="38">
        <f t="shared" si="1"/>
        <v>0</v>
      </c>
    </row>
    <row r="40" spans="1:13">
      <c r="A40" s="16" t="s">
        <v>69</v>
      </c>
      <c r="B40" s="37">
        <f>(POWER(B$35/B25,1/($A$35-$A$25))-1)*100</f>
        <v>0.42335056629827506</v>
      </c>
      <c r="C40" s="34">
        <f t="shared" ref="C40:M40" si="2">(POWER(C$35/C25,1/($A$35-$A$25))-1)*100</f>
        <v>-9.4398438856596592</v>
      </c>
      <c r="D40" s="34">
        <f t="shared" si="2"/>
        <v>0.7569753425626935</v>
      </c>
      <c r="E40" s="38"/>
      <c r="F40" s="37">
        <f t="shared" si="2"/>
        <v>6.6429411709813424</v>
      </c>
      <c r="G40" s="34">
        <f t="shared" si="2"/>
        <v>-6.5455536750401837</v>
      </c>
      <c r="H40" s="34">
        <f t="shared" si="2"/>
        <v>0.63245738377850635</v>
      </c>
      <c r="I40" s="38"/>
      <c r="J40" s="37">
        <f t="shared" si="2"/>
        <v>2.4859338096029804</v>
      </c>
      <c r="K40" s="34">
        <f>(POWER(K$35/K25,1/($A$35-$A$25))-1)*100</f>
        <v>2.1771978742304965</v>
      </c>
      <c r="L40" s="34">
        <f t="shared" si="2"/>
        <v>-2.8186042168916403</v>
      </c>
      <c r="M40" s="38">
        <f t="shared" si="2"/>
        <v>0</v>
      </c>
    </row>
    <row r="41" spans="1:13">
      <c r="A41" s="17" t="s">
        <v>70</v>
      </c>
      <c r="B41" s="39">
        <f>(POWER(B35/B6,1/($A$35-$A$6))-1)*100</f>
        <v>5.7053780417718469</v>
      </c>
      <c r="C41" s="40">
        <f t="shared" ref="C41:M41" si="3">(POWER(C35/C6,1/($A$35-$A$6))-1)*100</f>
        <v>-7.4807089377246001</v>
      </c>
      <c r="D41" s="40">
        <f t="shared" si="3"/>
        <v>1.4533052798227919</v>
      </c>
      <c r="E41" s="41"/>
      <c r="F41" s="39">
        <f t="shared" si="3"/>
        <v>20.658974213381054</v>
      </c>
      <c r="G41" s="40">
        <f t="shared" si="3"/>
        <v>7.4944644751595568</v>
      </c>
      <c r="H41" s="40">
        <f t="shared" si="3"/>
        <v>-1.4323833907510797</v>
      </c>
      <c r="I41" s="41"/>
      <c r="J41" s="39">
        <f t="shared" si="3"/>
        <v>11.684253231876273</v>
      </c>
      <c r="K41" s="40">
        <f t="shared" si="3"/>
        <v>8.3339157749027883</v>
      </c>
      <c r="L41" s="40">
        <f t="shared" si="3"/>
        <v>-3.1246946891818284</v>
      </c>
      <c r="M41" s="41">
        <f t="shared" si="3"/>
        <v>0</v>
      </c>
    </row>
    <row r="43" spans="1:13">
      <c r="A43" s="323" t="s">
        <v>240</v>
      </c>
    </row>
  </sheetData>
  <mergeCells count="5">
    <mergeCell ref="A1:H2"/>
    <mergeCell ref="B4:E4"/>
    <mergeCell ref="F4:I4"/>
    <mergeCell ref="J4:M4"/>
    <mergeCell ref="A37:M37"/>
  </mergeCells>
  <pageMargins left="0.7" right="0.7" top="0.75" bottom="0.75" header="0.3" footer="0.3"/>
  <pageSetup scale="72" orientation="landscape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103"/>
  <dimension ref="A1:M43"/>
  <sheetViews>
    <sheetView zoomScaleNormal="100" workbookViewId="0">
      <selection activeCell="B15" sqref="B15"/>
    </sheetView>
  </sheetViews>
  <sheetFormatPr defaultRowHeight="15"/>
  <cols>
    <col min="2" max="2" width="10" customWidth="1"/>
    <col min="4" max="4" width="18.7109375" customWidth="1"/>
    <col min="5" max="5" width="13.28515625" customWidth="1"/>
    <col min="6" max="6" width="11.5703125" customWidth="1"/>
    <col min="8" max="8" width="17" customWidth="1"/>
    <col min="9" max="9" width="11.85546875" customWidth="1"/>
    <col min="10" max="10" width="11" customWidth="1"/>
    <col min="12" max="12" width="18.7109375" customWidth="1"/>
    <col min="13" max="13" width="13.5703125" customWidth="1"/>
  </cols>
  <sheetData>
    <row r="1" spans="1:13">
      <c r="A1" s="2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377" t="s">
        <v>3</v>
      </c>
      <c r="C4" s="375"/>
      <c r="D4" s="375"/>
      <c r="E4" s="376"/>
      <c r="F4" s="375" t="s">
        <v>4</v>
      </c>
      <c r="G4" s="375"/>
      <c r="H4" s="375"/>
      <c r="I4" s="376"/>
      <c r="J4" s="378" t="s">
        <v>42</v>
      </c>
      <c r="K4" s="379"/>
      <c r="L4" s="379"/>
      <c r="M4" s="380"/>
    </row>
    <row r="5" spans="1:13" ht="30">
      <c r="A5" s="1"/>
      <c r="B5" s="59" t="s">
        <v>0</v>
      </c>
      <c r="C5" s="60" t="s">
        <v>1</v>
      </c>
      <c r="D5" s="60" t="s">
        <v>2</v>
      </c>
      <c r="E5" s="51" t="s">
        <v>72</v>
      </c>
      <c r="F5" s="60" t="s">
        <v>0</v>
      </c>
      <c r="G5" s="60" t="s">
        <v>1</v>
      </c>
      <c r="H5" s="60" t="s">
        <v>2</v>
      </c>
      <c r="I5" s="51" t="s">
        <v>72</v>
      </c>
      <c r="J5" s="273" t="s">
        <v>39</v>
      </c>
      <c r="K5" s="274" t="s">
        <v>41</v>
      </c>
      <c r="L5" s="274" t="s">
        <v>40</v>
      </c>
      <c r="M5" s="275" t="s">
        <v>72</v>
      </c>
    </row>
    <row r="6" spans="1:13">
      <c r="A6" s="27">
        <v>1981</v>
      </c>
      <c r="B6" s="167">
        <f>IFERROR('8a'!B6/'8b'!$B5*100, "na")</f>
        <v>2.1798966314865598E-2</v>
      </c>
      <c r="C6" s="155">
        <f>IFERROR('8a'!C6/'8b'!$B5*100, "na")</f>
        <v>1.136400867443863</v>
      </c>
      <c r="D6" s="155">
        <f>IFERROR('8a'!D6/'8b'!$B5*100, "na")</f>
        <v>1.7900410088337564</v>
      </c>
      <c r="E6" s="168">
        <f>IFERROR('8a'!E6/'8b'!$B5*100, "na")</f>
        <v>2.9482408425924849</v>
      </c>
      <c r="F6" s="167">
        <f>IFERROR('8a'!F6/'8b'!$C5*100, "na")</f>
        <v>2.2620859843681357E-4</v>
      </c>
      <c r="G6" s="155">
        <f>IFERROR('8a'!G6/'8b'!$C5*100, "na")</f>
        <v>4.4115412142703191E-3</v>
      </c>
      <c r="H6" s="155">
        <f>IFERROR('8a'!H6/'8b'!$C5*100, "na")</f>
        <v>0.2447691248643758</v>
      </c>
      <c r="I6" s="155">
        <f>IFERROR('8a'!I6/'8b'!$C5*100, "na")</f>
        <v>0.24940687467708295</v>
      </c>
      <c r="J6" s="167">
        <f>IFERROR('8a'!J6/'8b'!$D5*100, "na")</f>
        <v>7.336155337051127E-3</v>
      </c>
      <c r="K6" s="261">
        <f>IFERROR('8a'!K6/'8b'!$D5*100, "na")</f>
        <v>3.5298844731842777E-2</v>
      </c>
      <c r="L6" s="261">
        <f>IFERROR('8a'!L6/'8b'!$D5*100, "na")</f>
        <v>0.82740158805778929</v>
      </c>
      <c r="M6" s="262">
        <f>IFERROR('8a'!M6/'8b'!$D5*100, "na")</f>
        <v>0.87003658812668339</v>
      </c>
    </row>
    <row r="7" spans="1:13">
      <c r="A7" s="28">
        <v>1982</v>
      </c>
      <c r="B7" s="169">
        <f>IFERROR('8a'!B7/'8b'!$B6*100, "na")</f>
        <v>1.6173249350475746E-2</v>
      </c>
      <c r="C7" s="156">
        <f>IFERROR('8a'!C7/'8b'!$B6*100, "na")</f>
        <v>0.78300602596549485</v>
      </c>
      <c r="D7" s="156">
        <f>IFERROR('8a'!D7/'8b'!$B6*100, "na")</f>
        <v>1.6866433897566868</v>
      </c>
      <c r="E7" s="170">
        <f>IFERROR('8a'!E7/'8b'!$B6*100, "na")</f>
        <v>2.4858226650726576</v>
      </c>
      <c r="F7" s="169">
        <f>IFERROR('8a'!F7/'8b'!$C6*100, "na")</f>
        <v>1.9961286648977593E-4</v>
      </c>
      <c r="G7" s="156">
        <f>IFERROR('8a'!G7/'8b'!$C6*100, "na")</f>
        <v>3.5960629318636844E-3</v>
      </c>
      <c r="H7" s="156">
        <f>IFERROR('8a'!H7/'8b'!$C6*100, "na")</f>
        <v>0.26101720414595836</v>
      </c>
      <c r="I7" s="156">
        <f>IFERROR('8a'!I7/'8b'!$C6*100, "na")</f>
        <v>0.2648128799443118</v>
      </c>
      <c r="J7" s="263">
        <f>IFERROR('8a'!J7/'8b'!$D6*100, "na")</f>
        <v>1.0713475552058677E-2</v>
      </c>
      <c r="K7" s="264">
        <f>IFERROR('8a'!K7/'8b'!$D6*100, "na")</f>
        <v>4.3896159766590788E-2</v>
      </c>
      <c r="L7" s="264">
        <f>IFERROR('8a'!L7/'8b'!$D6*100, "na")</f>
        <v>0.94121808947211349</v>
      </c>
      <c r="M7" s="265">
        <f>IFERROR('8a'!M7/'8b'!$D6*100, "na")</f>
        <v>0.99582772479076298</v>
      </c>
    </row>
    <row r="8" spans="1:13">
      <c r="A8" s="28">
        <v>1983</v>
      </c>
      <c r="B8" s="169">
        <f>IFERROR('8a'!B8/'8b'!$B7*100, "na")</f>
        <v>1.4712851629438391E-2</v>
      </c>
      <c r="C8" s="156">
        <f>IFERROR('8a'!C8/'8b'!$B7*100, "na")</f>
        <v>0.58380992041836766</v>
      </c>
      <c r="D8" s="156">
        <f>IFERROR('8a'!D8/'8b'!$B7*100, "na")</f>
        <v>1.8387108510585906</v>
      </c>
      <c r="E8" s="170">
        <f>IFERROR('8a'!E8/'8b'!$B7*100, "na")</f>
        <v>2.4372336231063962</v>
      </c>
      <c r="F8" s="169">
        <f>IFERROR('8a'!F8/'8b'!$C7*100, "na")</f>
        <v>1.5230079406816652E-4</v>
      </c>
      <c r="G8" s="156">
        <f>IFERROR('8a'!G8/'8b'!$C7*100, "na")</f>
        <v>2.5871202510346606E-3</v>
      </c>
      <c r="H8" s="156">
        <f>IFERROR('8a'!H8/'8b'!$C7*100, "na")</f>
        <v>0.27569085087943707</v>
      </c>
      <c r="I8" s="156">
        <f>IFERROR('8a'!I8/'8b'!$C7*100, "na")</f>
        <v>0.2784302719245399</v>
      </c>
      <c r="J8" s="263">
        <f>IFERROR('8a'!J8/'8b'!$D7*100, "na")</f>
        <v>1.5800326684679691E-2</v>
      </c>
      <c r="K8" s="264">
        <f>IFERROR('8a'!K8/'8b'!$D7*100, "na")</f>
        <v>5.4907031514683735E-2</v>
      </c>
      <c r="L8" s="264">
        <f>IFERROR('8a'!L8/'8b'!$D7*100, "na")</f>
        <v>1.0415685181810939</v>
      </c>
      <c r="M8" s="265">
        <f>IFERROR('8a'!M8/'8b'!$D7*100, "na")</f>
        <v>1.1122758763804574</v>
      </c>
    </row>
    <row r="9" spans="1:13">
      <c r="A9" s="28">
        <v>1984</v>
      </c>
      <c r="B9" s="169">
        <f>IFERROR('8a'!B9/'8b'!$B8*100, "na")</f>
        <v>1.9135536808334901E-2</v>
      </c>
      <c r="C9" s="156">
        <f>IFERROR('8a'!C9/'8b'!$B8*100, "na")</f>
        <v>0.53685497614546274</v>
      </c>
      <c r="D9" s="156">
        <f>IFERROR('8a'!D9/'8b'!$B8*100, "na")</f>
        <v>2.6282781605256367</v>
      </c>
      <c r="E9" s="170">
        <f>IFERROR('8a'!E9/'8b'!$B8*100, "na")</f>
        <v>3.1842686734794339</v>
      </c>
      <c r="F9" s="169">
        <f>IFERROR('8a'!F9/'8b'!$C8*100, "na")</f>
        <v>1.3786399312770817E-4</v>
      </c>
      <c r="G9" s="156">
        <f>IFERROR('8a'!G9/'8b'!$C8*100, "na")</f>
        <v>2.014436510519343E-3</v>
      </c>
      <c r="H9" s="156">
        <f>IFERROR('8a'!H9/'8b'!$C8*100, "na")</f>
        <v>0.31288203301911038</v>
      </c>
      <c r="I9" s="156">
        <f>IFERROR('8a'!I9/'8b'!$C8*100, "na")</f>
        <v>0.31503433352275739</v>
      </c>
      <c r="J9" s="263">
        <f>IFERROR('8a'!J9/'8b'!$D8*100, "na")</f>
        <v>2.6709554554893298E-2</v>
      </c>
      <c r="K9" s="264">
        <f>IFERROR('8a'!K9/'8b'!$D8*100, "na")</f>
        <v>7.0517228545666666E-2</v>
      </c>
      <c r="L9" s="264">
        <f>IFERROR('8a'!L9/'8b'!$D8*100, "na")</f>
        <v>1.1288808618505832</v>
      </c>
      <c r="M9" s="265">
        <f>IFERROR('8a'!M9/'8b'!$D8*100, "na")</f>
        <v>1.2261076449511432</v>
      </c>
    </row>
    <row r="10" spans="1:13">
      <c r="A10" s="28">
        <v>1985</v>
      </c>
      <c r="B10" s="169">
        <f>IFERROR('8a'!B10/'8b'!$B9*100, "na")</f>
        <v>2.5046922563225833E-2</v>
      </c>
      <c r="C10" s="156">
        <f>IFERROR('8a'!C10/'8b'!$B9*100, "na")</f>
        <v>0.54853293028957895</v>
      </c>
      <c r="D10" s="156">
        <f>IFERROR('8a'!D10/'8b'!$B9*100, "na")</f>
        <v>3.270964400992312</v>
      </c>
      <c r="E10" s="170">
        <f>IFERROR('8a'!E10/'8b'!$B9*100, "na")</f>
        <v>3.8445442538451169</v>
      </c>
      <c r="F10" s="169">
        <f>IFERROR('8a'!F10/'8b'!$C9*100, "na")</f>
        <v>1.3726855389683258E-4</v>
      </c>
      <c r="G10" s="156">
        <f>IFERROR('8a'!G10/'8b'!$C9*100, "na")</f>
        <v>1.8055408552920633E-3</v>
      </c>
      <c r="H10" s="156">
        <f>IFERROR('8a'!H10/'8b'!$C9*100, "na")</f>
        <v>0.36179620757408587</v>
      </c>
      <c r="I10" s="156">
        <f>IFERROR('8a'!I10/'8b'!$C9*100, "na")</f>
        <v>0.36373901698327477</v>
      </c>
      <c r="J10" s="263">
        <f>IFERROR('8a'!J10/'8b'!$D9*100, "na")</f>
        <v>3.9191969568911529E-2</v>
      </c>
      <c r="K10" s="264">
        <f>IFERROR('8a'!K10/'8b'!$D9*100, "na")</f>
        <v>8.7875977453108961E-2</v>
      </c>
      <c r="L10" s="264">
        <f>IFERROR('8a'!L10/'8b'!$D9*100, "na")</f>
        <v>1.1992557508730786</v>
      </c>
      <c r="M10" s="265">
        <f>IFERROR('8a'!M10/'8b'!$D9*100, "na")</f>
        <v>1.326323697895099</v>
      </c>
    </row>
    <row r="11" spans="1:13">
      <c r="A11" s="28">
        <v>1986</v>
      </c>
      <c r="B11" s="169">
        <f>IFERROR('8a'!B11/'8b'!$B10*100, "na")</f>
        <v>3.8646507527482846E-2</v>
      </c>
      <c r="C11" s="156">
        <f>IFERROR('8a'!C11/'8b'!$B10*100, "na")</f>
        <v>0.65964620793541384</v>
      </c>
      <c r="D11" s="156">
        <f>IFERROR('8a'!D11/'8b'!$B10*100, "na")</f>
        <v>4.2863052183527532</v>
      </c>
      <c r="E11" s="170">
        <f>IFERROR('8a'!E11/'8b'!$B10*100, "na")</f>
        <v>4.9845979338156505</v>
      </c>
      <c r="F11" s="169">
        <f>IFERROR('8a'!F11/'8b'!$C10*100, "na")</f>
        <v>1.3636092100573148E-4</v>
      </c>
      <c r="G11" s="156">
        <f>IFERROR('8a'!G11/'8b'!$C10*100, "na")</f>
        <v>1.6616445707753071E-3</v>
      </c>
      <c r="H11" s="156">
        <f>IFERROR('8a'!H11/'8b'!$C10*100, "na")</f>
        <v>0.39807887362797906</v>
      </c>
      <c r="I11" s="156">
        <f>IFERROR('8a'!I11/'8b'!$C10*100, "na")</f>
        <v>0.39987687911976011</v>
      </c>
      <c r="J11" s="263">
        <f>IFERROR('8a'!J11/'8b'!$D10*100, "na")</f>
        <v>4.7722012930998731E-2</v>
      </c>
      <c r="K11" s="264">
        <f>IFERROR('8a'!K11/'8b'!$D10*100, "na")</f>
        <v>0.10320932110277968</v>
      </c>
      <c r="L11" s="264">
        <f>IFERROR('8a'!L11/'8b'!$D10*100, "na")</f>
        <v>1.2647731426022257</v>
      </c>
      <c r="M11" s="265">
        <f>IFERROR('8a'!M11/'8b'!$D10*100, "na")</f>
        <v>1.4157044766360043</v>
      </c>
    </row>
    <row r="12" spans="1:13">
      <c r="A12" s="28">
        <v>1987</v>
      </c>
      <c r="B12" s="169">
        <f>IFERROR('8a'!B12/'8b'!$B11*100, "na")</f>
        <v>5.3584782442985909E-2</v>
      </c>
      <c r="C12" s="156">
        <f>IFERROR('8a'!C12/'8b'!$B11*100, "na")</f>
        <v>0.62482903089038255</v>
      </c>
      <c r="D12" s="156">
        <f>IFERROR('8a'!D12/'8b'!$B11*100, "na")</f>
        <v>4.2974981663689542</v>
      </c>
      <c r="E12" s="170">
        <f>IFERROR('8a'!E12/'8b'!$B11*100, "na")</f>
        <v>4.9759119797023228</v>
      </c>
      <c r="F12" s="169">
        <f>IFERROR('8a'!F12/'8b'!$C11*100, "na")</f>
        <v>2.1149112584916685E-4</v>
      </c>
      <c r="G12" s="156">
        <f>IFERROR('8a'!G12/'8b'!$C11*100, "na")</f>
        <v>1.6035222811758849E-3</v>
      </c>
      <c r="H12" s="156">
        <f>IFERROR('8a'!H12/'8b'!$C11*100, "na")</f>
        <v>0.4069575322843762</v>
      </c>
      <c r="I12" s="156">
        <f>IFERROR('8a'!I12/'8b'!$C11*100, "na")</f>
        <v>0.4087725456914012</v>
      </c>
      <c r="J12" s="263">
        <f>IFERROR('8a'!J12/'8b'!$D11*100, "na")</f>
        <v>5.9942998001196304E-2</v>
      </c>
      <c r="K12" s="264">
        <f>IFERROR('8a'!K12/'8b'!$D11*100, "na")</f>
        <v>0.1239004584435251</v>
      </c>
      <c r="L12" s="264">
        <f>IFERROR('8a'!L12/'8b'!$D11*100, "na")</f>
        <v>1.320023911461909</v>
      </c>
      <c r="M12" s="265">
        <f>IFERROR('8a'!M12/'8b'!$D11*100, "na")</f>
        <v>1.5038673679066306</v>
      </c>
    </row>
    <row r="13" spans="1:13">
      <c r="A13" s="28">
        <v>1988</v>
      </c>
      <c r="B13" s="169">
        <f>IFERROR('8a'!B13/'8b'!$B12*100, "na")</f>
        <v>7.4237556098995364E-2</v>
      </c>
      <c r="C13" s="156">
        <f>IFERROR('8a'!C13/'8b'!$B12*100, "na")</f>
        <v>0.67911652801812827</v>
      </c>
      <c r="D13" s="156">
        <f>IFERROR('8a'!D13/'8b'!$B12*100, "na")</f>
        <v>4.6207032530110554</v>
      </c>
      <c r="E13" s="170">
        <f>IFERROR('8a'!E13/'8b'!$B12*100, "na")</f>
        <v>5.3740573371281792</v>
      </c>
      <c r="F13" s="169">
        <f>IFERROR('8a'!F13/'8b'!$C12*100, "na")</f>
        <v>7.1532949551616739E-4</v>
      </c>
      <c r="G13" s="156">
        <f>IFERROR('8a'!G13/'8b'!$C12*100, "na")</f>
        <v>3.4135433495600387E-3</v>
      </c>
      <c r="H13" s="156">
        <f>IFERROR('8a'!H13/'8b'!$C12*100, "na")</f>
        <v>0.44853246115927781</v>
      </c>
      <c r="I13" s="156">
        <f>IFERROR('8a'!I13/'8b'!$C12*100, "na")</f>
        <v>0.45266133400435399</v>
      </c>
      <c r="J13" s="263">
        <f>IFERROR('8a'!J13/'8b'!$D12*100, "na")</f>
        <v>6.8946403333301917E-2</v>
      </c>
      <c r="K13" s="264">
        <f>IFERROR('8a'!K13/'8b'!$D12*100, "na")</f>
        <v>0.14866511479943798</v>
      </c>
      <c r="L13" s="264">
        <f>IFERROR('8a'!L13/'8b'!$D12*100, "na")</f>
        <v>1.3590254447017709</v>
      </c>
      <c r="M13" s="265">
        <f>IFERROR('8a'!M13/'8b'!$D12*100, "na")</f>
        <v>1.5766369628345107</v>
      </c>
    </row>
    <row r="14" spans="1:13">
      <c r="A14" s="28">
        <v>1989</v>
      </c>
      <c r="B14" s="169">
        <f>IFERROR('8a'!B14/'8b'!$B13*100, "na")</f>
        <v>9.8014049279277732E-2</v>
      </c>
      <c r="C14" s="156">
        <f>IFERROR('8a'!C14/'8b'!$B13*100, "na")</f>
        <v>0.82395260236941825</v>
      </c>
      <c r="D14" s="156">
        <f>IFERROR('8a'!D14/'8b'!$B13*100, "na")</f>
        <v>5.3529686798761604</v>
      </c>
      <c r="E14" s="170">
        <f>IFERROR('8a'!E14/'8b'!$B13*100, "na")</f>
        <v>6.2749353315248557</v>
      </c>
      <c r="F14" s="169">
        <f>IFERROR('8a'!F14/'8b'!$C13*100, "na")</f>
        <v>1.712452321932498E-3</v>
      </c>
      <c r="G14" s="156">
        <f>IFERROR('8a'!G14/'8b'!$C13*100, "na")</f>
        <v>9.4887318096593225E-3</v>
      </c>
      <c r="H14" s="156">
        <f>IFERROR('8a'!H14/'8b'!$C13*100, "na")</f>
        <v>0.47983649600591816</v>
      </c>
      <c r="I14" s="156">
        <f>IFERROR('8a'!I14/'8b'!$C13*100, "na")</f>
        <v>0.49103768013751004</v>
      </c>
      <c r="J14" s="263">
        <f>IFERROR('8a'!J14/'8b'!$D13*100, "na")</f>
        <v>7.9589003352166662E-2</v>
      </c>
      <c r="K14" s="264">
        <f>IFERROR('8a'!K14/'8b'!$D13*100, "na")</f>
        <v>0.18984387681775125</v>
      </c>
      <c r="L14" s="264">
        <f>IFERROR('8a'!L14/'8b'!$D13*100, "na")</f>
        <v>1.3948630927702044</v>
      </c>
      <c r="M14" s="265">
        <f>IFERROR('8a'!M14/'8b'!$D13*100, "na")</f>
        <v>1.6642959729401223</v>
      </c>
    </row>
    <row r="15" spans="1:13">
      <c r="A15" s="28">
        <v>1990</v>
      </c>
      <c r="B15" s="169">
        <f>IFERROR('8a'!B15/'8b'!$B14*100, "na")</f>
        <v>0.11629690685554045</v>
      </c>
      <c r="C15" s="156">
        <f>IFERROR('8a'!C15/'8b'!$B14*100, "na")</f>
        <v>0.99584562091185824</v>
      </c>
      <c r="D15" s="156">
        <f>IFERROR('8a'!D15/'8b'!$B14*100, "na")</f>
        <v>6.1383514672344193</v>
      </c>
      <c r="E15" s="170">
        <f>IFERROR('8a'!E15/'8b'!$B14*100, "na")</f>
        <v>7.2504939950018192</v>
      </c>
      <c r="F15" s="169">
        <f>IFERROR('8a'!F15/'8b'!$C14*100, "na")</f>
        <v>3.0389876738804418E-3</v>
      </c>
      <c r="G15" s="156">
        <f>IFERROR('8a'!G15/'8b'!$C14*100, "na")</f>
        <v>1.9247769217019428E-2</v>
      </c>
      <c r="H15" s="156">
        <f>IFERROR('8a'!H15/'8b'!$C14*100, "na")</f>
        <v>0.49106467433283219</v>
      </c>
      <c r="I15" s="156">
        <f>IFERROR('8a'!I15/'8b'!$C14*100, "na")</f>
        <v>0.51335143122373206</v>
      </c>
      <c r="J15" s="263">
        <f>IFERROR('8a'!J15/'8b'!$D14*100, "na")</f>
        <v>7.9018536327689154E-2</v>
      </c>
      <c r="K15" s="264">
        <f>IFERROR('8a'!K15/'8b'!$D14*100, "na")</f>
        <v>0.24586947932210865</v>
      </c>
      <c r="L15" s="264">
        <f>IFERROR('8a'!L15/'8b'!$D14*100, "na")</f>
        <v>1.4371185845245209</v>
      </c>
      <c r="M15" s="265">
        <f>IFERROR('8a'!M15/'8b'!$D14*100, "na")</f>
        <v>1.7620066001743186</v>
      </c>
    </row>
    <row r="16" spans="1:13">
      <c r="A16" s="28">
        <v>1991</v>
      </c>
      <c r="B16" s="169">
        <f>IFERROR('8a'!B16/'8b'!$B15*100, "na")</f>
        <v>0.12594069251274626</v>
      </c>
      <c r="C16" s="156">
        <f>IFERROR('8a'!C16/'8b'!$B15*100, "na")</f>
        <v>1.16536623156526</v>
      </c>
      <c r="D16" s="156">
        <f>IFERROR('8a'!D16/'8b'!$B15*100, "na")</f>
        <v>6.5033628769439007</v>
      </c>
      <c r="E16" s="170">
        <f>IFERROR('8a'!E16/'8b'!$B15*100, "na")</f>
        <v>7.7946698010219082</v>
      </c>
      <c r="F16" s="169">
        <f>IFERROR('8a'!F16/'8b'!$C15*100, "na")</f>
        <v>4.4264601710763476E-3</v>
      </c>
      <c r="G16" s="156">
        <f>IFERROR('8a'!G16/'8b'!$C15*100, "na")</f>
        <v>3.2131757121094673E-2</v>
      </c>
      <c r="H16" s="156">
        <f>IFERROR('8a'!H16/'8b'!$C15*100, "na")</f>
        <v>0.4917160808814971</v>
      </c>
      <c r="I16" s="156">
        <f>IFERROR('8a'!I16/'8b'!$C15*100, "na")</f>
        <v>0.52827429817366811</v>
      </c>
      <c r="J16" s="263">
        <f>IFERROR('8a'!J16/'8b'!$D15*100, "na")</f>
        <v>7.7656375047422704E-2</v>
      </c>
      <c r="K16" s="264">
        <f>IFERROR('8a'!K16/'8b'!$D15*100, "na")</f>
        <v>0.30120395022841739</v>
      </c>
      <c r="L16" s="264">
        <f>IFERROR('8a'!L16/'8b'!$D15*100, "na")</f>
        <v>1.494901468729863</v>
      </c>
      <c r="M16" s="265">
        <f>IFERROR('8a'!M16/'8b'!$D15*100, "na")</f>
        <v>1.873761794005703</v>
      </c>
    </row>
    <row r="17" spans="1:13">
      <c r="A17" s="28">
        <v>1992</v>
      </c>
      <c r="B17" s="169">
        <f>IFERROR('8a'!B17/'8b'!$B16*100, "na")</f>
        <v>0.13646711370056533</v>
      </c>
      <c r="C17" s="156">
        <f>IFERROR('8a'!C17/'8b'!$B16*100, "na")</f>
        <v>1.1951164017253582</v>
      </c>
      <c r="D17" s="156">
        <f>IFERROR('8a'!D17/'8b'!$B16*100, "na")</f>
        <v>8.1065746466833559</v>
      </c>
      <c r="E17" s="156">
        <f>IFERROR('8a'!E17/'8b'!$B16*100, "na")</f>
        <v>9.4381581621092803</v>
      </c>
      <c r="F17" s="169">
        <f>IFERROR('8a'!F17/'8b'!$C16*100, "na")</f>
        <v>7.2419781247448582E-3</v>
      </c>
      <c r="G17" s="156">
        <f>IFERROR('8a'!G17/'8b'!$C16*100, "na")</f>
        <v>5.0079137547632047E-2</v>
      </c>
      <c r="H17" s="156">
        <f>IFERROR('8a'!H17/'8b'!$C16*100, "na")</f>
        <v>0.47198697382505367</v>
      </c>
      <c r="I17" s="156">
        <f>IFERROR('8a'!I17/'8b'!$C16*100, "na")</f>
        <v>0.52930808949743047</v>
      </c>
      <c r="J17" s="263">
        <f>IFERROR('8a'!J17/'8b'!$D16*100, "na")</f>
        <v>8.3811776703189594E-2</v>
      </c>
      <c r="K17" s="264">
        <f>IFERROR('8a'!K17/'8b'!$D16*100, "na")</f>
        <v>0.36030064698771003</v>
      </c>
      <c r="L17" s="264">
        <f>IFERROR('8a'!L17/'8b'!$D16*100, "na")</f>
        <v>1.5160187357168664</v>
      </c>
      <c r="M17" s="170">
        <f>IFERROR('8a'!M17/'8b'!$D16*100, "na")</f>
        <v>1.9601311594077662</v>
      </c>
    </row>
    <row r="18" spans="1:13">
      <c r="A18" s="28">
        <v>1993</v>
      </c>
      <c r="B18" s="169">
        <f>IFERROR('8a'!B18/'8b'!$B17*100, "na")</f>
        <v>0.1786061487417176</v>
      </c>
      <c r="C18" s="156">
        <f>IFERROR('8a'!C18/'8b'!$B17*100, "na")</f>
        <v>1.3773531632555103</v>
      </c>
      <c r="D18" s="156">
        <f>IFERROR('8a'!D18/'8b'!$B17*100, "na")</f>
        <v>9.3416177314844049</v>
      </c>
      <c r="E18" s="156">
        <f>IFERROR('8a'!E18/'8b'!$B17*100, "na")</f>
        <v>10.897577043481634</v>
      </c>
      <c r="F18" s="169">
        <f>IFERROR('8a'!F18/'8b'!$C17*100, "na")</f>
        <v>1.5966268474912636E-2</v>
      </c>
      <c r="G18" s="156">
        <f>IFERROR('8a'!G18/'8b'!$C17*100, "na")</f>
        <v>0.1157196252588686</v>
      </c>
      <c r="H18" s="156">
        <f>IFERROR('8a'!H18/'8b'!$C17*100, "na")</f>
        <v>0.44671037156089599</v>
      </c>
      <c r="I18" s="156">
        <f>IFERROR('8a'!I18/'8b'!$C17*100, "na")</f>
        <v>0.57839626529467725</v>
      </c>
      <c r="J18" s="263">
        <f>IFERROR('8a'!J18/'8b'!$D17*100, "na")</f>
        <v>9.5913511275988614E-2</v>
      </c>
      <c r="K18" s="264">
        <f>IFERROR('8a'!K18/'8b'!$D17*100, "na")</f>
        <v>0.41994207204852041</v>
      </c>
      <c r="L18" s="264">
        <f>IFERROR('8a'!L18/'8b'!$D17*100, "na")</f>
        <v>1.5134530055982258</v>
      </c>
      <c r="M18" s="170">
        <f>IFERROR('8a'!M18/'8b'!$D17*100, "na")</f>
        <v>2.0293085889227349</v>
      </c>
    </row>
    <row r="19" spans="1:13">
      <c r="A19" s="28">
        <v>1994</v>
      </c>
      <c r="B19" s="169">
        <f>IFERROR('8a'!B19/'8b'!$B18*100, "na")</f>
        <v>0.21544844447776765</v>
      </c>
      <c r="C19" s="156">
        <f>IFERROR('8a'!C19/'8b'!$B18*100, "na")</f>
        <v>1.7350298248876381</v>
      </c>
      <c r="D19" s="156">
        <f>IFERROR('8a'!D19/'8b'!$B18*100, "na")</f>
        <v>11.501123541011571</v>
      </c>
      <c r="E19" s="170">
        <f>IFERROR('8a'!E19/'8b'!$B18*100, "na")</f>
        <v>13.451601810376976</v>
      </c>
      <c r="F19" s="169">
        <f>IFERROR('8a'!F19/'8b'!$C18*100, "na")</f>
        <v>2.2812510499668804E-2</v>
      </c>
      <c r="G19" s="156">
        <f>IFERROR('8a'!G19/'8b'!$C18*100, "na")</f>
        <v>0.17790124624865225</v>
      </c>
      <c r="H19" s="156">
        <f>IFERROR('8a'!H19/'8b'!$C18*100, "na")</f>
        <v>0.45349872995050761</v>
      </c>
      <c r="I19" s="156">
        <f>IFERROR('8a'!I19/'8b'!$C18*100, "na")</f>
        <v>0.6542124866988287</v>
      </c>
      <c r="J19" s="263">
        <f>IFERROR('8a'!J19/'8b'!$D18*100, "na")</f>
        <v>0.11077621801899924</v>
      </c>
      <c r="K19" s="264">
        <f>IFERROR('8a'!K19/'8b'!$D18*100, "na")</f>
        <v>0.45810931584205039</v>
      </c>
      <c r="L19" s="264">
        <f>IFERROR('8a'!L19/'8b'!$D18*100, "na")</f>
        <v>1.5090048564610845</v>
      </c>
      <c r="M19" s="170">
        <f>IFERROR('8a'!M19/'8b'!$D18*100, "na")</f>
        <v>2.0778903903221342</v>
      </c>
    </row>
    <row r="20" spans="1:13">
      <c r="A20" s="28">
        <v>1995</v>
      </c>
      <c r="B20" s="169">
        <f>IFERROR('8a'!B20/'8b'!$B19*100, "na")</f>
        <v>0.30338232179669372</v>
      </c>
      <c r="C20" s="156">
        <f>IFERROR('8a'!C20/'8b'!$B19*100, "na")</f>
        <v>2.226615384840037</v>
      </c>
      <c r="D20" s="156">
        <f>IFERROR('8a'!D20/'8b'!$B19*100, "na")</f>
        <v>15.087879421285837</v>
      </c>
      <c r="E20" s="156">
        <f>IFERROR('8a'!E20/'8b'!$B19*100, "na")</f>
        <v>17.617877127922569</v>
      </c>
      <c r="F20" s="169">
        <f>IFERROR('8a'!F20/'8b'!$C19*100, "na")</f>
        <v>3.0124748569483821E-2</v>
      </c>
      <c r="G20" s="156">
        <f>IFERROR('8a'!G20/'8b'!$C19*100, "na")</f>
        <v>0.20139528681851931</v>
      </c>
      <c r="H20" s="156">
        <f>IFERROR('8a'!H20/'8b'!$C19*100, "na")</f>
        <v>0.46031292197066187</v>
      </c>
      <c r="I20" s="156">
        <f>IFERROR('8a'!I20/'8b'!$C19*100, "na")</f>
        <v>0.6918329573586649</v>
      </c>
      <c r="J20" s="263">
        <f>IFERROR('8a'!J20/'8b'!$D19*100, "na")</f>
        <v>0.14575418281711094</v>
      </c>
      <c r="K20" s="264">
        <f>IFERROR('8a'!K20/'8b'!$D19*100, "na")</f>
        <v>0.50430410549715754</v>
      </c>
      <c r="L20" s="264">
        <f>IFERROR('8a'!L20/'8b'!$D19*100, "na")</f>
        <v>1.5568922362664419</v>
      </c>
      <c r="M20" s="170">
        <f>IFERROR('8a'!M20/'8b'!$D19*100, "na")</f>
        <v>2.2069505245807108</v>
      </c>
    </row>
    <row r="21" spans="1:13">
      <c r="A21" s="28">
        <v>1996</v>
      </c>
      <c r="B21" s="169">
        <f>IFERROR('8a'!B21/'8b'!$B20*100, "na")</f>
        <v>0.42051656832039175</v>
      </c>
      <c r="C21" s="156">
        <f>IFERROR('8a'!C21/'8b'!$B20*100, "na")</f>
        <v>2.6453385351642948</v>
      </c>
      <c r="D21" s="156">
        <f>IFERROR('8a'!D21/'8b'!$B20*100, "na")</f>
        <v>18.325641936448438</v>
      </c>
      <c r="E21" s="170">
        <f>IFERROR('8a'!E21/'8b'!$B20*100, "na")</f>
        <v>21.391497039933121</v>
      </c>
      <c r="F21" s="169">
        <f>IFERROR('8a'!F21/'8b'!$C20*100, "na")</f>
        <v>3.8866548836924246E-2</v>
      </c>
      <c r="G21" s="156">
        <f>IFERROR('8a'!G21/'8b'!$C20*100, "na")</f>
        <v>0.21387875941056761</v>
      </c>
      <c r="H21" s="156">
        <f>IFERROR('8a'!H21/'8b'!$C20*100, "na")</f>
        <v>0.4652424070458856</v>
      </c>
      <c r="I21" s="156">
        <f>IFERROR('8a'!I21/'8b'!$C20*100, "na")</f>
        <v>0.71798771529337746</v>
      </c>
      <c r="J21" s="263">
        <f>IFERROR('8a'!J21/'8b'!$D20*100, "na")</f>
        <v>0.19629400352730858</v>
      </c>
      <c r="K21" s="264">
        <f>IFERROR('8a'!K21/'8b'!$D20*100, "na")</f>
        <v>0.56302793650073391</v>
      </c>
      <c r="L21" s="264">
        <f>IFERROR('8a'!L21/'8b'!$D20*100, "na")</f>
        <v>1.6613186976139271</v>
      </c>
      <c r="M21" s="170">
        <f>IFERROR('8a'!M21/'8b'!$D20*100, "na")</f>
        <v>2.4206406376419696</v>
      </c>
    </row>
    <row r="22" spans="1:13">
      <c r="A22" s="28">
        <v>1997</v>
      </c>
      <c r="B22" s="169">
        <f>IFERROR('8a'!B22/'8b'!$B21*100, "na")</f>
        <v>0.67450335443193521</v>
      </c>
      <c r="C22" s="156">
        <f>IFERROR('8a'!C22/'8b'!$B21*100, "na")</f>
        <v>3.1629711609090045</v>
      </c>
      <c r="D22" s="156">
        <f>IFERROR('8a'!D22/'8b'!$B21*100, "na")</f>
        <v>20.815664103373692</v>
      </c>
      <c r="E22" s="170">
        <f>IFERROR('8a'!E22/'8b'!$B21*100, "na")</f>
        <v>24.653138618714635</v>
      </c>
      <c r="F22" s="169">
        <f>IFERROR('8a'!F22/'8b'!$C21*100, "na")</f>
        <v>5.3000515387593906E-2</v>
      </c>
      <c r="G22" s="156">
        <f>IFERROR('8a'!G22/'8b'!$C21*100, "na")</f>
        <v>0.22822538765187184</v>
      </c>
      <c r="H22" s="156">
        <f>IFERROR('8a'!H22/'8b'!$C21*100, "na")</f>
        <v>0.47798861918677948</v>
      </c>
      <c r="I22" s="156">
        <f>IFERROR('8a'!I22/'8b'!$C21*100, "na")</f>
        <v>0.75921452222624508</v>
      </c>
      <c r="J22" s="263">
        <f>IFERROR('8a'!J22/'8b'!$D21*100, "na")</f>
        <v>0.2747976105796559</v>
      </c>
      <c r="K22" s="264">
        <f>IFERROR('8a'!K22/'8b'!$D21*100, "na")</f>
        <v>0.70071276400644189</v>
      </c>
      <c r="L22" s="264">
        <f>IFERROR('8a'!L22/'8b'!$D21*100, "na")</f>
        <v>1.7374901196818737</v>
      </c>
      <c r="M22" s="265">
        <f>IFERROR('8a'!M22/'8b'!$D21*100, "na")</f>
        <v>2.7130004942679711</v>
      </c>
    </row>
    <row r="23" spans="1:13">
      <c r="A23" s="28">
        <v>1998</v>
      </c>
      <c r="B23" s="169">
        <f>IFERROR('8a'!B23/'8b'!$B22*100, "na")</f>
        <v>0.80302132768014822</v>
      </c>
      <c r="C23" s="156">
        <f>IFERROR('8a'!C23/'8b'!$B22*100, "na")</f>
        <v>2.9486669053872929</v>
      </c>
      <c r="D23" s="156">
        <f>IFERROR('8a'!D23/'8b'!$B22*100, "na")</f>
        <v>20.441106696157025</v>
      </c>
      <c r="E23" s="170">
        <f>IFERROR('8a'!E23/'8b'!$B22*100, "na")</f>
        <v>24.192794929224469</v>
      </c>
      <c r="F23" s="169">
        <f>IFERROR('8a'!F23/'8b'!$C22*100, "na")</f>
        <v>7.7225003663365779E-2</v>
      </c>
      <c r="G23" s="156">
        <f>IFERROR('8a'!G23/'8b'!$C22*100, "na")</f>
        <v>0.25552867582641536</v>
      </c>
      <c r="H23" s="156">
        <f>IFERROR('8a'!H23/'8b'!$C22*100, "na")</f>
        <v>0.48937214707264909</v>
      </c>
      <c r="I23" s="156">
        <f>IFERROR('8a'!I23/'8b'!$C22*100, "na")</f>
        <v>0.82212582656243027</v>
      </c>
      <c r="J23" s="263">
        <f>IFERROR('8a'!J23/'8b'!$D22*100, "na")</f>
        <v>0.36809990867133779</v>
      </c>
      <c r="K23" s="264">
        <f>IFERROR('8a'!K23/'8b'!$D22*100, "na")</f>
        <v>0.87106482639286287</v>
      </c>
      <c r="L23" s="264">
        <f>IFERROR('8a'!L23/'8b'!$D22*100, "na")</f>
        <v>1.775084790211682</v>
      </c>
      <c r="M23" s="265">
        <f>IFERROR('8a'!M23/'8b'!$D22*100, "na")</f>
        <v>3.0142495252758823</v>
      </c>
    </row>
    <row r="24" spans="1:13">
      <c r="A24" s="28">
        <v>1999</v>
      </c>
      <c r="B24" s="169">
        <f>IFERROR('8a'!B24/'8b'!$B23*100, "na")</f>
        <v>0.77178607814175548</v>
      </c>
      <c r="C24" s="156">
        <f>IFERROR('8a'!C24/'8b'!$B23*100, "na")</f>
        <v>2.5050756058728791</v>
      </c>
      <c r="D24" s="156">
        <f>IFERROR('8a'!D24/'8b'!$B23*100, "na")</f>
        <v>19.285395648656266</v>
      </c>
      <c r="E24" s="170">
        <f>IFERROR('8a'!E24/'8b'!$B23*100, "na")</f>
        <v>22.562257332670903</v>
      </c>
      <c r="F24" s="169">
        <f>IFERROR('8a'!F24/'8b'!$C23*100, "na")</f>
        <v>9.7100700981809243E-2</v>
      </c>
      <c r="G24" s="156">
        <f>IFERROR('8a'!G24/'8b'!$C23*100, "na")</f>
        <v>0.28036654279809764</v>
      </c>
      <c r="H24" s="156">
        <f>IFERROR('8a'!H24/'8b'!$C23*100, "na")</f>
        <v>0.50655420998141032</v>
      </c>
      <c r="I24" s="156">
        <f>IFERROR('8a'!I24/'8b'!$C23*100, "na")</f>
        <v>0.88402145376131736</v>
      </c>
      <c r="J24" s="263">
        <f>IFERROR('8a'!J24/'8b'!$D23*100, "na")</f>
        <v>0.53306773002468744</v>
      </c>
      <c r="K24" s="264">
        <f>IFERROR('8a'!K24/'8b'!$D23*100, "na")</f>
        <v>1.1361477705258793</v>
      </c>
      <c r="L24" s="264">
        <f>IFERROR('8a'!L24/'8b'!$D23*100, "na")</f>
        <v>1.8683908047507354</v>
      </c>
      <c r="M24" s="265">
        <f>IFERROR('8a'!M24/'8b'!$D23*100, "na")</f>
        <v>3.5376063053013018</v>
      </c>
    </row>
    <row r="25" spans="1:13">
      <c r="A25" s="28">
        <v>2000</v>
      </c>
      <c r="B25" s="169">
        <f>IFERROR('8a'!B25/'8b'!$B24*100, "na")</f>
        <v>0.76434845809899155</v>
      </c>
      <c r="C25" s="156">
        <f>IFERROR('8a'!C25/'8b'!$B24*100, "na")</f>
        <v>2.3511679936859102</v>
      </c>
      <c r="D25" s="156">
        <f>IFERROR('8a'!D25/'8b'!$B24*100, "na")</f>
        <v>18.459448334056376</v>
      </c>
      <c r="E25" s="170">
        <f>IFERROR('8a'!E25/'8b'!$B24*100, "na")</f>
        <v>21.574964785841278</v>
      </c>
      <c r="F25" s="169">
        <f>IFERROR('8a'!F25/'8b'!$C24*100, "na")</f>
        <v>9.1519709839972277E-2</v>
      </c>
      <c r="G25" s="156">
        <f>IFERROR('8a'!G25/'8b'!$C24*100, "na")</f>
        <v>0.23436081383217677</v>
      </c>
      <c r="H25" s="156">
        <f>IFERROR('8a'!H25/'8b'!$C24*100, "na")</f>
        <v>0.5020727971024691</v>
      </c>
      <c r="I25" s="156">
        <f>IFERROR('8a'!I25/'8b'!$C24*100, "na")</f>
        <v>0.82795332077461814</v>
      </c>
      <c r="J25" s="263">
        <f>IFERROR('8a'!J25/'8b'!$D24*100, "na")</f>
        <v>0.68434201166008113</v>
      </c>
      <c r="K25" s="264">
        <f>IFERROR('8a'!K25/'8b'!$D24*100, "na")</f>
        <v>1.4030408525735854</v>
      </c>
      <c r="L25" s="264">
        <f>IFERROR('8a'!L25/'8b'!$D24*100, "na")</f>
        <v>2.1220000148392293</v>
      </c>
      <c r="M25" s="265">
        <f>IFERROR('8a'!M25/'8b'!$D24*100, "na")</f>
        <v>4.209382879072896</v>
      </c>
    </row>
    <row r="26" spans="1:13">
      <c r="A26" s="28">
        <v>2001</v>
      </c>
      <c r="B26" s="169">
        <f>IFERROR('8a'!B26/'8b'!$B25*100, "na")</f>
        <v>0.69419997857078075</v>
      </c>
      <c r="C26" s="156">
        <f>IFERROR('8a'!C26/'8b'!$B25*100, "na")</f>
        <v>2.0678492895151979</v>
      </c>
      <c r="D26" s="156">
        <f>IFERROR('8a'!D26/'8b'!$B25*100, "na")</f>
        <v>17.477534146925805</v>
      </c>
      <c r="E26" s="170">
        <f>IFERROR('8a'!E26/'8b'!$B25*100, "na")</f>
        <v>20.239583415011783</v>
      </c>
      <c r="F26" s="169">
        <f>IFERROR('8a'!F26/'8b'!$C25*100, "na")</f>
        <v>7.7369119005233231E-2</v>
      </c>
      <c r="G26" s="156">
        <f>IFERROR('8a'!G26/'8b'!$C25*100, "na")</f>
        <v>0.17791771556996955</v>
      </c>
      <c r="H26" s="156">
        <f>IFERROR('8a'!H26/'8b'!$C25*100, "na")</f>
        <v>0.48202806355050415</v>
      </c>
      <c r="I26" s="156">
        <f>IFERROR('8a'!I26/'8b'!$C25*100, "na")</f>
        <v>0.73731489812570694</v>
      </c>
      <c r="J26" s="263">
        <f>IFERROR('8a'!J26/'8b'!$D25*100, "na")</f>
        <v>0.67755890835957278</v>
      </c>
      <c r="K26" s="264">
        <f>IFERROR('8a'!K26/'8b'!$D25*100, "na")</f>
        <v>1.4963930050189023</v>
      </c>
      <c r="L26" s="264">
        <f>IFERROR('8a'!L26/'8b'!$D25*100, "na")</f>
        <v>2.2424099639593624</v>
      </c>
      <c r="M26" s="265">
        <f>IFERROR('8a'!M26/'8b'!$D25*100, "na")</f>
        <v>4.4163618773378381</v>
      </c>
    </row>
    <row r="27" spans="1:13">
      <c r="A27" s="28">
        <v>2002</v>
      </c>
      <c r="B27" s="169">
        <f>IFERROR('8a'!B27/'8b'!$B26*100, "na")</f>
        <v>0.54212637913741224</v>
      </c>
      <c r="C27" s="156">
        <f>IFERROR('8a'!C27/'8b'!$B26*100, "na")</f>
        <v>1.4714142427281844</v>
      </c>
      <c r="D27" s="156">
        <f>IFERROR('8a'!D27/'8b'!$B26*100, "na")</f>
        <v>16.374623871614844</v>
      </c>
      <c r="E27" s="170">
        <f>IFERROR('8a'!E27/'8b'!$B26*100, "na")</f>
        <v>18.388164493480442</v>
      </c>
      <c r="F27" s="169">
        <f>IFERROR('8a'!F27/'8b'!$C26*100, "na")</f>
        <v>6.4570655848546321E-2</v>
      </c>
      <c r="G27" s="156">
        <f>IFERROR('8a'!G27/'8b'!$C26*100, "na")</f>
        <v>0.13488843813387424</v>
      </c>
      <c r="H27" s="156">
        <f>IFERROR('8a'!H27/'8b'!$C26*100, "na")</f>
        <v>0.46822177146720756</v>
      </c>
      <c r="I27" s="156">
        <f>IFERROR('8a'!I27/'8b'!$C26*100, "na")</f>
        <v>0.66768086544962812</v>
      </c>
      <c r="J27" s="263">
        <f>IFERROR('8a'!J27/'8b'!$D26*100, "na")</f>
        <v>0.68072487088974443</v>
      </c>
      <c r="K27" s="264">
        <f>IFERROR('8a'!K27/'8b'!$D26*100, "na")</f>
        <v>1.517308777812413</v>
      </c>
      <c r="L27" s="264">
        <f>IFERROR('8a'!L27/'8b'!$D26*100, "na")</f>
        <v>2.1917150391332552</v>
      </c>
      <c r="M27" s="265">
        <f>IFERROR('8a'!M27/'8b'!$D26*100, "na")</f>
        <v>4.3897486878354135</v>
      </c>
    </row>
    <row r="28" spans="1:13">
      <c r="A28" s="28">
        <v>2003</v>
      </c>
      <c r="B28" s="169">
        <f>IFERROR('8a'!B28/'8b'!$B27*100, "na")</f>
        <v>0.43186619699293177</v>
      </c>
      <c r="C28" s="156">
        <f>IFERROR('8a'!C28/'8b'!$B27*100, "na")</f>
        <v>1.1004370215323696</v>
      </c>
      <c r="D28" s="156">
        <f>IFERROR('8a'!D28/'8b'!$B27*100, "na")</f>
        <v>15.649866038909336</v>
      </c>
      <c r="E28" s="170">
        <f>IFERROR('8a'!E28/'8b'!$B27*100, "na")</f>
        <v>17.182169257434634</v>
      </c>
      <c r="F28" s="169">
        <f>IFERROR('8a'!F28/'8b'!$C27*100, "na")</f>
        <v>5.8301371675306302E-2</v>
      </c>
      <c r="G28" s="156">
        <f>IFERROR('8a'!G28/'8b'!$C27*100, "na")</f>
        <v>0.11025081026395439</v>
      </c>
      <c r="H28" s="156">
        <f>IFERROR('8a'!H28/'8b'!$C27*100, "na")</f>
        <v>0.45254366548093228</v>
      </c>
      <c r="I28" s="156">
        <f>IFERROR('8a'!I28/'8b'!$C27*100, "na")</f>
        <v>0.62109584742019297</v>
      </c>
      <c r="J28" s="263">
        <f>IFERROR('8a'!J28/'8b'!$D27*100, "na")</f>
        <v>0.68257639653134494</v>
      </c>
      <c r="K28" s="264">
        <f>IFERROR('8a'!K28/'8b'!$D27*100, "na")</f>
        <v>1.5278267600469395</v>
      </c>
      <c r="L28" s="264">
        <f>IFERROR('8a'!L28/'8b'!$D27*100, "na")</f>
        <v>2.0562046920800672</v>
      </c>
      <c r="M28" s="265">
        <f>IFERROR('8a'!M28/'8b'!$D27*100, "na")</f>
        <v>4.266607848658353</v>
      </c>
    </row>
    <row r="29" spans="1:13">
      <c r="A29" s="28">
        <v>2004</v>
      </c>
      <c r="B29" s="169">
        <f>IFERROR('8a'!B29/'8b'!$B28*100, "na")</f>
        <v>0.34031036140096327</v>
      </c>
      <c r="C29" s="156">
        <f>IFERROR('8a'!C29/'8b'!$B28*100, "na")</f>
        <v>0.82597741761631649</v>
      </c>
      <c r="D29" s="156">
        <f>IFERROR('8a'!D29/'8b'!$B28*100, "na")</f>
        <v>14.392642889251992</v>
      </c>
      <c r="E29" s="170">
        <f>IFERROR('8a'!E29/'8b'!$B28*100, "na")</f>
        <v>15.558930668269271</v>
      </c>
      <c r="F29" s="169">
        <f>IFERROR('8a'!F29/'8b'!$C28*100, "na")</f>
        <v>5.5367987165188856E-2</v>
      </c>
      <c r="G29" s="156">
        <f>IFERROR('8a'!G29/'8b'!$C28*100, "na")</f>
        <v>9.6221328762458008E-2</v>
      </c>
      <c r="H29" s="156">
        <f>IFERROR('8a'!H29/'8b'!$C28*100, "na")</f>
        <v>0.44110185028673415</v>
      </c>
      <c r="I29" s="156">
        <f>IFERROR('8a'!I29/'8b'!$C28*100, "na")</f>
        <v>0.592691166214381</v>
      </c>
      <c r="J29" s="263">
        <f>IFERROR('8a'!J29/'8b'!$D28*100, "na")</f>
        <v>0.6579034428503453</v>
      </c>
      <c r="K29" s="264">
        <f>IFERROR('8a'!K29/'8b'!$D28*100, "na")</f>
        <v>1.5290945757768069</v>
      </c>
      <c r="L29" s="264">
        <f>IFERROR('8a'!L29/'8b'!$D28*100, "na")</f>
        <v>1.9165127836683302</v>
      </c>
      <c r="M29" s="265">
        <f>IFERROR('8a'!M29/'8b'!$D28*100, "na")</f>
        <v>4.1035108022954825</v>
      </c>
    </row>
    <row r="30" spans="1:13">
      <c r="A30" s="28">
        <v>2005</v>
      </c>
      <c r="B30" s="169">
        <f>IFERROR('8a'!B30/'8b'!$B29*100, "na")</f>
        <v>0.28207150545264559</v>
      </c>
      <c r="C30" s="156">
        <f>IFERROR('8a'!C30/'8b'!$B29*100, "na")</f>
        <v>0.65018443873510967</v>
      </c>
      <c r="D30" s="156">
        <f>IFERROR('8a'!D30/'8b'!$B29*100, "na")</f>
        <v>13.552737119931047</v>
      </c>
      <c r="E30" s="170">
        <f>IFERROR('8a'!E30/'8b'!$B29*100, "na")</f>
        <v>14.4849930641188</v>
      </c>
      <c r="F30" s="169">
        <f>IFERROR('8a'!F30/'8b'!$C29*100, "na")</f>
        <v>5.5225374833621499E-2</v>
      </c>
      <c r="G30" s="156">
        <f>IFERROR('8a'!G30/'8b'!$C29*100, "na")</f>
        <v>8.7020722595346808E-2</v>
      </c>
      <c r="H30" s="156">
        <f>IFERROR('8a'!H30/'8b'!$C29*100, "na")</f>
        <v>0.42385392228773039</v>
      </c>
      <c r="I30" s="156">
        <f>IFERROR('8a'!I30/'8b'!$C29*100, "na")</f>
        <v>0.56610001971669865</v>
      </c>
      <c r="J30" s="263">
        <f>IFERROR('8a'!J30/'8b'!$D29*100, "na")</f>
        <v>0.60928274390664383</v>
      </c>
      <c r="K30" s="264">
        <f>IFERROR('8a'!K30/'8b'!$D29*100, "na")</f>
        <v>1.5232268334768171</v>
      </c>
      <c r="L30" s="264">
        <f>IFERROR('8a'!L30/'8b'!$D29*100, "na")</f>
        <v>1.7921775164484621</v>
      </c>
      <c r="M30" s="265">
        <f>IFERROR('8a'!M30/'8b'!$D29*100, "na")</f>
        <v>3.9246870938319232</v>
      </c>
    </row>
    <row r="31" spans="1:13">
      <c r="A31" s="28">
        <v>2006</v>
      </c>
      <c r="B31" s="169">
        <f>IFERROR('8a'!B31/'8b'!$B30*100, "na")</f>
        <v>0.25490288687664353</v>
      </c>
      <c r="C31" s="156">
        <f>IFERROR('8a'!C31/'8b'!$B30*100, "na")</f>
        <v>0.53072243501462324</v>
      </c>
      <c r="D31" s="156">
        <f>IFERROR('8a'!D31/'8b'!$B30*100, "na")</f>
        <v>12.823077915907936</v>
      </c>
      <c r="E31" s="170">
        <f>IFERROR('8a'!E31/'8b'!$B30*100, "na")</f>
        <v>13.608703237799203</v>
      </c>
      <c r="F31" s="169">
        <f>IFERROR('8a'!F31/'8b'!$C30*100, "na")</f>
        <v>6.263270514024992E-2</v>
      </c>
      <c r="G31" s="156">
        <f>IFERROR('8a'!G31/'8b'!$C30*100, "na")</f>
        <v>8.282054903138461E-2</v>
      </c>
      <c r="H31" s="156">
        <f>IFERROR('8a'!H31/'8b'!$C30*100, "na")</f>
        <v>0.40710074048443295</v>
      </c>
      <c r="I31" s="156">
        <f>IFERROR('8a'!I31/'8b'!$C30*100, "na")</f>
        <v>0.55255399465606758</v>
      </c>
      <c r="J31" s="263">
        <f>IFERROR('8a'!J31/'8b'!$D30*100, "na")</f>
        <v>0.63305809145380065</v>
      </c>
      <c r="K31" s="264">
        <f>IFERROR('8a'!K31/'8b'!$D30*100, "na")</f>
        <v>1.5334285974238233</v>
      </c>
      <c r="L31" s="264">
        <f>IFERROR('8a'!L31/'8b'!$D30*100, "na")</f>
        <v>1.837457551129464</v>
      </c>
      <c r="M31" s="265">
        <f>IFERROR('8a'!M31/'8b'!$D30*100, "na")</f>
        <v>4.0039442400070877</v>
      </c>
    </row>
    <row r="32" spans="1:13">
      <c r="A32" s="28">
        <v>2007</v>
      </c>
      <c r="B32" s="169">
        <f>IFERROR('8a'!B32/'8b'!$B31*100, "na")</f>
        <v>0.29001650678192081</v>
      </c>
      <c r="C32" s="156">
        <f>IFERROR('8a'!C32/'8b'!$B31*100, "na")</f>
        <v>0.50888940214951883</v>
      </c>
      <c r="D32" s="156">
        <f>IFERROR('8a'!D32/'8b'!$B31*100, "na")</f>
        <v>11.969273383275898</v>
      </c>
      <c r="E32" s="170">
        <f>IFERROR('8a'!E32/'8b'!$B31*100, "na")</f>
        <v>12.768179292207337</v>
      </c>
      <c r="F32" s="169">
        <f>IFERROR('8a'!F32/'8b'!$C31*100, "na")</f>
        <v>7.9786589443716263E-2</v>
      </c>
      <c r="G32" s="156">
        <f>IFERROR('8a'!G32/'8b'!$C31*100, "na")</f>
        <v>8.7957132045809502E-2</v>
      </c>
      <c r="H32" s="156">
        <f>IFERROR('8a'!H32/'8b'!$C31*100, "na")</f>
        <v>0.39673759404132936</v>
      </c>
      <c r="I32" s="156">
        <f>IFERROR('8a'!I32/'8b'!$C31*100, "na")</f>
        <v>0.56448131553085512</v>
      </c>
      <c r="J32" s="263">
        <f>IFERROR('8a'!J32/'8b'!$D31*100, "na")</f>
        <v>0.68850791477180751</v>
      </c>
      <c r="K32" s="264">
        <f>IFERROR('8a'!K32/'8b'!$D31*100, "na")</f>
        <v>1.6059289596101172</v>
      </c>
      <c r="L32" s="264">
        <f>IFERROR('8a'!L32/'8b'!$D31*100, "na")</f>
        <v>1.743532199452879</v>
      </c>
      <c r="M32" s="265">
        <f>IFERROR('8a'!M32/'8b'!$D31*100, "na")</f>
        <v>4.0379690738348035</v>
      </c>
    </row>
    <row r="33" spans="1:13">
      <c r="A33" s="28">
        <v>2008</v>
      </c>
      <c r="B33" s="169">
        <f>IFERROR('8a'!B33/'8b'!$B32*100, "na")</f>
        <v>0.32488907828846292</v>
      </c>
      <c r="C33" s="156">
        <f>IFERROR('8a'!C33/'8b'!$B32*100, "na")</f>
        <v>0.47802105636150138</v>
      </c>
      <c r="D33" s="156">
        <f>IFERROR('8a'!D33/'8b'!$B32*100, "na")</f>
        <v>10.797733376036</v>
      </c>
      <c r="E33" s="170">
        <f>IFERROR('8a'!E33/'8b'!$B32*100, "na")</f>
        <v>11.600643510685964</v>
      </c>
      <c r="F33" s="169">
        <f>IFERROR('8a'!F33/'8b'!$C32*100, "na")</f>
        <v>9.7901690117583581E-2</v>
      </c>
      <c r="G33" s="156">
        <f>IFERROR('8a'!G33/'8b'!$C32*100, "na")</f>
        <v>9.1522855487664936E-2</v>
      </c>
      <c r="H33" s="156">
        <f>IFERROR('8a'!H33/'8b'!$C32*100, "na")</f>
        <v>0.37991533865849331</v>
      </c>
      <c r="I33" s="156">
        <f>IFERROR('8a'!I33/'8b'!$C32*100, "na")</f>
        <v>0.56933988426374182</v>
      </c>
      <c r="J33" s="263">
        <f>IFERROR('8a'!J33/'8b'!$D32*100, "na")</f>
        <v>0.74303706296946737</v>
      </c>
      <c r="K33" s="264">
        <f>IFERROR('8a'!K33/'8b'!$D32*100, "na")</f>
        <v>1.7083134462182781</v>
      </c>
      <c r="L33" s="264">
        <f>IFERROR('8a'!L33/'8b'!$D32*100, "na")</f>
        <v>1.770796363525345</v>
      </c>
      <c r="M33" s="265">
        <f>IFERROR('8a'!M33/'8b'!$D32*100, "na")</f>
        <v>4.2221468727130906</v>
      </c>
    </row>
    <row r="34" spans="1:13">
      <c r="A34" s="28">
        <v>2009</v>
      </c>
      <c r="B34" s="169">
        <f>IFERROR('8a'!B34/'8b'!$B33*100, "na")</f>
        <v>0.36257914864054697</v>
      </c>
      <c r="C34" s="156">
        <f>IFERROR('8a'!C34/'8b'!$B33*100, "na")</f>
        <v>0.46871556606781911</v>
      </c>
      <c r="D34" s="156">
        <f>IFERROR('8a'!D34/'8b'!$B33*100, "na")</f>
        <v>10.805215094496285</v>
      </c>
      <c r="E34" s="170">
        <f>IFERROR('8a'!E34/'8b'!$B33*100, "na")</f>
        <v>11.636509809204652</v>
      </c>
      <c r="F34" s="169">
        <f>IFERROR('8a'!F34/'8b'!$C33*100, "na")</f>
        <v>0.10594172793024842</v>
      </c>
      <c r="G34" s="156">
        <f>IFERROR('8a'!G34/'8b'!$C33*100, "na")</f>
        <v>8.5829199786563268E-2</v>
      </c>
      <c r="H34" s="156">
        <f>IFERROR('8a'!H34/'8b'!$C33*100, "na")</f>
        <v>0.37483939334626054</v>
      </c>
      <c r="I34" s="156">
        <f>IFERROR('8a'!I34/'8b'!$C33*100, "na")</f>
        <v>0.56661032106307219</v>
      </c>
      <c r="J34" s="263">
        <f>IFERROR('8a'!J34/'8b'!$D33*100, "na")</f>
        <v>0.79037652263164482</v>
      </c>
      <c r="K34" s="264">
        <f>IFERROR('8a'!K34/'8b'!$D33*100, "na")</f>
        <v>1.8599235824876523</v>
      </c>
      <c r="L34" s="264">
        <f>IFERROR('8a'!L34/'8b'!$D33*100, "na")</f>
        <v>1.8400267293980663</v>
      </c>
      <c r="M34" s="265">
        <f>IFERROR('8a'!M34/'8b'!$D33*100, "na")</f>
        <v>4.4903268345173633</v>
      </c>
    </row>
    <row r="35" spans="1:13">
      <c r="A35" s="29">
        <v>2010</v>
      </c>
      <c r="B35" s="192">
        <f>IFERROR('8a'!B35/'8b'!$B34*100, "na")</f>
        <v>0.42118365032078564</v>
      </c>
      <c r="C35" s="157">
        <f>IFERROR('8a'!C35/'8b'!$B34*100, "na")</f>
        <v>0.46077438061682147</v>
      </c>
      <c r="D35" s="157">
        <f>IFERROR('8a'!D35/'8b'!$B34*100, "na")</f>
        <v>10.514847383522786</v>
      </c>
      <c r="E35" s="207">
        <f>IFERROR('8a'!E35/'8b'!$B34*100, "na")</f>
        <v>11.396805414460394</v>
      </c>
      <c r="F35" s="192">
        <f>IFERROR('8a'!F35/'8b'!$C34*100, "na")</f>
        <v>0.12050527839759483</v>
      </c>
      <c r="G35" s="157">
        <f>IFERROR('8a'!G35/'8b'!$C34*100, "na")</f>
        <v>8.2424245278407859E-2</v>
      </c>
      <c r="H35" s="157">
        <f>IFERROR('8a'!H35/'8b'!$C34*100, "na")</f>
        <v>0.37009887512756717</v>
      </c>
      <c r="I35" s="157">
        <f>IFERROR('8a'!I35/'8b'!$C34*100, "na")</f>
        <v>0.57302839880356982</v>
      </c>
      <c r="J35" s="266">
        <f>IFERROR('8a'!J35/'8b'!$D34*100, "na")</f>
        <v>0.96000733166871599</v>
      </c>
      <c r="K35" s="267">
        <f>IFERROR('8a'!K35/'8b'!$D34*100, "na")</f>
        <v>1.9097165945566885</v>
      </c>
      <c r="L35" s="267">
        <f>IFERROR('8a'!L35/'8b'!$D34*100, "na")</f>
        <v>1.7495865381362803</v>
      </c>
      <c r="M35" s="268">
        <f>IFERROR('8a'!M35/'8b'!$D34*100, "na")</f>
        <v>4.6193104643616847</v>
      </c>
    </row>
    <row r="36" spans="1:13">
      <c r="A36" s="26"/>
      <c r="B36" s="10"/>
      <c r="C36" s="10"/>
      <c r="D36" s="10"/>
      <c r="E36" s="10"/>
      <c r="F36" s="10"/>
      <c r="G36" s="10"/>
      <c r="H36" s="10"/>
      <c r="I36" s="10"/>
      <c r="J36" s="1"/>
      <c r="K36" s="1"/>
      <c r="L36" s="1"/>
      <c r="M36" s="1"/>
    </row>
    <row r="37" spans="1:13">
      <c r="A37" s="389" t="s">
        <v>77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0"/>
    </row>
    <row r="38" spans="1:13">
      <c r="A38" s="15" t="s">
        <v>53</v>
      </c>
      <c r="B38" s="82">
        <f>B15-B6</f>
        <v>9.4497940540674855E-2</v>
      </c>
      <c r="C38" s="83">
        <f t="shared" ref="C38:I38" si="0">C15-C6</f>
        <v>-0.1405552465320048</v>
      </c>
      <c r="D38" s="83">
        <f t="shared" si="0"/>
        <v>4.3483104584006629</v>
      </c>
      <c r="E38" s="84">
        <f t="shared" si="0"/>
        <v>4.3022531524093344</v>
      </c>
      <c r="F38" s="82">
        <f t="shared" si="0"/>
        <v>2.8127790754436284E-3</v>
      </c>
      <c r="G38" s="83">
        <f t="shared" si="0"/>
        <v>1.483622800274911E-2</v>
      </c>
      <c r="H38" s="83">
        <f t="shared" si="0"/>
        <v>0.24629554946845639</v>
      </c>
      <c r="I38" s="84">
        <f t="shared" si="0"/>
        <v>0.26394455654664911</v>
      </c>
      <c r="J38" s="83">
        <f t="shared" ref="J38:M38" si="1">J15-J6</f>
        <v>7.1682380990638034E-2</v>
      </c>
      <c r="K38" s="83">
        <f t="shared" si="1"/>
        <v>0.21057063459026587</v>
      </c>
      <c r="L38" s="83">
        <f t="shared" si="1"/>
        <v>0.60971699646673161</v>
      </c>
      <c r="M38" s="84">
        <f t="shared" si="1"/>
        <v>0.89197001204763526</v>
      </c>
    </row>
    <row r="39" spans="1:13">
      <c r="A39" s="16" t="s">
        <v>71</v>
      </c>
      <c r="B39" s="85">
        <f>B25-B15</f>
        <v>0.64805155124345104</v>
      </c>
      <c r="C39" s="86">
        <f t="shared" ref="C39:I39" si="2">C25-C15</f>
        <v>1.355322372774052</v>
      </c>
      <c r="D39" s="86">
        <f t="shared" si="2"/>
        <v>12.321096866821957</v>
      </c>
      <c r="E39" s="87">
        <f t="shared" si="2"/>
        <v>14.32447079083946</v>
      </c>
      <c r="F39" s="85">
        <f t="shared" si="2"/>
        <v>8.8480722166091832E-2</v>
      </c>
      <c r="G39" s="86">
        <f t="shared" si="2"/>
        <v>0.21511304461515734</v>
      </c>
      <c r="H39" s="86">
        <f t="shared" si="2"/>
        <v>1.1008122769636919E-2</v>
      </c>
      <c r="I39" s="87">
        <f t="shared" si="2"/>
        <v>0.31460188955088608</v>
      </c>
      <c r="J39" s="86">
        <f t="shared" ref="J39:M39" si="3">J25-J15</f>
        <v>0.60532347533239195</v>
      </c>
      <c r="K39" s="86">
        <f t="shared" si="3"/>
        <v>1.1571713732514768</v>
      </c>
      <c r="L39" s="86">
        <f t="shared" si="3"/>
        <v>0.68488143031470838</v>
      </c>
      <c r="M39" s="87">
        <f t="shared" si="3"/>
        <v>2.4473762788985773</v>
      </c>
    </row>
    <row r="40" spans="1:13">
      <c r="A40" s="16" t="s">
        <v>69</v>
      </c>
      <c r="B40" s="85">
        <f>B35-B25</f>
        <v>-0.3431648077782059</v>
      </c>
      <c r="C40" s="86">
        <f t="shared" ref="C40:I40" si="4">C35-C25</f>
        <v>-1.8903936130690888</v>
      </c>
      <c r="D40" s="86">
        <f t="shared" si="4"/>
        <v>-7.9446009505335891</v>
      </c>
      <c r="E40" s="87">
        <f t="shared" si="4"/>
        <v>-10.178159371380884</v>
      </c>
      <c r="F40" s="85">
        <f t="shared" si="4"/>
        <v>2.8985568557622549E-2</v>
      </c>
      <c r="G40" s="86">
        <f>G35-G25</f>
        <v>-0.15193656855376891</v>
      </c>
      <c r="H40" s="86">
        <f t="shared" si="4"/>
        <v>-0.13197392197490193</v>
      </c>
      <c r="I40" s="87">
        <f t="shared" si="4"/>
        <v>-0.25492492197104832</v>
      </c>
      <c r="J40" s="86">
        <f t="shared" ref="J40:M40" si="5">J35-J25</f>
        <v>0.27566532000863486</v>
      </c>
      <c r="K40" s="86">
        <f t="shared" si="5"/>
        <v>0.50667574198310317</v>
      </c>
      <c r="L40" s="86">
        <f t="shared" si="5"/>
        <v>-0.372413476702949</v>
      </c>
      <c r="M40" s="87">
        <f t="shared" si="5"/>
        <v>0.4099275852887887</v>
      </c>
    </row>
    <row r="41" spans="1:13">
      <c r="A41" s="17" t="s">
        <v>70</v>
      </c>
      <c r="B41" s="88">
        <f>B35-B6</f>
        <v>0.39938468400592003</v>
      </c>
      <c r="C41" s="89">
        <f t="shared" ref="C41:I41" si="6">C35-C6</f>
        <v>-0.67562648682704163</v>
      </c>
      <c r="D41" s="89">
        <f t="shared" si="6"/>
        <v>8.724806374689031</v>
      </c>
      <c r="E41" s="90">
        <f t="shared" si="6"/>
        <v>8.4485645718679088</v>
      </c>
      <c r="F41" s="88">
        <f t="shared" si="6"/>
        <v>0.12027906979915801</v>
      </c>
      <c r="G41" s="89">
        <f t="shared" si="6"/>
        <v>7.8012704064137545E-2</v>
      </c>
      <c r="H41" s="89">
        <f t="shared" si="6"/>
        <v>0.12532975026319138</v>
      </c>
      <c r="I41" s="90">
        <f t="shared" si="6"/>
        <v>0.32362152412648687</v>
      </c>
      <c r="J41" s="89">
        <f t="shared" ref="J41:M41" si="7">J35-J6</f>
        <v>0.95267117633166487</v>
      </c>
      <c r="K41" s="89">
        <f t="shared" si="7"/>
        <v>1.8744177498248458</v>
      </c>
      <c r="L41" s="89">
        <f t="shared" si="7"/>
        <v>0.92218495007849099</v>
      </c>
      <c r="M41" s="90">
        <f t="shared" si="7"/>
        <v>3.7492738762350015</v>
      </c>
    </row>
    <row r="43" spans="1:13">
      <c r="A43" s="204" t="s">
        <v>239</v>
      </c>
    </row>
  </sheetData>
  <mergeCells count="4">
    <mergeCell ref="B4:E4"/>
    <mergeCell ref="F4:I4"/>
    <mergeCell ref="J4:M4"/>
    <mergeCell ref="A37:M37"/>
  </mergeCells>
  <pageMargins left="0.7" right="0.7" top="0.75" bottom="0.75" header="0.3" footer="0.3"/>
  <pageSetup scale="68" orientation="landscape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93"/>
  <dimension ref="A1:M25"/>
  <sheetViews>
    <sheetView zoomScaleNormal="100" workbookViewId="0">
      <selection activeCell="B15" sqref="B15"/>
    </sheetView>
  </sheetViews>
  <sheetFormatPr defaultColWidth="7.85546875" defaultRowHeight="15"/>
  <cols>
    <col min="1" max="1" width="7.85546875" style="1"/>
    <col min="2" max="2" width="9.140625" style="1" customWidth="1"/>
    <col min="3" max="3" width="8.7109375" style="1" bestFit="1" customWidth="1"/>
    <col min="4" max="4" width="14.42578125" style="1" customWidth="1"/>
    <col min="5" max="5" width="9.5703125" style="1" customWidth="1"/>
    <col min="6" max="6" width="9.7109375" style="1" customWidth="1"/>
    <col min="7" max="7" width="8.7109375" style="1" bestFit="1" customWidth="1"/>
    <col min="8" max="8" width="14.140625" style="1" customWidth="1"/>
    <col min="9" max="9" width="10.42578125" style="1" customWidth="1"/>
    <col min="10" max="10" width="9.7109375" style="1" customWidth="1"/>
    <col min="11" max="11" width="10.140625" style="1" bestFit="1" customWidth="1"/>
    <col min="12" max="12" width="15.140625" style="1" customWidth="1"/>
    <col min="13" max="13" width="8.5703125" style="1" customWidth="1"/>
    <col min="14" max="16384" width="7.85546875" style="1"/>
  </cols>
  <sheetData>
    <row r="1" spans="1:13">
      <c r="A1" s="2" t="s">
        <v>200</v>
      </c>
    </row>
    <row r="3" spans="1:13"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36">
      <c r="B4" s="367" t="s">
        <v>0</v>
      </c>
      <c r="C4" s="368" t="s">
        <v>1</v>
      </c>
      <c r="D4" s="368" t="s">
        <v>2</v>
      </c>
      <c r="E4" s="369" t="s">
        <v>72</v>
      </c>
      <c r="F4" s="367" t="s">
        <v>0</v>
      </c>
      <c r="G4" s="368" t="s">
        <v>1</v>
      </c>
      <c r="H4" s="368" t="s">
        <v>2</v>
      </c>
      <c r="I4" s="369" t="s">
        <v>72</v>
      </c>
      <c r="J4" s="367" t="s">
        <v>0</v>
      </c>
      <c r="K4" s="368" t="s">
        <v>1</v>
      </c>
      <c r="L4" s="368" t="s">
        <v>2</v>
      </c>
      <c r="M4" s="369" t="s">
        <v>72</v>
      </c>
    </row>
    <row r="5" spans="1:13">
      <c r="A5" s="64">
        <v>1992</v>
      </c>
      <c r="B5" s="82">
        <f>IFERROR('1o'!B5/'5i'!B17*100, "na")</f>
        <v>188.16434442270059</v>
      </c>
      <c r="C5" s="83">
        <f>IFERROR('1o'!C5/'5i'!C17*100, "na")</f>
        <v>208.92645723697427</v>
      </c>
      <c r="D5" s="83" t="str">
        <f>IFERROR('1o'!D5/'5i'!D17*100, "na")</f>
        <v>na</v>
      </c>
      <c r="E5" s="84" t="str">
        <f>IFERROR('1o'!E5/'5i'!E17*100, "na")</f>
        <v>na</v>
      </c>
      <c r="F5" s="82">
        <f>IFERROR('1o'!F5/'5i'!F17*100, "na")</f>
        <v>46.804983854005975</v>
      </c>
      <c r="G5" s="83">
        <f>IFERROR('1o'!G5/'5i'!G17*100, "na")</f>
        <v>28.650458647797294</v>
      </c>
      <c r="H5" s="83" t="str">
        <f>IFERROR('1o'!H5/'5i'!H17*100, "na")</f>
        <v>na</v>
      </c>
      <c r="I5" s="84" t="str">
        <f>IFERROR('1o'!I5/'5i'!I17*100, "na")</f>
        <v>na</v>
      </c>
      <c r="J5" s="82" t="str">
        <f>IFERROR('1o'!J5/'5i'!J17*100, "na")</f>
        <v>na</v>
      </c>
      <c r="K5" s="83" t="str">
        <f>IFERROR('1o'!K5/'5i'!K17*100, "na")</f>
        <v>na</v>
      </c>
      <c r="L5" s="83" t="str">
        <f>IFERROR('1o'!L5/'5i'!L17*100, "na")</f>
        <v>na</v>
      </c>
      <c r="M5" s="84" t="str">
        <f>IFERROR('1o'!M5/'5i'!M17*100, "na")</f>
        <v>na</v>
      </c>
    </row>
    <row r="6" spans="1:13">
      <c r="A6" s="65">
        <v>1993</v>
      </c>
      <c r="B6" s="85">
        <f>IFERROR('1o'!B6/'5i'!B18*100, "na")</f>
        <v>319.45567493888007</v>
      </c>
      <c r="C6" s="86">
        <f>IFERROR('1o'!C6/'5i'!C18*100, "na")</f>
        <v>114.22434853045327</v>
      </c>
      <c r="D6" s="86" t="str">
        <f>IFERROR('1o'!D6/'5i'!D18*100, "na")</f>
        <v>na</v>
      </c>
      <c r="E6" s="87" t="str">
        <f>IFERROR('1o'!E6/'5i'!E18*100, "na")</f>
        <v>na</v>
      </c>
      <c r="F6" s="85">
        <f>IFERROR('1o'!F6/'5i'!F18*100, "na")</f>
        <v>8.1972947048877955</v>
      </c>
      <c r="G6" s="86">
        <f>IFERROR('1o'!G6/'5i'!G18*100, "na")</f>
        <v>15.865408427375746</v>
      </c>
      <c r="H6" s="86" t="str">
        <f>IFERROR('1o'!H6/'5i'!H18*100, "na")</f>
        <v>na</v>
      </c>
      <c r="I6" s="87" t="str">
        <f>IFERROR('1o'!I6/'5i'!I18*100, "na")</f>
        <v>na</v>
      </c>
      <c r="J6" s="85" t="str">
        <f>IFERROR('1o'!J6/'5i'!J18*100, "na")</f>
        <v>na</v>
      </c>
      <c r="K6" s="86" t="str">
        <f>IFERROR('1o'!K6/'5i'!K18*100, "na")</f>
        <v>na</v>
      </c>
      <c r="L6" s="86" t="str">
        <f>IFERROR('1o'!L6/'5i'!L18*100, "na")</f>
        <v>na</v>
      </c>
      <c r="M6" s="87" t="str">
        <f>IFERROR('1o'!M6/'5i'!M18*100, "na")</f>
        <v>na</v>
      </c>
    </row>
    <row r="7" spans="1:13">
      <c r="A7" s="65">
        <v>1994</v>
      </c>
      <c r="B7" s="85">
        <f>IFERROR('1o'!B7/'5i'!B19*100, "na")</f>
        <v>4.4531788149240707</v>
      </c>
      <c r="C7" s="86">
        <f>IFERROR('1o'!C7/'5i'!C19*100, "na")</f>
        <v>54.596024486797766</v>
      </c>
      <c r="D7" s="86">
        <f>IFERROR('1o'!D7/'5i'!D19*100, "na")</f>
        <v>0.56962709891686614</v>
      </c>
      <c r="E7" s="87">
        <f>IFERROR('1o'!E7/'5i'!E19*100, "na")</f>
        <v>9.4048427609765923</v>
      </c>
      <c r="F7" s="85">
        <f>IFERROR('1o'!F7/'5i'!F19*100, "na")</f>
        <v>14.47494268450907</v>
      </c>
      <c r="G7" s="86">
        <f>IFERROR('1o'!G7/'5i'!G19*100, "na")</f>
        <v>13.463411802552534</v>
      </c>
      <c r="H7" s="86" t="str">
        <f>IFERROR('1o'!H7/'5i'!H19*100, "na")</f>
        <v>na</v>
      </c>
      <c r="I7" s="87" t="str">
        <f>IFERROR('1o'!I7/'5i'!I19*100, "na")</f>
        <v>na</v>
      </c>
      <c r="J7" s="85" t="str">
        <f>IFERROR('1o'!J7/'5i'!J19*100, "na")</f>
        <v>na</v>
      </c>
      <c r="K7" s="86" t="str">
        <f>IFERROR('1o'!K7/'5i'!K19*100, "na")</f>
        <v>na</v>
      </c>
      <c r="L7" s="86" t="str">
        <f>IFERROR('1o'!L7/'5i'!L19*100, "na")</f>
        <v>na</v>
      </c>
      <c r="M7" s="87" t="str">
        <f>IFERROR('1o'!M7/'5i'!M19*100, "na")</f>
        <v>na</v>
      </c>
    </row>
    <row r="8" spans="1:13">
      <c r="A8" s="65">
        <v>1995</v>
      </c>
      <c r="B8" s="85">
        <f>IFERROR('1o'!B8/'5i'!B20*100, "na")</f>
        <v>13.631538745635238</v>
      </c>
      <c r="C8" s="86">
        <f>IFERROR('1o'!C8/'5i'!C20*100, "na")</f>
        <v>31.034103139647979</v>
      </c>
      <c r="D8" s="86" t="str">
        <f>IFERROR('1o'!D8/'5i'!D20*100, "na")</f>
        <v>na</v>
      </c>
      <c r="E8" s="87" t="str">
        <f>IFERROR('1o'!E8/'5i'!E20*100, "na")</f>
        <v>na</v>
      </c>
      <c r="F8" s="85">
        <f>IFERROR('1o'!F8/'5i'!F20*100, "na")</f>
        <v>31.837207219146201</v>
      </c>
      <c r="G8" s="86">
        <f>IFERROR('1o'!G8/'5i'!G20*100, "na")</f>
        <v>21.516012984292253</v>
      </c>
      <c r="H8" s="86" t="str">
        <f>IFERROR('1o'!H8/'5i'!H20*100, "na")</f>
        <v>na</v>
      </c>
      <c r="I8" s="87" t="str">
        <f>IFERROR('1o'!I8/'5i'!I20*100, "na")</f>
        <v>na</v>
      </c>
      <c r="J8" s="85" t="str">
        <f>IFERROR('1o'!J8/'5i'!J20*100, "na")</f>
        <v>na</v>
      </c>
      <c r="K8" s="86" t="str">
        <f>IFERROR('1o'!K8/'5i'!K20*100, "na")</f>
        <v>na</v>
      </c>
      <c r="L8" s="86" t="str">
        <f>IFERROR('1o'!L8/'5i'!L20*100, "na")</f>
        <v>na</v>
      </c>
      <c r="M8" s="87" t="str">
        <f>IFERROR('1o'!M8/'5i'!M20*100, "na")</f>
        <v>na</v>
      </c>
    </row>
    <row r="9" spans="1:13">
      <c r="A9" s="65">
        <v>1996</v>
      </c>
      <c r="B9" s="85">
        <f>IFERROR('1o'!B9/'5i'!B21*100, "na")</f>
        <v>22.872869631417473</v>
      </c>
      <c r="C9" s="86">
        <f>IFERROR('1o'!C9/'5i'!C21*100, "na")</f>
        <v>28.889068144136822</v>
      </c>
      <c r="D9" s="86">
        <f>IFERROR('1o'!D9/'5i'!D21*100, "na")</f>
        <v>0.42157726704696691</v>
      </c>
      <c r="E9" s="87">
        <f>IFERROR('1o'!E9/'5i'!E21*100, "na")</f>
        <v>6.2731935651884179</v>
      </c>
      <c r="F9" s="85">
        <f>IFERROR('1o'!F9/'5i'!F21*100, "na")</f>
        <v>56.798757749508489</v>
      </c>
      <c r="G9" s="86">
        <f>IFERROR('1o'!G9/'5i'!G21*100, "na")</f>
        <v>33.905940443830289</v>
      </c>
      <c r="H9" s="86" t="str">
        <f>IFERROR('1o'!H9/'5i'!H21*100, "na")</f>
        <v>na</v>
      </c>
      <c r="I9" s="87" t="str">
        <f>IFERROR('1o'!I9/'5i'!I21*100, "na")</f>
        <v>na</v>
      </c>
      <c r="J9" s="85" t="str">
        <f>IFERROR('1o'!J9/'5i'!J21*100, "na")</f>
        <v>na</v>
      </c>
      <c r="K9" s="86" t="str">
        <f>IFERROR('1o'!K9/'5i'!K21*100, "na")</f>
        <v>na</v>
      </c>
      <c r="L9" s="86" t="str">
        <f>IFERROR('1o'!L9/'5i'!L21*100, "na")</f>
        <v>na</v>
      </c>
      <c r="M9" s="87" t="str">
        <f>IFERROR('1o'!M9/'5i'!M21*100, "na")</f>
        <v>na</v>
      </c>
    </row>
    <row r="10" spans="1:13">
      <c r="A10" s="65">
        <v>1997</v>
      </c>
      <c r="B10" s="85">
        <f>IFERROR('1o'!B10/'5i'!B22*100, "na")</f>
        <v>61.12935397759388</v>
      </c>
      <c r="C10" s="86">
        <f>IFERROR('1o'!C10/'5i'!C22*100, "na")</f>
        <v>38.285073417203783</v>
      </c>
      <c r="D10" s="86">
        <f>IFERROR('1o'!D10/'5i'!D22*100, "na")</f>
        <v>1.8371111768584543</v>
      </c>
      <c r="E10" s="87">
        <f>IFERROR('1o'!E10/'5i'!E22*100, "na")</f>
        <v>12.73181674182324</v>
      </c>
      <c r="F10" s="85">
        <f>IFERROR('1o'!F10/'5i'!F22*100, "na")</f>
        <v>103.57799019092215</v>
      </c>
      <c r="G10" s="86">
        <f>IFERROR('1o'!G10/'5i'!G22*100, "na")</f>
        <v>82.343898347951082</v>
      </c>
      <c r="H10" s="86">
        <f>IFERROR('1o'!H10/'5i'!H22*100, "na")</f>
        <v>2.1359964634997239</v>
      </c>
      <c r="I10" s="87">
        <f>IFERROR('1o'!I10/'5i'!I22*100, "na")</f>
        <v>69.007553856140007</v>
      </c>
      <c r="J10" s="85">
        <f>IFERROR('1o'!J10/'5i'!J22*100, "na")</f>
        <v>51.518530781658647</v>
      </c>
      <c r="K10" s="86">
        <f>IFERROR('1o'!K10/'5i'!K22*100, "na")</f>
        <v>51.672228154375055</v>
      </c>
      <c r="L10" s="86">
        <f>IFERROR('1o'!L10/'5i'!L22*100, "na")</f>
        <v>45.156956419874852</v>
      </c>
      <c r="M10" s="87">
        <f>IFERROR('1o'!M10/'5i'!M22*100, "na")</f>
        <v>49.684625823089959</v>
      </c>
    </row>
    <row r="11" spans="1:13">
      <c r="A11" s="65">
        <v>1998</v>
      </c>
      <c r="B11" s="85">
        <f>IFERROR('1o'!B11/'5i'!B23*100, "na")</f>
        <v>75.221012662383998</v>
      </c>
      <c r="C11" s="86">
        <f>IFERROR('1o'!C11/'5i'!C23*100, "na")</f>
        <v>44.215874671465414</v>
      </c>
      <c r="D11" s="86">
        <f>IFERROR('1o'!D11/'5i'!D23*100, "na")</f>
        <v>0.48535159283791851</v>
      </c>
      <c r="E11" s="87">
        <f>IFERROR('1o'!E11/'5i'!E23*100, "na")</f>
        <v>14.557424415151022</v>
      </c>
      <c r="F11" s="85">
        <f>IFERROR('1o'!F11/'5i'!F23*100, "na")</f>
        <v>213.16821279915649</v>
      </c>
      <c r="G11" s="86">
        <f>IFERROR('1o'!G11/'5i'!G23*100, "na")</f>
        <v>91.825111312661207</v>
      </c>
      <c r="H11" s="86">
        <f>IFERROR('1o'!H11/'5i'!H23*100, "na")</f>
        <v>10.865379963461583</v>
      </c>
      <c r="I11" s="87">
        <f>IFERROR('1o'!I11/'5i'!I23*100, "na")</f>
        <v>110.14686086208332</v>
      </c>
      <c r="J11" s="85">
        <f>IFERROR('1o'!J11/'5i'!J23*100, "na")</f>
        <v>62.409675502398663</v>
      </c>
      <c r="K11" s="86">
        <f>IFERROR('1o'!K11/'5i'!K23*100, "na")</f>
        <v>48.428063612559043</v>
      </c>
      <c r="L11" s="86">
        <f>IFERROR('1o'!L11/'5i'!L23*100, "na")</f>
        <v>39.192707049523271</v>
      </c>
      <c r="M11" s="87">
        <f>IFERROR('1o'!M11/'5i'!M23*100, "na")</f>
        <v>49.80514169038922</v>
      </c>
    </row>
    <row r="12" spans="1:13">
      <c r="A12" s="65">
        <v>1999</v>
      </c>
      <c r="B12" s="85">
        <f>IFERROR('1o'!B12/'5i'!B24*100, "na")</f>
        <v>92.727160447761165</v>
      </c>
      <c r="C12" s="86">
        <f>IFERROR('1o'!C12/'5i'!C24*100, "na")</f>
        <v>91.599199180502339</v>
      </c>
      <c r="D12" s="86">
        <f>IFERROR('1o'!D12/'5i'!D24*100, "na")</f>
        <v>0.95187820721896066</v>
      </c>
      <c r="E12" s="87">
        <f>IFERROR('1o'!E12/'5i'!E24*100, "na")</f>
        <v>25.79978427188302</v>
      </c>
      <c r="F12" s="85">
        <f>IFERROR('1o'!F12/'5i'!F24*100, "na")</f>
        <v>31.538798985046363</v>
      </c>
      <c r="G12" s="86">
        <f>IFERROR('1o'!G12/'5i'!G24*100, "na")</f>
        <v>40.318315886161969</v>
      </c>
      <c r="H12" s="86">
        <f>IFERROR('1o'!H12/'5i'!H24*100, "na")</f>
        <v>0.9786319746537856</v>
      </c>
      <c r="I12" s="87">
        <f>IFERROR('1o'!I12/'5i'!I24*100, "na")</f>
        <v>27.539035770183851</v>
      </c>
      <c r="J12" s="85">
        <f>IFERROR('1o'!J12/'5i'!J24*100, "na")</f>
        <v>61.275462582438621</v>
      </c>
      <c r="K12" s="86">
        <f>IFERROR('1o'!K12/'5i'!K24*100, "na")</f>
        <v>41.508297880296901</v>
      </c>
      <c r="L12" s="86">
        <f>IFERROR('1o'!L12/'5i'!L24*100, "na")</f>
        <v>42.488746426942363</v>
      </c>
      <c r="M12" s="87">
        <f>IFERROR('1o'!M12/'5i'!M24*100, "na")</f>
        <v>47.178263229429902</v>
      </c>
    </row>
    <row r="13" spans="1:13">
      <c r="A13" s="65">
        <v>2000</v>
      </c>
      <c r="B13" s="85">
        <f>IFERROR('1o'!B13/'5i'!B25*100, "na")</f>
        <v>16.566879894420442</v>
      </c>
      <c r="C13" s="86">
        <f>IFERROR('1o'!C13/'5i'!C25*100, "na")</f>
        <v>78.221912493699591</v>
      </c>
      <c r="D13" s="86">
        <f>IFERROR('1o'!D13/'5i'!D25*100, "na")</f>
        <v>0.25961581372937503</v>
      </c>
      <c r="E13" s="87">
        <f>IFERROR('1o'!E13/'5i'!E25*100, "na")</f>
        <v>16.471676345386467</v>
      </c>
      <c r="F13" s="85">
        <f>IFERROR('1o'!F13/'5i'!F25*100, "na")</f>
        <v>129.18890501919847</v>
      </c>
      <c r="G13" s="86">
        <f>IFERROR('1o'!G13/'5i'!G25*100, "na")</f>
        <v>164.06355333470768</v>
      </c>
      <c r="H13" s="86">
        <f>IFERROR('1o'!H13/'5i'!H25*100, "na")</f>
        <v>32.030298501009412</v>
      </c>
      <c r="I13" s="87">
        <f>IFERROR('1o'!I13/'5i'!I25*100, "na")</f>
        <v>115.64706367973905</v>
      </c>
      <c r="J13" s="85">
        <f>IFERROR('1o'!J13/'5i'!J25*100, "na")</f>
        <v>62.812203045604889</v>
      </c>
      <c r="K13" s="86">
        <f>IFERROR('1o'!K13/'5i'!K25*100, "na")</f>
        <v>37.956234333335743</v>
      </c>
      <c r="L13" s="86">
        <f>IFERROR('1o'!L13/'5i'!L25*100, "na")</f>
        <v>43.185215114668274</v>
      </c>
      <c r="M13" s="87">
        <f>IFERROR('1o'!M13/'5i'!M25*100, "na")</f>
        <v>45.703695501531278</v>
      </c>
    </row>
    <row r="14" spans="1:13">
      <c r="A14" s="65">
        <v>2001</v>
      </c>
      <c r="B14" s="85">
        <f>IFERROR('1o'!B14/'5i'!B26*100, "na")</f>
        <v>3.9899776215142797</v>
      </c>
      <c r="C14" s="86">
        <f>IFERROR('1o'!C14/'5i'!C26*100, "na")</f>
        <v>66.31967242278813</v>
      </c>
      <c r="D14" s="86">
        <f>IFERROR('1o'!D14/'5i'!D26*100, "na")</f>
        <v>1.2500563972710846E-3</v>
      </c>
      <c r="E14" s="87">
        <f>IFERROR('1o'!E14/'5i'!E26*100, "na")</f>
        <v>13.375906886173466</v>
      </c>
      <c r="F14" s="85">
        <f>IFERROR('1o'!F14/'5i'!F26*100, "na")</f>
        <v>0.92154041483813121</v>
      </c>
      <c r="G14" s="86">
        <f>IFERROR('1o'!G14/'5i'!G26*100, "na")</f>
        <v>206.23548502051872</v>
      </c>
      <c r="H14" s="86">
        <f>IFERROR('1o'!H14/'5i'!H26*100, "na")</f>
        <v>2.2999128301943101</v>
      </c>
      <c r="I14" s="87">
        <f>IFERROR('1o'!I14/'5i'!I26*100, "na")</f>
        <v>85.961863031408399</v>
      </c>
      <c r="J14" s="85">
        <f>IFERROR('1o'!J14/'5i'!J26*100, "na")</f>
        <v>62.537889361255004</v>
      </c>
      <c r="K14" s="86">
        <f>IFERROR('1o'!K14/'5i'!K26*100, "na")</f>
        <v>40.7035649090544</v>
      </c>
      <c r="L14" s="86">
        <f>IFERROR('1o'!L14/'5i'!L26*100, "na")</f>
        <v>50.479261604976188</v>
      </c>
      <c r="M14" s="87">
        <f>IFERROR('1o'!M14/'5i'!M26*100, "na")</f>
        <v>48.40605603406398</v>
      </c>
    </row>
    <row r="15" spans="1:13">
      <c r="A15" s="65">
        <v>2002</v>
      </c>
      <c r="B15" s="85">
        <f>IFERROR('1o'!B15/'5i'!B27*100, "na")</f>
        <v>156.61094571913816</v>
      </c>
      <c r="C15" s="86">
        <f>IFERROR('1o'!C15/'5i'!C27*100, "na")</f>
        <v>258.60239046593239</v>
      </c>
      <c r="D15" s="86">
        <f>IFERROR('1o'!D15/'5i'!D27*100, "na")</f>
        <v>2.2944822149679522</v>
      </c>
      <c r="E15" s="87">
        <f>IFERROR('1o'!E15/'5i'!E27*100, "na")</f>
        <v>68.190083918245008</v>
      </c>
      <c r="F15" s="85">
        <f>IFERROR('1o'!F15/'5i'!F27*100, "na")</f>
        <v>19.080713473186808</v>
      </c>
      <c r="G15" s="86">
        <f>IFERROR('1o'!G15/'5i'!G27*100, "na")</f>
        <v>229.13210030245898</v>
      </c>
      <c r="H15" s="86">
        <f>IFERROR('1o'!H15/'5i'!H27*100, "na")</f>
        <v>9.0083837804703251</v>
      </c>
      <c r="I15" s="87">
        <f>IFERROR('1o'!I15/'5i'!I27*100, "na")</f>
        <v>92.08749557658814</v>
      </c>
      <c r="J15" s="85">
        <f>IFERROR('1o'!J15/'5i'!J27*100, "na")</f>
        <v>68.92193263212792</v>
      </c>
      <c r="K15" s="86">
        <f>IFERROR('1o'!K15/'5i'!K27*100, "na")</f>
        <v>38.905499115285814</v>
      </c>
      <c r="L15" s="86">
        <f>IFERROR('1o'!L15/'5i'!L27*100, "na")</f>
        <v>58.044483084003694</v>
      </c>
      <c r="M15" s="87">
        <f>IFERROR('1o'!M15/'5i'!M27*100, "na")</f>
        <v>50.318069004120645</v>
      </c>
    </row>
    <row r="16" spans="1:13">
      <c r="A16" s="65">
        <v>2003</v>
      </c>
      <c r="B16" s="85">
        <f>IFERROR('1o'!B16/'5i'!B28*100, "na")</f>
        <v>356.44078156241113</v>
      </c>
      <c r="C16" s="86">
        <f>IFERROR('1o'!C16/'5i'!C28*100, "na")</f>
        <v>252.75198604232173</v>
      </c>
      <c r="D16" s="86">
        <f>IFERROR('1o'!D16/'5i'!D28*100, "na")</f>
        <v>8.0866291557476657</v>
      </c>
      <c r="E16" s="87">
        <f>IFERROR('1o'!E16/'5i'!E28*100, "na")</f>
        <v>87.113065273237297</v>
      </c>
      <c r="F16" s="85">
        <f>IFERROR('1o'!F16/'5i'!F28*100, "na")</f>
        <v>116.34260398359694</v>
      </c>
      <c r="G16" s="86">
        <f>IFERROR('1o'!G16/'5i'!G28*100, "na")</f>
        <v>228.12266217708438</v>
      </c>
      <c r="H16" s="86">
        <f>IFERROR('1o'!H16/'5i'!H28*100, "na")</f>
        <v>10.300895723491504</v>
      </c>
      <c r="I16" s="87">
        <f>IFERROR('1o'!I16/'5i'!I28*100, "na")</f>
        <v>110.81970549425219</v>
      </c>
      <c r="J16" s="85">
        <f>IFERROR('1o'!J16/'5i'!J28*100, "na")</f>
        <v>75.870977967972024</v>
      </c>
      <c r="K16" s="86">
        <f>IFERROR('1o'!K16/'5i'!K28*100, "na")</f>
        <v>38.350551284971829</v>
      </c>
      <c r="L16" s="86">
        <f>IFERROR('1o'!L16/'5i'!L28*100, "na")</f>
        <v>54.243614262227879</v>
      </c>
      <c r="M16" s="87">
        <f>IFERROR('1o'!M16/'5i'!M28*100, "na")</f>
        <v>50.194089056436518</v>
      </c>
    </row>
    <row r="17" spans="1:13">
      <c r="A17" s="65">
        <v>2004</v>
      </c>
      <c r="B17" s="85">
        <f>IFERROR('1o'!B17/'5i'!B29*100, "na")</f>
        <v>427.83849966609415</v>
      </c>
      <c r="C17" s="86">
        <f>IFERROR('1o'!C17/'5i'!C29*100, "na")</f>
        <v>337.52056001441105</v>
      </c>
      <c r="D17" s="86">
        <f>IFERROR('1o'!D17/'5i'!D29*100, "na")</f>
        <v>9.5577696066085736</v>
      </c>
      <c r="E17" s="87">
        <f>IFERROR('1o'!E17/'5i'!E29*100, "na")</f>
        <v>115.78781513747201</v>
      </c>
      <c r="F17" s="85">
        <f>IFERROR('1o'!F17/'5i'!F29*100, "na")</f>
        <v>139.8670548824395</v>
      </c>
      <c r="G17" s="86">
        <f>IFERROR('1o'!G17/'5i'!G29*100, "na")</f>
        <v>455.47596310044457</v>
      </c>
      <c r="H17" s="86">
        <f>IFERROR('1o'!H17/'5i'!H29*100, "na")</f>
        <v>14.834420158595984</v>
      </c>
      <c r="I17" s="87">
        <f>IFERROR('1o'!I17/'5i'!I29*100, "na")</f>
        <v>209.49726664469824</v>
      </c>
      <c r="J17" s="85">
        <f>IFERROR('1o'!J17/'5i'!J29*100, "na")</f>
        <v>86.189213668370328</v>
      </c>
      <c r="K17" s="86">
        <f>IFERROR('1o'!K17/'5i'!K29*100, "na")</f>
        <v>40.796158533651003</v>
      </c>
      <c r="L17" s="86">
        <f>IFERROR('1o'!L17/'5i'!L29*100, "na")</f>
        <v>53.164727324124343</v>
      </c>
      <c r="M17" s="87">
        <f>IFERROR('1o'!M17/'5i'!M29*100, "na")</f>
        <v>53.242092136158114</v>
      </c>
    </row>
    <row r="18" spans="1:13">
      <c r="A18" s="65">
        <v>2005</v>
      </c>
      <c r="B18" s="85">
        <f>IFERROR('1o'!B18/'5i'!B30*100, "na")</f>
        <v>683.89488336410784</v>
      </c>
      <c r="C18" s="86">
        <f>IFERROR('1o'!C18/'5i'!C30*100, "na")</f>
        <v>569.72902673864985</v>
      </c>
      <c r="D18" s="86">
        <f>IFERROR('1o'!D18/'5i'!D30*100, "na")</f>
        <v>11.545213772247537</v>
      </c>
      <c r="E18" s="87">
        <f>IFERROR('1o'!E18/'5i'!E30*100, "na")</f>
        <v>194.53779030403746</v>
      </c>
      <c r="F18" s="85">
        <f>IFERROR('1o'!F18/'5i'!F30*100, "na")</f>
        <v>226.66800869942546</v>
      </c>
      <c r="G18" s="86">
        <f>IFERROR('1o'!G18/'5i'!G30*100, "na")</f>
        <v>590.61692008404918</v>
      </c>
      <c r="H18" s="86">
        <f>IFERROR('1o'!H18/'5i'!H30*100, "na")</f>
        <v>32.140485761915791</v>
      </c>
      <c r="I18" s="87">
        <f>IFERROR('1o'!I18/'5i'!I30*100, "na")</f>
        <v>294.26635299698023</v>
      </c>
      <c r="J18" s="85">
        <f>IFERROR('1o'!J18/'5i'!J30*100, "na")</f>
        <v>96.81959884411468</v>
      </c>
      <c r="K18" s="86">
        <f>IFERROR('1o'!K18/'5i'!K30*100, "na")</f>
        <v>45.00578285554937</v>
      </c>
      <c r="L18" s="86">
        <f>IFERROR('1o'!L18/'5i'!L30*100, "na")</f>
        <v>53.439553482321145</v>
      </c>
      <c r="M18" s="87">
        <f>IFERROR('1o'!M18/'5i'!M30*100, "na")</f>
        <v>57.368482751980054</v>
      </c>
    </row>
    <row r="19" spans="1:13">
      <c r="A19" s="65">
        <v>2006</v>
      </c>
      <c r="B19" s="85">
        <f>IFERROR('1o'!B19/'5i'!B31*100, "na")</f>
        <v>511.24287984007742</v>
      </c>
      <c r="C19" s="86">
        <f>IFERROR('1o'!C19/'5i'!C31*100, "na")</f>
        <v>471.72473030739707</v>
      </c>
      <c r="D19" s="86">
        <f>IFERROR('1o'!D19/'5i'!D31*100, "na")</f>
        <v>15.537596290662872</v>
      </c>
      <c r="E19" s="87">
        <f>IFERROR('1o'!E19/'5i'!E31*100, "na")</f>
        <v>165.47805484760593</v>
      </c>
      <c r="F19" s="85">
        <f>IFERROR('1o'!F19/'5i'!F31*100, "na")</f>
        <v>177.04896941330952</v>
      </c>
      <c r="G19" s="86">
        <f>IFERROR('1o'!G19/'5i'!G31*100, "na")</f>
        <v>453.3206784842352</v>
      </c>
      <c r="H19" s="86">
        <f>IFERROR('1o'!H19/'5i'!H31*100, "na")</f>
        <v>25.631546103991944</v>
      </c>
      <c r="I19" s="87">
        <f>IFERROR('1o'!I19/'5i'!I31*100, "na")</f>
        <v>226.54533835527829</v>
      </c>
      <c r="J19" s="85">
        <f>IFERROR('1o'!J19/'5i'!J31*100, "na")</f>
        <v>102.98787244235517</v>
      </c>
      <c r="K19" s="86">
        <f>IFERROR('1o'!K19/'5i'!K31*100, "na")</f>
        <v>44.128835677366204</v>
      </c>
      <c r="L19" s="86">
        <f>IFERROR('1o'!L19/'5i'!L31*100, "na")</f>
        <v>50.426218914009723</v>
      </c>
      <c r="M19" s="87">
        <f>IFERROR('1o'!M19/'5i'!M31*100, "na")</f>
        <v>57.575305634274919</v>
      </c>
    </row>
    <row r="20" spans="1:13">
      <c r="A20" s="65">
        <v>2007</v>
      </c>
      <c r="B20" s="85">
        <f>IFERROR('1o'!B20/'5i'!B32*100, "na")</f>
        <v>574.30353408347332</v>
      </c>
      <c r="C20" s="86">
        <f>IFERROR('1o'!C20/'5i'!C32*100, "na")</f>
        <v>270.53969546057834</v>
      </c>
      <c r="D20" s="86">
        <f>IFERROR('1o'!D20/'5i'!D32*100, "na")</f>
        <v>20.806605778610898</v>
      </c>
      <c r="E20" s="87">
        <f>IFERROR('1o'!E20/'5i'!E32*100, "na")</f>
        <v>124.40264011245455</v>
      </c>
      <c r="F20" s="85">
        <f>IFERROR('1o'!F20/'5i'!F32*100, "na")</f>
        <v>57.802481712816054</v>
      </c>
      <c r="G20" s="86">
        <f>IFERROR('1o'!G20/'5i'!G32*100, "na")</f>
        <v>425.47616454705673</v>
      </c>
      <c r="H20" s="86">
        <f>IFERROR('1o'!H20/'5i'!H32*100, "na")</f>
        <v>9.6529363873208869</v>
      </c>
      <c r="I20" s="87">
        <f>IFERROR('1o'!I20/'5i'!I32*100, "na")</f>
        <v>181.49509599085781</v>
      </c>
      <c r="J20" s="85">
        <f>IFERROR('1o'!J20/'5i'!J32*100, "na")</f>
        <v>96.65445112514908</v>
      </c>
      <c r="K20" s="86">
        <f>IFERROR('1o'!K20/'5i'!K32*100, "na")</f>
        <v>47.715991738809102</v>
      </c>
      <c r="L20" s="86">
        <f>IFERROR('1o'!L20/'5i'!L32*100, "na")</f>
        <v>41.055974578888154</v>
      </c>
      <c r="M20" s="87">
        <f>IFERROR('1o'!M20/'5i'!M32*100, "na")</f>
        <v>55.814136090521828</v>
      </c>
    </row>
    <row r="21" spans="1:13">
      <c r="A21" s="65">
        <v>2008</v>
      </c>
      <c r="B21" s="85">
        <f>IFERROR('1o'!B21/'5i'!B33*100, "na")</f>
        <v>196.74274373350306</v>
      </c>
      <c r="C21" s="86">
        <f>IFERROR('1o'!C21/'5i'!C33*100, "na")</f>
        <v>258.9989674398314</v>
      </c>
      <c r="D21" s="86">
        <f>IFERROR('1o'!D21/'5i'!D33*100, "na")</f>
        <v>6.1829042088136044</v>
      </c>
      <c r="E21" s="87">
        <f>IFERROR('1o'!E21/'5i'!E33*100, "na")</f>
        <v>85.620079217518054</v>
      </c>
      <c r="F21" s="85">
        <f>IFERROR('1o'!F21/'5i'!F33*100, "na")</f>
        <v>49.699252763868593</v>
      </c>
      <c r="G21" s="86">
        <f>IFERROR('1o'!G21/'5i'!G33*100, "na")</f>
        <v>340.34925582886746</v>
      </c>
      <c r="H21" s="86">
        <f>IFERROR('1o'!H21/'5i'!H33*100, "na")</f>
        <v>13.004796005841177</v>
      </c>
      <c r="I21" s="87">
        <f>IFERROR('1o'!I21/'5i'!I33*100, "na")</f>
        <v>155.20674719213761</v>
      </c>
      <c r="J21" s="85">
        <f>IFERROR('1o'!J21/'5i'!J33*100, "na")</f>
        <v>97.09199783402785</v>
      </c>
      <c r="K21" s="86">
        <f>IFERROR('1o'!K21/'5i'!K33*100, "na")</f>
        <v>44.666631868583018</v>
      </c>
      <c r="L21" s="86">
        <f>IFERROR('1o'!L21/'5i'!L33*100, "na")</f>
        <v>49.674216666823035</v>
      </c>
      <c r="M21" s="87">
        <f>IFERROR('1o'!M21/'5i'!M33*100, "na")</f>
        <v>55.788302469975115</v>
      </c>
    </row>
    <row r="22" spans="1:13">
      <c r="A22" s="20">
        <f>A21+1</f>
        <v>2009</v>
      </c>
      <c r="B22" s="85">
        <f>IFERROR('1o'!B22/'5i'!B34*100, "na")</f>
        <v>302.19923347120175</v>
      </c>
      <c r="C22" s="86">
        <f>IFERROR('1o'!C22/'5i'!C34*100, "na")</f>
        <v>276.07764262598266</v>
      </c>
      <c r="D22" s="86">
        <f>IFERROR('1o'!D22/'5i'!D34*100, "na")</f>
        <v>11.715745300074962</v>
      </c>
      <c r="E22" s="87">
        <f>IFERROR('1o'!E22/'5i'!E34*100, "na")</f>
        <v>108.42824116710771</v>
      </c>
      <c r="F22" s="85">
        <f>IFERROR('1o'!F22/'5i'!F34*100, "na")</f>
        <v>97.334346832468597</v>
      </c>
      <c r="G22" s="86">
        <f>IFERROR('1o'!G22/'5i'!G34*100, "na")</f>
        <v>424.93905247360067</v>
      </c>
      <c r="H22" s="86">
        <f>IFERROR('1o'!H22/'5i'!H34*100, "na")</f>
        <v>9.2147930919300514</v>
      </c>
      <c r="I22" s="87">
        <f>IFERROR('1o'!I22/'5i'!I34*100, "na")</f>
        <v>204.65122359834163</v>
      </c>
      <c r="J22" s="85">
        <f>IFERROR('1o'!J22/'5i'!J34*100, "na")</f>
        <v>86.561197154816853</v>
      </c>
      <c r="K22" s="86">
        <f>IFERROR('1o'!K22/'5i'!K34*100, "na")</f>
        <v>41.002222093647433</v>
      </c>
      <c r="L22" s="86">
        <f>IFERROR('1o'!L22/'5i'!L34*100, "na")</f>
        <v>50.6121440781329</v>
      </c>
      <c r="M22" s="87">
        <f>IFERROR('1o'!M22/'5i'!M34*100, "na")</f>
        <v>51.111855254288422</v>
      </c>
    </row>
    <row r="23" spans="1:13">
      <c r="A23" s="21">
        <f t="shared" ref="A23" si="0">A22+1</f>
        <v>2010</v>
      </c>
      <c r="B23" s="88">
        <f>IFERROR('1o'!B23/'5i'!B35*100, "na")</f>
        <v>243.30154656925123</v>
      </c>
      <c r="C23" s="89">
        <f>IFERROR('1o'!C23/'5i'!C35*100, "na")</f>
        <v>227.03151152955391</v>
      </c>
      <c r="D23" s="89">
        <f>IFERROR('1o'!D23/'5i'!D35*100, "na")</f>
        <v>13.295118069814402</v>
      </c>
      <c r="E23" s="90">
        <f>IFERROR('1o'!E23/'5i'!E35*100, "na")</f>
        <v>90.967850708811056</v>
      </c>
      <c r="F23" s="88">
        <f>IFERROR('1o'!F23/'5i'!F35*100, "na")</f>
        <v>129.60547809208981</v>
      </c>
      <c r="G23" s="89">
        <f>IFERROR('1o'!G23/'5i'!G35*100, "na")</f>
        <v>477.40016037583501</v>
      </c>
      <c r="H23" s="89">
        <f>IFERROR('1o'!H23/'5i'!H35*100, "na")</f>
        <v>17.32927460809449</v>
      </c>
      <c r="I23" s="90">
        <f>IFERROR('1o'!I23/'5i'!I35*100, "na")</f>
        <v>227.72971745818853</v>
      </c>
      <c r="J23" s="88">
        <f>IFERROR('1o'!J23/'5i'!J35*100, "na")</f>
        <v>76.137937156482749</v>
      </c>
      <c r="K23" s="89">
        <f>IFERROR('1o'!K23/'5i'!K35*100, "na")</f>
        <v>42.141553502017793</v>
      </c>
      <c r="L23" s="89">
        <f>IFERROR('1o'!L23/'5i'!L35*100, "na")</f>
        <v>51.6627053981872</v>
      </c>
      <c r="M23" s="90">
        <f>IFERROR('1o'!M23/'5i'!M35*100, "na")</f>
        <v>51.135182902191836</v>
      </c>
    </row>
    <row r="25" spans="1:13">
      <c r="A25" s="1" t="s">
        <v>168</v>
      </c>
    </row>
  </sheetData>
  <mergeCells count="3">
    <mergeCell ref="B3:E3"/>
    <mergeCell ref="F3:I3"/>
    <mergeCell ref="J3:M3"/>
  </mergeCells>
  <pageMargins left="0.7" right="0.7" top="0.75" bottom="0.75" header="0.3" footer="0.3"/>
  <pageSetup scale="70" orientation="landscape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94"/>
  <dimension ref="A1:M25"/>
  <sheetViews>
    <sheetView zoomScaleNormal="100" workbookViewId="0">
      <selection activeCell="B15" sqref="B15"/>
    </sheetView>
  </sheetViews>
  <sheetFormatPr defaultRowHeight="15"/>
  <cols>
    <col min="4" max="4" width="15.28515625" customWidth="1"/>
    <col min="8" max="8" width="15" customWidth="1"/>
    <col min="12" max="12" width="14.7109375" customWidth="1"/>
    <col min="16" max="16" width="15.5703125" customWidth="1"/>
    <col min="20" max="20" width="15.28515625" customWidth="1"/>
    <col min="24" max="24" width="15.85546875" customWidth="1"/>
  </cols>
  <sheetData>
    <row r="1" spans="1:13">
      <c r="A1" s="284" t="s">
        <v>201</v>
      </c>
    </row>
    <row r="3" spans="1:13">
      <c r="A3" s="1"/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24">
      <c r="A4" s="1"/>
      <c r="B4" s="367" t="s">
        <v>0</v>
      </c>
      <c r="C4" s="368" t="s">
        <v>1</v>
      </c>
      <c r="D4" s="368" t="s">
        <v>2</v>
      </c>
      <c r="E4" s="369" t="s">
        <v>72</v>
      </c>
      <c r="F4" s="367" t="s">
        <v>0</v>
      </c>
      <c r="G4" s="368" t="s">
        <v>1</v>
      </c>
      <c r="H4" s="368" t="s">
        <v>2</v>
      </c>
      <c r="I4" s="369" t="s">
        <v>72</v>
      </c>
      <c r="J4" s="367" t="s">
        <v>0</v>
      </c>
      <c r="K4" s="368" t="s">
        <v>1</v>
      </c>
      <c r="L4" s="368" t="s">
        <v>2</v>
      </c>
      <c r="M4" s="369" t="s">
        <v>72</v>
      </c>
    </row>
    <row r="5" spans="1:13">
      <c r="A5" s="64">
        <v>1992</v>
      </c>
      <c r="B5" s="82">
        <f>IFERROR('2j'!B5/'6c'!B17*100, "na")</f>
        <v>208.62520448365393</v>
      </c>
      <c r="C5" s="83">
        <f>IFERROR('2j'!C5/'6c'!C17*100, "na")</f>
        <v>186.62698796769274</v>
      </c>
      <c r="D5" s="83" t="str">
        <f>IFERROR('2j'!D5/'6c'!D17*100, "na")</f>
        <v>na</v>
      </c>
      <c r="E5" s="84" t="str">
        <f>IFERROR('2j'!E5/'6c'!E17*100, "na")</f>
        <v>na</v>
      </c>
      <c r="F5" s="82">
        <f>IFERROR('2j'!F5/'6c'!F17*100, "na")</f>
        <v>78.597054170924409</v>
      </c>
      <c r="G5" s="83">
        <f>IFERROR('2j'!G5/'6c'!G17*100, "na")</f>
        <v>25.736431030736906</v>
      </c>
      <c r="H5" s="83" t="str">
        <f>IFERROR('2j'!H5/'6c'!H17*100, "na")</f>
        <v>na</v>
      </c>
      <c r="I5" s="84" t="str">
        <f>IFERROR('2j'!I5/'6c'!I17*100, "na")</f>
        <v>na</v>
      </c>
      <c r="J5" s="82" t="str">
        <f>IFERROR('2j'!J5/'6c'!J17*100, "na")</f>
        <v>na</v>
      </c>
      <c r="K5" s="83" t="str">
        <f>IFERROR('2j'!K5/'6c'!K17*100, "na")</f>
        <v>na</v>
      </c>
      <c r="L5" s="83" t="str">
        <f>IFERROR('2j'!L5/'6c'!L17*100, "na")</f>
        <v>na</v>
      </c>
      <c r="M5" s="84" t="str">
        <f>IFERROR('2j'!M5/'6c'!M17*100, "na")</f>
        <v>na</v>
      </c>
    </row>
    <row r="6" spans="1:13">
      <c r="A6" s="65">
        <v>1993</v>
      </c>
      <c r="B6" s="85">
        <f>IFERROR('2j'!B6/'6c'!B18*100, "na")</f>
        <v>289.79477737573785</v>
      </c>
      <c r="C6" s="86">
        <f>IFERROR('2j'!C6/'6c'!C18*100, "na")</f>
        <v>103.65964532107286</v>
      </c>
      <c r="D6" s="86" t="str">
        <f>IFERROR('2j'!D6/'6c'!D18*100, "na")</f>
        <v>na</v>
      </c>
      <c r="E6" s="87" t="str">
        <f>IFERROR('2j'!E6/'6c'!E18*100, "na")</f>
        <v>na</v>
      </c>
      <c r="F6" s="85">
        <f>IFERROR('2j'!F6/'6c'!F18*100, "na")</f>
        <v>11.361593204188628</v>
      </c>
      <c r="G6" s="86">
        <f>IFERROR('2j'!G6/'6c'!G18*100, "na")</f>
        <v>14.553750248709946</v>
      </c>
      <c r="H6" s="86" t="str">
        <f>IFERROR('2j'!H6/'6c'!H18*100, "na")</f>
        <v>na</v>
      </c>
      <c r="I6" s="87" t="str">
        <f>IFERROR('2j'!I6/'6c'!I18*100, "na")</f>
        <v>na</v>
      </c>
      <c r="J6" s="85" t="str">
        <f>IFERROR('2j'!J6/'6c'!J18*100, "na")</f>
        <v>na</v>
      </c>
      <c r="K6" s="86" t="str">
        <f>IFERROR('2j'!K6/'6c'!K18*100, "na")</f>
        <v>na</v>
      </c>
      <c r="L6" s="86" t="str">
        <f>IFERROR('2j'!L6/'6c'!L18*100, "na")</f>
        <v>na</v>
      </c>
      <c r="M6" s="87" t="str">
        <f>IFERROR('2j'!M6/'6c'!M18*100, "na")</f>
        <v>na</v>
      </c>
    </row>
    <row r="7" spans="1:13">
      <c r="A7" s="65">
        <v>1994</v>
      </c>
      <c r="B7" s="85">
        <f>IFERROR('2j'!B7/'6c'!B19*100, "na")</f>
        <v>5.1401962958214096</v>
      </c>
      <c r="C7" s="86">
        <f>IFERROR('2j'!C7/'6c'!C19*100, "na")</f>
        <v>51.254652541856082</v>
      </c>
      <c r="D7" s="86">
        <f>IFERROR('2j'!D7/'6c'!D19*100, "na")</f>
        <v>10.164570934594913</v>
      </c>
      <c r="E7" s="87">
        <f>IFERROR('2j'!E7/'6c'!E19*100, "na")</f>
        <v>18.625656650980766</v>
      </c>
      <c r="F7" s="85">
        <f>IFERROR('2j'!F7/'6c'!F19*100, "na")</f>
        <v>26.011044043718762</v>
      </c>
      <c r="G7" s="86">
        <f>IFERROR('2j'!G7/'6c'!G19*100, "na")</f>
        <v>12.710534000226534</v>
      </c>
      <c r="H7" s="86" t="str">
        <f>IFERROR('2j'!H7/'6c'!H19*100, "na")</f>
        <v>na</v>
      </c>
      <c r="I7" s="87" t="str">
        <f>IFERROR('2j'!I7/'6c'!I19*100, "na")</f>
        <v>na</v>
      </c>
      <c r="J7" s="85" t="str">
        <f>IFERROR('2j'!J7/'6c'!J19*100, "na")</f>
        <v>na</v>
      </c>
      <c r="K7" s="86" t="str">
        <f>IFERROR('2j'!K7/'6c'!K19*100, "na")</f>
        <v>na</v>
      </c>
      <c r="L7" s="86" t="str">
        <f>IFERROR('2j'!L7/'6c'!L19*100, "na")</f>
        <v>na</v>
      </c>
      <c r="M7" s="87" t="str">
        <f>IFERROR('2j'!M7/'6c'!M19*100, "na")</f>
        <v>na</v>
      </c>
    </row>
    <row r="8" spans="1:13">
      <c r="A8" s="65">
        <v>1995</v>
      </c>
      <c r="B8" s="85">
        <f>IFERROR('2j'!B8/'6c'!B20*100, "na")</f>
        <v>17.708298794851387</v>
      </c>
      <c r="C8" s="86">
        <f>IFERROR('2j'!C8/'6c'!C20*100, "na")</f>
        <v>30.656480291074001</v>
      </c>
      <c r="D8" s="86" t="str">
        <f>IFERROR('2j'!D8/'6c'!D20*100, "na")</f>
        <v>na</v>
      </c>
      <c r="E8" s="87" t="str">
        <f>IFERROR('2j'!E8/'6c'!E20*100, "na")</f>
        <v>na</v>
      </c>
      <c r="F8" s="85">
        <f>IFERROR('2j'!F8/'6c'!F20*100, "na")</f>
        <v>61.588426134348794</v>
      </c>
      <c r="G8" s="86">
        <f>IFERROR('2j'!G8/'6c'!G20*100, "na")</f>
        <v>21.525053974409154</v>
      </c>
      <c r="H8" s="86" t="str">
        <f>IFERROR('2j'!H8/'6c'!H20*100, "na")</f>
        <v>na</v>
      </c>
      <c r="I8" s="87" t="str">
        <f>IFERROR('2j'!I8/'6c'!I20*100, "na")</f>
        <v>na</v>
      </c>
      <c r="J8" s="85" t="str">
        <f>IFERROR('2j'!J8/'6c'!J20*100, "na")</f>
        <v>na</v>
      </c>
      <c r="K8" s="86" t="str">
        <f>IFERROR('2j'!K8/'6c'!K20*100, "na")</f>
        <v>na</v>
      </c>
      <c r="L8" s="86" t="str">
        <f>IFERROR('2j'!L8/'6c'!L20*100, "na")</f>
        <v>na</v>
      </c>
      <c r="M8" s="87" t="str">
        <f>IFERROR('2j'!M8/'6c'!M20*100, "na")</f>
        <v>na</v>
      </c>
    </row>
    <row r="9" spans="1:13">
      <c r="A9" s="65">
        <v>1996</v>
      </c>
      <c r="B9" s="85">
        <f>IFERROR('2j'!B9/'6c'!B21*100, "na")</f>
        <v>30.607409125101842</v>
      </c>
      <c r="C9" s="86">
        <f>IFERROR('2j'!C9/'6c'!C21*100, "na")</f>
        <v>28.559785707699792</v>
      </c>
      <c r="D9" s="86">
        <f>IFERROR('2j'!D9/'6c'!D21*100, "na")</f>
        <v>7.2753564103524164</v>
      </c>
      <c r="E9" s="87">
        <f>IFERROR('2j'!E9/'6c'!E21*100, "na")</f>
        <v>11.887369526338233</v>
      </c>
      <c r="F9" s="85">
        <f>IFERROR('2j'!F9/'6c'!F21*100, "na")</f>
        <v>104.41088758149841</v>
      </c>
      <c r="G9" s="86">
        <f>IFERROR('2j'!G9/'6c'!G21*100, "na")</f>
        <v>33.987615156285763</v>
      </c>
      <c r="H9" s="86" t="str">
        <f>IFERROR('2j'!H9/'6c'!H21*100, "na")</f>
        <v>na</v>
      </c>
      <c r="I9" s="87" t="str">
        <f>IFERROR('2j'!I9/'6c'!I21*100, "na")</f>
        <v>na</v>
      </c>
      <c r="J9" s="85" t="str">
        <f>IFERROR('2j'!J9/'6c'!J21*100, "na")</f>
        <v>na</v>
      </c>
      <c r="K9" s="86" t="str">
        <f>IFERROR('2j'!K9/'6c'!K21*100, "na")</f>
        <v>na</v>
      </c>
      <c r="L9" s="86" t="str">
        <f>IFERROR('2j'!L9/'6c'!L21*100, "na")</f>
        <v>na</v>
      </c>
      <c r="M9" s="87" t="str">
        <f>IFERROR('2j'!M9/'6c'!M21*100, "na")</f>
        <v>na</v>
      </c>
    </row>
    <row r="10" spans="1:13">
      <c r="A10" s="65">
        <v>1997</v>
      </c>
      <c r="B10" s="85">
        <f>IFERROR('2j'!B10/'6c'!B22*100, "na")</f>
        <v>62.847404457853031</v>
      </c>
      <c r="C10" s="86">
        <f>IFERROR('2j'!C10/'6c'!C22*100, "na")</f>
        <v>37.995475388893567</v>
      </c>
      <c r="D10" s="86">
        <f>IFERROR('2j'!D10/'6c'!D22*100, "na")</f>
        <v>30.473815226111828</v>
      </c>
      <c r="E10" s="87">
        <f>IFERROR('2j'!E10/'6c'!E22*100, "na")</f>
        <v>33.545348670751501</v>
      </c>
      <c r="F10" s="85">
        <f>IFERROR('2j'!F10/'6c'!F22*100, "na")</f>
        <v>137.2940961787711</v>
      </c>
      <c r="G10" s="86">
        <f>IFERROR('2j'!G10/'6c'!G22*100, "na")</f>
        <v>81.896853683729248</v>
      </c>
      <c r="H10" s="86">
        <f>IFERROR('2j'!H10/'6c'!H22*100, "na")</f>
        <v>3.1162638328834738</v>
      </c>
      <c r="I10" s="87">
        <f>IFERROR('2j'!I10/'6c'!I22*100, "na")</f>
        <v>68.514254752645712</v>
      </c>
      <c r="J10" s="85">
        <f>IFERROR('2j'!J10/'6c'!J22*100, "na")</f>
        <v>67.510297376855576</v>
      </c>
      <c r="K10" s="86">
        <f>IFERROR('2j'!K10/'6c'!K22*100, "na")</f>
        <v>51.877515669929096</v>
      </c>
      <c r="L10" s="86">
        <f>IFERROR('2j'!L10/'6c'!L22*100, "na")</f>
        <v>59.686169749506114</v>
      </c>
      <c r="M10" s="87">
        <f>IFERROR('2j'!M10/'6c'!M22*100, "na")</f>
        <v>56.671927791501496</v>
      </c>
    </row>
    <row r="11" spans="1:13">
      <c r="A11" s="65">
        <v>1998</v>
      </c>
      <c r="B11" s="85">
        <f>IFERROR('2j'!B11/'6c'!B23*100, "na")</f>
        <v>75.176048736224971</v>
      </c>
      <c r="C11" s="86">
        <f>IFERROR('2j'!C11/'6c'!C23*100, "na")</f>
        <v>45.597331874908257</v>
      </c>
      <c r="D11" s="86">
        <f>IFERROR('2j'!D11/'6c'!D23*100, "na")</f>
        <v>7.5824838204961758</v>
      </c>
      <c r="E11" s="87">
        <f>IFERROR('2j'!E11/'6c'!E23*100, "na")</f>
        <v>19.392550127239879</v>
      </c>
      <c r="F11" s="85">
        <f>IFERROR('2j'!F11/'6c'!F23*100, "na")</f>
        <v>269.01144432148919</v>
      </c>
      <c r="G11" s="86">
        <f>IFERROR('2j'!G11/'6c'!G23*100, "na")</f>
        <v>97.444005847853305</v>
      </c>
      <c r="H11" s="86">
        <f>IFERROR('2j'!H11/'6c'!H23*100, "na")</f>
        <v>15.045271101346492</v>
      </c>
      <c r="I11" s="87">
        <f>IFERROR('2j'!I11/'6c'!I23*100, "na")</f>
        <v>107.84734664908795</v>
      </c>
      <c r="J11" s="85">
        <f>IFERROR('2j'!J11/'6c'!J23*100, "na")</f>
        <v>75.168824799858385</v>
      </c>
      <c r="K11" s="86">
        <f>IFERROR('2j'!K11/'6c'!K23*100, "na")</f>
        <v>50.179591887342113</v>
      </c>
      <c r="L11" s="86">
        <f>IFERROR('2j'!L11/'6c'!L23*100, "na")</f>
        <v>48.935373699122344</v>
      </c>
      <c r="M11" s="87">
        <f>IFERROR('2j'!M11/'6c'!M23*100, "na")</f>
        <v>54.124196144811776</v>
      </c>
    </row>
    <row r="12" spans="1:13">
      <c r="A12" s="65">
        <v>1999</v>
      </c>
      <c r="B12" s="85">
        <f>IFERROR('2j'!B12/'6c'!B24*100, "na")</f>
        <v>94.861952462940678</v>
      </c>
      <c r="C12" s="86">
        <f>IFERROR('2j'!C12/'6c'!C24*100, "na")</f>
        <v>93.534159955414239</v>
      </c>
      <c r="D12" s="86">
        <f>IFERROR('2j'!D12/'6c'!D24*100, "na")</f>
        <v>13.966377375822015</v>
      </c>
      <c r="E12" s="87">
        <f>IFERROR('2j'!E12/'6c'!E24*100, "na")</f>
        <v>36.205317416860147</v>
      </c>
      <c r="F12" s="85">
        <f>IFERROR('2j'!F12/'6c'!F24*100, "na")</f>
        <v>37.2604397003429</v>
      </c>
      <c r="G12" s="86">
        <f>IFERROR('2j'!G12/'6c'!G24*100, "na")</f>
        <v>42.21451353500175</v>
      </c>
      <c r="H12" s="86">
        <f>IFERROR('2j'!H12/'6c'!H24*100, "na")</f>
        <v>1.2751705096037913</v>
      </c>
      <c r="I12" s="87">
        <f>IFERROR('2j'!I12/'6c'!I24*100, "na")</f>
        <v>30.048532729002069</v>
      </c>
      <c r="J12" s="85">
        <f>IFERROR('2j'!J12/'6c'!J24*100, "na")</f>
        <v>70.156803209314404</v>
      </c>
      <c r="K12" s="86">
        <f>IFERROR('2j'!K12/'6c'!K24*100, "na")</f>
        <v>42.722278412746576</v>
      </c>
      <c r="L12" s="86">
        <f>IFERROR('2j'!L12/'6c'!L24*100, "na")</f>
        <v>49.679236404985396</v>
      </c>
      <c r="M12" s="87">
        <f>IFERROR('2j'!M12/'6c'!M24*100, "na")</f>
        <v>50.081172616171443</v>
      </c>
    </row>
    <row r="13" spans="1:13">
      <c r="A13" s="65">
        <v>2000</v>
      </c>
      <c r="B13" s="85">
        <f>IFERROR('2j'!B13/'6c'!B25*100, "na")</f>
        <v>18.139244081679202</v>
      </c>
      <c r="C13" s="86">
        <f>IFERROR('2j'!C13/'6c'!C25*100, "na")</f>
        <v>79.175144968603703</v>
      </c>
      <c r="D13" s="86">
        <f>IFERROR('2j'!D13/'6c'!D25*100, "na")</f>
        <v>3.6483022256152022</v>
      </c>
      <c r="E13" s="87">
        <f>IFERROR('2j'!E13/'6c'!E25*100, "na")</f>
        <v>20.003142620743787</v>
      </c>
      <c r="F13" s="85">
        <f>IFERROR('2j'!F13/'6c'!F25*100, "na")</f>
        <v>154.16762239603963</v>
      </c>
      <c r="G13" s="86">
        <f>IFERROR('2j'!G13/'6c'!G25*100, "na")</f>
        <v>169.35708045585517</v>
      </c>
      <c r="H13" s="86">
        <f>IFERROR('2j'!H13/'6c'!H25*100, "na")</f>
        <v>39.886999312283542</v>
      </c>
      <c r="I13" s="87">
        <f>IFERROR('2j'!I13/'6c'!I25*100, "na")</f>
        <v>125.52373029334525</v>
      </c>
      <c r="J13" s="85">
        <f>IFERROR('2j'!J13/'6c'!J25*100, "na")</f>
        <v>71.277631949049564</v>
      </c>
      <c r="K13" s="86">
        <f>IFERROR('2j'!K13/'6c'!K25*100, "na")</f>
        <v>38.719037888454132</v>
      </c>
      <c r="L13" s="86">
        <f>IFERROR('2j'!L13/'6c'!L25*100, "na")</f>
        <v>48.373879485250107</v>
      </c>
      <c r="M13" s="87">
        <f>IFERROR('2j'!M13/'6c'!M25*100, "na")</f>
        <v>48.147647649448189</v>
      </c>
    </row>
    <row r="14" spans="1:13">
      <c r="A14" s="65">
        <v>2001</v>
      </c>
      <c r="B14" s="85">
        <f>IFERROR('2j'!B14/'6c'!B26*100, "na")</f>
        <v>4.2462660943608794</v>
      </c>
      <c r="C14" s="86">
        <f>IFERROR('2j'!C14/'6c'!C26*100, "na")</f>
        <v>67.256196016727273</v>
      </c>
      <c r="D14" s="86">
        <f>IFERROR('2j'!D14/'6c'!D26*100, "na")</f>
        <v>1.6357963328304755E-2</v>
      </c>
      <c r="E14" s="87">
        <f>IFERROR('2j'!E14/'6c'!E26*100, "na")</f>
        <v>13.785030030778826</v>
      </c>
      <c r="F14" s="85">
        <f>IFERROR('2j'!F14/'6c'!F26*100, "na")</f>
        <v>1.0248291431799763</v>
      </c>
      <c r="G14" s="86">
        <f>IFERROR('2j'!G14/'6c'!G26*100, "na")</f>
        <v>212.8533492276336</v>
      </c>
      <c r="H14" s="86">
        <f>IFERROR('2j'!H14/'6c'!H26*100, "na")</f>
        <v>2.659768049389081</v>
      </c>
      <c r="I14" s="87">
        <f>IFERROR('2j'!I14/'6c'!I26*100, "na")</f>
        <v>91.150688094791093</v>
      </c>
      <c r="J14" s="85">
        <f>IFERROR('2j'!J14/'6c'!J26*100, "na")</f>
        <v>65.464594679386323</v>
      </c>
      <c r="K14" s="86">
        <f>IFERROR('2j'!K14/'6c'!K26*100, "na")</f>
        <v>41.192994960432934</v>
      </c>
      <c r="L14" s="86">
        <f>IFERROR('2j'!L14/'6c'!L26*100, "na")</f>
        <v>52.661208503470434</v>
      </c>
      <c r="M14" s="87">
        <f>IFERROR('2j'!M14/'6c'!M26*100, "na")</f>
        <v>49.502481471904773</v>
      </c>
    </row>
    <row r="15" spans="1:13">
      <c r="A15" s="65">
        <v>2002</v>
      </c>
      <c r="B15" s="85">
        <f>IFERROR('2j'!B15/'6c'!B27*100, "na")</f>
        <v>156.61094571913813</v>
      </c>
      <c r="C15" s="86">
        <f>IFERROR('2j'!C15/'6c'!C27*100, "na")</f>
        <v>258.60239046593244</v>
      </c>
      <c r="D15" s="86">
        <f>IFERROR('2j'!D15/'6c'!D27*100, "na")</f>
        <v>2.2944822149679518</v>
      </c>
      <c r="E15" s="87">
        <f>IFERROR('2j'!E15/'6c'!E27*100, "na")</f>
        <v>68.190083918245008</v>
      </c>
      <c r="F15" s="85">
        <f>IFERROR('2j'!F15/'6c'!F27*100, "na")</f>
        <v>19.080713473186815</v>
      </c>
      <c r="G15" s="86">
        <f>IFERROR('2j'!G15/'6c'!G27*100, "na")</f>
        <v>229.13210030245895</v>
      </c>
      <c r="H15" s="86">
        <f>IFERROR('2j'!H15/'6c'!H27*100, "na")</f>
        <v>9.0083837804703251</v>
      </c>
      <c r="I15" s="87">
        <f>IFERROR('2j'!I15/'6c'!I27*100, "na")</f>
        <v>92.087495576588125</v>
      </c>
      <c r="J15" s="85">
        <f>IFERROR('2j'!J15/'6c'!J27*100, "na")</f>
        <v>68.92193263212792</v>
      </c>
      <c r="K15" s="86">
        <f>IFERROR('2j'!K15/'6c'!K27*100, "na")</f>
        <v>38.905499115285814</v>
      </c>
      <c r="L15" s="86">
        <f>IFERROR('2j'!L15/'6c'!L27*100, "na")</f>
        <v>58.044483084003694</v>
      </c>
      <c r="M15" s="87">
        <f>IFERROR('2j'!M15/'6c'!M27*100, "na")</f>
        <v>50.318069004120645</v>
      </c>
    </row>
    <row r="16" spans="1:13">
      <c r="A16" s="65">
        <v>2003</v>
      </c>
      <c r="B16" s="85">
        <f>IFERROR('2j'!B16/'6c'!B28*100, "na")</f>
        <v>357.2859554753465</v>
      </c>
      <c r="C16" s="86">
        <f>IFERROR('2j'!C16/'6c'!C28*100, "na")</f>
        <v>255.76980739794089</v>
      </c>
      <c r="D16" s="86">
        <f>IFERROR('2j'!D16/'6c'!D28*100, "na")</f>
        <v>8.4659980633664382</v>
      </c>
      <c r="E16" s="87">
        <f>IFERROR('2j'!E16/'6c'!E28*100, "na")</f>
        <v>89.402183197305249</v>
      </c>
      <c r="F16" s="85">
        <f>IFERROR('2j'!F16/'6c'!F28*100, "na")</f>
        <v>112.01725826685104</v>
      </c>
      <c r="G16" s="86">
        <f>IFERROR('2j'!G16/'6c'!G28*100, "na")</f>
        <v>233.68347404015321</v>
      </c>
      <c r="H16" s="86">
        <f>IFERROR('2j'!H16/'6c'!H28*100, "na")</f>
        <v>10.564085362756172</v>
      </c>
      <c r="I16" s="87">
        <f>IFERROR('2j'!I16/'6c'!I28*100, "na")</f>
        <v>112.34277567838009</v>
      </c>
      <c r="J16" s="85">
        <f>IFERROR('2j'!J16/'6c'!J28*100, "na")</f>
        <v>73.526711178454747</v>
      </c>
      <c r="K16" s="86">
        <f>IFERROR('2j'!K16/'6c'!K28*100, "na")</f>
        <v>37.86319418718363</v>
      </c>
      <c r="L16" s="86">
        <f>IFERROR('2j'!L16/'6c'!L28*100, "na")</f>
        <v>55.525669069699035</v>
      </c>
      <c r="M16" s="87">
        <f>IFERROR('2j'!M16/'6c'!M28*100, "na")</f>
        <v>50.20873062376716</v>
      </c>
    </row>
    <row r="17" spans="1:13">
      <c r="A17" s="65">
        <v>2004</v>
      </c>
      <c r="B17" s="85">
        <f>IFERROR('2j'!B17/'6c'!B29*100, "na")</f>
        <v>440.65059147003893</v>
      </c>
      <c r="C17" s="86">
        <f>IFERROR('2j'!C17/'6c'!C29*100, "na")</f>
        <v>328.00029193082906</v>
      </c>
      <c r="D17" s="86">
        <f>IFERROR('2j'!D17/'6c'!D29*100, "na")</f>
        <v>10.079308726548735</v>
      </c>
      <c r="E17" s="87">
        <f>IFERROR('2j'!E17/'6c'!E29*100, "na")</f>
        <v>117.39596440640814</v>
      </c>
      <c r="F17" s="85">
        <f>IFERROR('2j'!F17/'6c'!F29*100, "na")</f>
        <v>138.99012058169959</v>
      </c>
      <c r="G17" s="86">
        <f>IFERROR('2j'!G17/'6c'!G29*100, "na")</f>
        <v>436.2246573251989</v>
      </c>
      <c r="H17" s="86">
        <f>IFERROR('2j'!H17/'6c'!H29*100, "na")</f>
        <v>15.25681332973291</v>
      </c>
      <c r="I17" s="87">
        <f>IFERROR('2j'!I17/'6c'!I29*100, "na")</f>
        <v>201.346321079777</v>
      </c>
      <c r="J17" s="85">
        <f>IFERROR('2j'!J17/'6c'!J29*100, "na")</f>
        <v>87.934441059569636</v>
      </c>
      <c r="K17" s="86">
        <f>IFERROR('2j'!K17/'6c'!K29*100, "na")</f>
        <v>38.66800724587732</v>
      </c>
      <c r="L17" s="86">
        <f>IFERROR('2j'!L17/'6c'!L29*100, "na")</f>
        <v>54.76281137873373</v>
      </c>
      <c r="M17" s="87">
        <f>IFERROR('2j'!M17/'6c'!M29*100, "na")</f>
        <v>53.861053933912061</v>
      </c>
    </row>
    <row r="18" spans="1:13">
      <c r="A18" s="65">
        <v>2005</v>
      </c>
      <c r="B18" s="85">
        <f>IFERROR('2j'!B18/'6c'!B30*100, "na")</f>
        <v>702.04614516550794</v>
      </c>
      <c r="C18" s="86">
        <f>IFERROR('2j'!C18/'6c'!C30*100, "na")</f>
        <v>543.1787685917825</v>
      </c>
      <c r="D18" s="86">
        <f>IFERROR('2j'!D18/'6c'!D30*100, "na")</f>
        <v>12.337266472069931</v>
      </c>
      <c r="E18" s="87">
        <f>IFERROR('2j'!E18/'6c'!E30*100, "na")</f>
        <v>198.79722405192581</v>
      </c>
      <c r="F18" s="85">
        <f>IFERROR('2j'!F18/'6c'!F30*100, "na")</f>
        <v>219.5100593028466</v>
      </c>
      <c r="G18" s="86">
        <f>IFERROR('2j'!G18/'6c'!G30*100, "na")</f>
        <v>546.94063118103941</v>
      </c>
      <c r="H18" s="86">
        <f>IFERROR('2j'!H18/'6c'!H30*100, "na")</f>
        <v>33.581954223370147</v>
      </c>
      <c r="I18" s="87">
        <f>IFERROR('2j'!I18/'6c'!I30*100, "na")</f>
        <v>275.11048567624113</v>
      </c>
      <c r="J18" s="85">
        <f>IFERROR('2j'!J18/'6c'!J30*100, "na")</f>
        <v>98.567366847987742</v>
      </c>
      <c r="K18" s="86">
        <f>IFERROR('2j'!K18/'6c'!K30*100, "na")</f>
        <v>42.225451240357778</v>
      </c>
      <c r="L18" s="86">
        <f>IFERROR('2j'!L18/'6c'!L30*100, "na")</f>
        <v>55.820254298069727</v>
      </c>
      <c r="M18" s="87">
        <f>IFERROR('2j'!M18/'6c'!M30*100, "na")</f>
        <v>58.977568820227852</v>
      </c>
    </row>
    <row r="19" spans="1:13">
      <c r="A19" s="65">
        <v>2006</v>
      </c>
      <c r="B19" s="85">
        <f>IFERROR('2j'!B19/'6c'!B31*100, "na")</f>
        <v>501.5811400244454</v>
      </c>
      <c r="C19" s="86">
        <f>IFERROR('2j'!C19/'6c'!C31*100, "na")</f>
        <v>470.24964640475207</v>
      </c>
      <c r="D19" s="86">
        <f>IFERROR('2j'!D19/'6c'!D31*100, "na")</f>
        <v>16.856894844755502</v>
      </c>
      <c r="E19" s="87">
        <f>IFERROR('2j'!E19/'6c'!E31*100, "na")</f>
        <v>173.4817262191446</v>
      </c>
      <c r="F19" s="85">
        <f>IFERROR('2j'!F19/'6c'!F31*100, "na")</f>
        <v>164.02943347563226</v>
      </c>
      <c r="G19" s="86">
        <f>IFERROR('2j'!G19/'6c'!G31*100, "na")</f>
        <v>425.95272451141</v>
      </c>
      <c r="H19" s="86">
        <f>IFERROR('2j'!H19/'6c'!H31*100, "na")</f>
        <v>27.148453994208023</v>
      </c>
      <c r="I19" s="87">
        <f>IFERROR('2j'!I19/'6c'!I31*100, "na")</f>
        <v>209.23952297189686</v>
      </c>
      <c r="J19" s="85">
        <f>IFERROR('2j'!J19/'6c'!J31*100, "na")</f>
        <v>102.5532711321999</v>
      </c>
      <c r="K19" s="86">
        <f>IFERROR('2j'!K19/'6c'!K31*100, "na")</f>
        <v>42.801769293367023</v>
      </c>
      <c r="L19" s="86">
        <f>IFERROR('2j'!L19/'6c'!L31*100, "na")</f>
        <v>53.451312438358165</v>
      </c>
      <c r="M19" s="87">
        <f>IFERROR('2j'!M19/'6c'!M31*100, "na")</f>
        <v>61.449105960755531</v>
      </c>
    </row>
    <row r="20" spans="1:13">
      <c r="A20" s="65">
        <v>2007</v>
      </c>
      <c r="B20" s="85">
        <f>IFERROR('2j'!B20/'6c'!B32*100, "na")</f>
        <v>539.03142965483653</v>
      </c>
      <c r="C20" s="86">
        <f>IFERROR('2j'!C20/'6c'!C32*100, "na")</f>
        <v>273.98523847557129</v>
      </c>
      <c r="D20" s="86">
        <f>IFERROR('2j'!D20/'6c'!D32*100, "na")</f>
        <v>23.423419395269693</v>
      </c>
      <c r="E20" s="87">
        <f>IFERROR('2j'!E20/'6c'!E32*100, "na")</f>
        <v>141.31938355457279</v>
      </c>
      <c r="F20" s="85">
        <f>IFERROR('2j'!F20/'6c'!F32*100, "na")</f>
        <v>49.500949847215416</v>
      </c>
      <c r="G20" s="86">
        <f>IFERROR('2j'!G20/'6c'!G32*100, "na")</f>
        <v>392.89773403170801</v>
      </c>
      <c r="H20" s="86">
        <f>IFERROR('2j'!H20/'6c'!H32*100, "na")</f>
        <v>10.605501879971294</v>
      </c>
      <c r="I20" s="87">
        <f>IFERROR('2j'!I20/'6c'!I32*100, "na")</f>
        <v>152.18284622863135</v>
      </c>
      <c r="J20" s="85">
        <f>IFERROR('2j'!J20/'6c'!J32*100, "na")</f>
        <v>95.009043322858346</v>
      </c>
      <c r="K20" s="86">
        <f>IFERROR('2j'!K20/'6c'!K32*100, "na")</f>
        <v>46.859655864808467</v>
      </c>
      <c r="L20" s="86">
        <f>IFERROR('2j'!L20/'6c'!L32*100, "na")</f>
        <v>45.152539611977247</v>
      </c>
      <c r="M20" s="87">
        <f>IFERROR('2j'!M20/'6c'!M32*100, "na")</f>
        <v>60.168220862566542</v>
      </c>
    </row>
    <row r="21" spans="1:13">
      <c r="A21" s="65">
        <v>2008</v>
      </c>
      <c r="B21" s="85">
        <f>IFERROR('2j'!B21/'6c'!B33*100, "na")</f>
        <v>180.83333029029421</v>
      </c>
      <c r="C21" s="86">
        <f>IFERROR('2j'!C21/'6c'!C33*100, "na")</f>
        <v>263.30306619301734</v>
      </c>
      <c r="D21" s="86">
        <f>IFERROR('2j'!D21/'6c'!D33*100, "na")</f>
        <v>6.7443588668763157</v>
      </c>
      <c r="E21" s="87">
        <f>IFERROR('2j'!E21/'6c'!E33*100, "na")</f>
        <v>85.981434947599055</v>
      </c>
      <c r="F21" s="85">
        <f>IFERROR('2j'!F21/'6c'!F33*100, "na")</f>
        <v>41.91745287078674</v>
      </c>
      <c r="G21" s="86">
        <f>IFERROR('2j'!G21/'6c'!G33*100, "na")</f>
        <v>308.96849248775112</v>
      </c>
      <c r="H21" s="86">
        <f>IFERROR('2j'!H21/'6c'!H33*100, "na")</f>
        <v>13.838765687652002</v>
      </c>
      <c r="I21" s="87">
        <f>IFERROR('2j'!I21/'6c'!I33*100, "na")</f>
        <v>122.64134417671364</v>
      </c>
      <c r="J21" s="85">
        <f>IFERROR('2j'!J21/'6c'!J33*100, "na")</f>
        <v>94.725792791966882</v>
      </c>
      <c r="K21" s="86">
        <f>IFERROR('2j'!K21/'6c'!K33*100, "na")</f>
        <v>44.050737475624274</v>
      </c>
      <c r="L21" s="86">
        <f>IFERROR('2j'!L21/'6c'!L33*100, "na")</f>
        <v>52.986075240706207</v>
      </c>
      <c r="M21" s="87">
        <f>IFERROR('2j'!M21/'6c'!M33*100, "na")</f>
        <v>61.02574105068711</v>
      </c>
    </row>
    <row r="22" spans="1:13">
      <c r="A22" s="20">
        <f>A21+1</f>
        <v>2009</v>
      </c>
      <c r="B22" s="85">
        <f>IFERROR('2j'!B22/'6c'!B34*100, "na")</f>
        <v>256.48145707121455</v>
      </c>
      <c r="C22" s="86">
        <f>IFERROR('2j'!C22/'6c'!C34*100, "na")</f>
        <v>283.31499561629386</v>
      </c>
      <c r="D22" s="86">
        <f>IFERROR('2j'!D22/'6c'!D34*100, "na")</f>
        <v>12.167138895304241</v>
      </c>
      <c r="E22" s="87">
        <f>IFERROR('2j'!E22/'6c'!E34*100, "na")</f>
        <v>109.04406262499384</v>
      </c>
      <c r="F22" s="85">
        <f>IFERROR('2j'!F22/'6c'!F34*100, "na")</f>
        <v>75.660382694779187</v>
      </c>
      <c r="G22" s="86">
        <f>IFERROR('2j'!G22/'6c'!G34*100, "na")</f>
        <v>387.23371330794112</v>
      </c>
      <c r="H22" s="86">
        <f>IFERROR('2j'!H22/'6c'!H34*100, "na")</f>
        <v>9.3726463608668062</v>
      </c>
      <c r="I22" s="87">
        <f>IFERROR('2j'!I22/'6c'!I34*100, "na")</f>
        <v>159.13733288121142</v>
      </c>
      <c r="J22" s="85">
        <f>IFERROR('2j'!J22/'6c'!J34*100, "na")</f>
        <v>79.860875508793356</v>
      </c>
      <c r="K22" s="86">
        <f>IFERROR('2j'!K22/'6c'!K34*100, "na")</f>
        <v>41.022217700023752</v>
      </c>
      <c r="L22" s="86">
        <f>IFERROR('2j'!L22/'6c'!L34*100, "na")</f>
        <v>51.341799955965193</v>
      </c>
      <c r="M22" s="87">
        <f>IFERROR('2j'!M22/'6c'!M34*100, "na")</f>
        <v>54.622372799303719</v>
      </c>
    </row>
    <row r="23" spans="1:13">
      <c r="A23" s="21">
        <f t="shared" ref="A23" si="0">A22+1</f>
        <v>2010</v>
      </c>
      <c r="B23" s="88">
        <f>IFERROR('2j'!B23/'6c'!B35*100, "na")</f>
        <v>212.39114472203386</v>
      </c>
      <c r="C23" s="89">
        <f>IFERROR('2j'!C23/'6c'!C35*100, "na")</f>
        <v>223.614506868652</v>
      </c>
      <c r="D23" s="89">
        <f>IFERROR('2j'!D23/'6c'!D35*100, "na")</f>
        <v>13.755796228380918</v>
      </c>
      <c r="E23" s="90">
        <f>IFERROR('2j'!E23/'6c'!E35*100, "na")</f>
        <v>91.259109116317774</v>
      </c>
      <c r="F23" s="88">
        <f>IFERROR('2j'!F23/'6c'!F35*100, "na")</f>
        <v>102.46532457854445</v>
      </c>
      <c r="G23" s="89">
        <f>IFERROR('2j'!G23/'6c'!G35*100, "na")</f>
        <v>405.38809504920482</v>
      </c>
      <c r="H23" s="89">
        <f>IFERROR('2j'!H23/'6c'!H35*100, "na")</f>
        <v>17.518578689696479</v>
      </c>
      <c r="I23" s="90">
        <f>IFERROR('2j'!I23/'6c'!I35*100, "na")</f>
        <v>167.34438281509978</v>
      </c>
      <c r="J23" s="88">
        <f>IFERROR('2j'!J23/'6c'!J35*100, "na")</f>
        <v>73.259350793609329</v>
      </c>
      <c r="K23" s="89">
        <f>IFERROR('2j'!K23/'6c'!K35*100, "na")</f>
        <v>40.359730903381127</v>
      </c>
      <c r="L23" s="89">
        <f>IFERROR('2j'!L23/'6c'!L35*100, "na")</f>
        <v>52.224881998925156</v>
      </c>
      <c r="M23" s="90">
        <f>IFERROR('2j'!M23/'6c'!M35*100, "na")</f>
        <v>53.991718575715723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 t="s">
        <v>169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3">
    <mergeCell ref="F3:I3"/>
    <mergeCell ref="J3:M3"/>
    <mergeCell ref="B3:E3"/>
  </mergeCells>
  <pageMargins left="0.7" right="0.7" top="0.75" bottom="0.75" header="0.3" footer="0.3"/>
  <pageSetup scale="80" orientation="landscape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96"/>
  <dimension ref="A1:M26"/>
  <sheetViews>
    <sheetView zoomScaleNormal="100" workbookViewId="0">
      <selection activeCell="B15" sqref="B15"/>
    </sheetView>
  </sheetViews>
  <sheetFormatPr defaultRowHeight="15"/>
  <cols>
    <col min="1" max="3" width="9.140625" style="1"/>
    <col min="4" max="4" width="15.7109375" style="1" customWidth="1"/>
    <col min="5" max="7" width="9.140625" style="1"/>
    <col min="8" max="8" width="18.28515625" style="1" customWidth="1"/>
    <col min="9" max="11" width="9.140625" style="1"/>
    <col min="12" max="12" width="14.85546875" style="1" customWidth="1"/>
    <col min="13" max="15" width="9.140625" style="1"/>
    <col min="16" max="16" width="15" style="1" customWidth="1"/>
    <col min="17" max="19" width="9.140625" style="1"/>
    <col min="20" max="20" width="15.28515625" style="1" customWidth="1"/>
    <col min="21" max="23" width="9.140625" style="1"/>
    <col min="24" max="24" width="15.7109375" style="1" customWidth="1"/>
    <col min="25" max="16384" width="9.140625" style="1"/>
  </cols>
  <sheetData>
    <row r="1" spans="1:13">
      <c r="A1" s="387" t="s">
        <v>202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3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</row>
    <row r="4" spans="1:13">
      <c r="B4" s="399" t="s">
        <v>3</v>
      </c>
      <c r="C4" s="400"/>
      <c r="D4" s="400"/>
      <c r="E4" s="401"/>
      <c r="F4" s="399" t="s">
        <v>4</v>
      </c>
      <c r="G4" s="400"/>
      <c r="H4" s="400"/>
      <c r="I4" s="401"/>
      <c r="J4" s="377" t="s">
        <v>42</v>
      </c>
      <c r="K4" s="375"/>
      <c r="L4" s="375"/>
      <c r="M4" s="376"/>
    </row>
    <row r="5" spans="1:13" ht="24">
      <c r="B5" s="367" t="s">
        <v>0</v>
      </c>
      <c r="C5" s="368" t="s">
        <v>1</v>
      </c>
      <c r="D5" s="368" t="s">
        <v>2</v>
      </c>
      <c r="E5" s="369" t="s">
        <v>72</v>
      </c>
      <c r="F5" s="367" t="s">
        <v>0</v>
      </c>
      <c r="G5" s="368" t="s">
        <v>1</v>
      </c>
      <c r="H5" s="368" t="s">
        <v>2</v>
      </c>
      <c r="I5" s="369" t="s">
        <v>72</v>
      </c>
      <c r="J5" s="367" t="s">
        <v>0</v>
      </c>
      <c r="K5" s="368" t="s">
        <v>1</v>
      </c>
      <c r="L5" s="368" t="s">
        <v>2</v>
      </c>
      <c r="M5" s="369" t="s">
        <v>72</v>
      </c>
    </row>
    <row r="6" spans="1:13">
      <c r="A6" s="64">
        <v>1992</v>
      </c>
      <c r="B6" s="82" t="str">
        <f>IFERROR('1p'!B5/'5l'!B17*100,"na")</f>
        <v>na</v>
      </c>
      <c r="C6" s="83" t="str">
        <f>IFERROR('1p'!C5/'5l'!C17*100,"na")</f>
        <v>na</v>
      </c>
      <c r="D6" s="83" t="str">
        <f>IFERROR('1p'!D5/'5l'!D17*100,"na")</f>
        <v>na</v>
      </c>
      <c r="E6" s="84" t="str">
        <f>IFERROR('1p'!E5/'5l'!E17*100,"na")</f>
        <v>na</v>
      </c>
      <c r="F6" s="82" t="str">
        <f>IFERROR('1p'!F5/'5l'!F17*100,"na")</f>
        <v>na</v>
      </c>
      <c r="G6" s="83" t="str">
        <f>IFERROR('1p'!G5/'5l'!G17*100,"na")</f>
        <v>na</v>
      </c>
      <c r="H6" s="83" t="str">
        <f>IFERROR('1p'!H5/'5l'!H17*100,"na")</f>
        <v>na</v>
      </c>
      <c r="I6" s="84" t="str">
        <f>IFERROR('1p'!I5/'5l'!I17*100,"na")</f>
        <v>na</v>
      </c>
      <c r="J6" s="82" t="str">
        <f>IFERROR('1p'!J5/'5l'!J17*100,"na")</f>
        <v>na</v>
      </c>
      <c r="K6" s="83" t="str">
        <f>IFERROR('1p'!K5/'5l'!K17*100,"na")</f>
        <v>na</v>
      </c>
      <c r="L6" s="83" t="str">
        <f>IFERROR('1p'!L5/'5l'!L17*100,"na")</f>
        <v>na</v>
      </c>
      <c r="M6" s="84" t="str">
        <f>IFERROR('1p'!M5/'5l'!M17*100,"na")</f>
        <v>na</v>
      </c>
    </row>
    <row r="7" spans="1:13">
      <c r="A7" s="65">
        <v>1993</v>
      </c>
      <c r="B7" s="85" t="str">
        <f>IFERROR('1p'!B6/'5l'!B18*100,"na")</f>
        <v>na</v>
      </c>
      <c r="C7" s="86" t="str">
        <f>IFERROR('1p'!C6/'5l'!C18*100,"na")</f>
        <v>na</v>
      </c>
      <c r="D7" s="86" t="str">
        <f>IFERROR('1p'!D6/'5l'!D18*100,"na")</f>
        <v>na</v>
      </c>
      <c r="E7" s="87" t="str">
        <f>IFERROR('1p'!E6/'5l'!E18*100,"na")</f>
        <v>na</v>
      </c>
      <c r="F7" s="85" t="str">
        <f>IFERROR('1p'!F6/'5l'!F18*100,"na")</f>
        <v>na</v>
      </c>
      <c r="G7" s="86" t="str">
        <f>IFERROR('1p'!G6/'5l'!G18*100,"na")</f>
        <v>na</v>
      </c>
      <c r="H7" s="86" t="str">
        <f>IFERROR('1p'!H6/'5l'!H18*100,"na")</f>
        <v>na</v>
      </c>
      <c r="I7" s="87" t="str">
        <f>IFERROR('1p'!I6/'5l'!I18*100,"na")</f>
        <v>na</v>
      </c>
      <c r="J7" s="85" t="str">
        <f>IFERROR('1p'!J6/'5l'!J18*100,"na")</f>
        <v>na</v>
      </c>
      <c r="K7" s="86" t="str">
        <f>IFERROR('1p'!K6/'5l'!K18*100,"na")</f>
        <v>na</v>
      </c>
      <c r="L7" s="86" t="str">
        <f>IFERROR('1p'!L6/'5l'!L18*100,"na")</f>
        <v>na</v>
      </c>
      <c r="M7" s="87" t="str">
        <f>IFERROR('1p'!M6/'5l'!M18*100,"na")</f>
        <v>na</v>
      </c>
    </row>
    <row r="8" spans="1:13">
      <c r="A8" s="65">
        <v>1994</v>
      </c>
      <c r="B8" s="85" t="str">
        <f>IFERROR('1p'!B7/'5l'!B19*100,"na")</f>
        <v>na</v>
      </c>
      <c r="C8" s="86" t="str">
        <f>IFERROR('1p'!C7/'5l'!C19*100,"na")</f>
        <v>na</v>
      </c>
      <c r="D8" s="86" t="str">
        <f>IFERROR('1p'!D7/'5l'!D19*100,"na")</f>
        <v>na</v>
      </c>
      <c r="E8" s="87" t="str">
        <f>IFERROR('1p'!E7/'5l'!E19*100,"na")</f>
        <v>na</v>
      </c>
      <c r="F8" s="85" t="str">
        <f>IFERROR('1p'!F7/'5l'!F19*100,"na")</f>
        <v>na</v>
      </c>
      <c r="G8" s="86" t="str">
        <f>IFERROR('1p'!G7/'5l'!G19*100,"na")</f>
        <v>na</v>
      </c>
      <c r="H8" s="86" t="str">
        <f>IFERROR('1p'!H7/'5l'!H19*100,"na")</f>
        <v>na</v>
      </c>
      <c r="I8" s="87" t="str">
        <f>IFERROR('1p'!I7/'5l'!I19*100,"na")</f>
        <v>na</v>
      </c>
      <c r="J8" s="85" t="str">
        <f>IFERROR('1p'!J7/'5l'!J19*100,"na")</f>
        <v>na</v>
      </c>
      <c r="K8" s="86" t="str">
        <f>IFERROR('1p'!K7/'5l'!K19*100,"na")</f>
        <v>na</v>
      </c>
      <c r="L8" s="86" t="str">
        <f>IFERROR('1p'!L7/'5l'!L19*100,"na")</f>
        <v>na</v>
      </c>
      <c r="M8" s="87" t="str">
        <f>IFERROR('1p'!M7/'5l'!M19*100,"na")</f>
        <v>na</v>
      </c>
    </row>
    <row r="9" spans="1:13">
      <c r="A9" s="65">
        <v>1995</v>
      </c>
      <c r="B9" s="85" t="str">
        <f>IFERROR('1p'!B8/'5l'!B20*100,"na")</f>
        <v>na</v>
      </c>
      <c r="C9" s="86" t="str">
        <f>IFERROR('1p'!C8/'5l'!C20*100,"na")</f>
        <v>na</v>
      </c>
      <c r="D9" s="86" t="str">
        <f>IFERROR('1p'!D8/'5l'!D20*100,"na")</f>
        <v>na</v>
      </c>
      <c r="E9" s="87" t="str">
        <f>IFERROR('1p'!E8/'5l'!E20*100,"na")</f>
        <v>na</v>
      </c>
      <c r="F9" s="85" t="str">
        <f>IFERROR('1p'!F8/'5l'!F20*100,"na")</f>
        <v>na</v>
      </c>
      <c r="G9" s="86" t="str">
        <f>IFERROR('1p'!G8/'5l'!G20*100,"na")</f>
        <v>na</v>
      </c>
      <c r="H9" s="86" t="str">
        <f>IFERROR('1p'!H8/'5l'!H20*100,"na")</f>
        <v>na</v>
      </c>
      <c r="I9" s="87" t="str">
        <f>IFERROR('1p'!I8/'5l'!I20*100,"na")</f>
        <v>na</v>
      </c>
      <c r="J9" s="85" t="str">
        <f>IFERROR('1p'!J8/'5l'!J20*100,"na")</f>
        <v>na</v>
      </c>
      <c r="K9" s="86" t="str">
        <f>IFERROR('1p'!K8/'5l'!K20*100,"na")</f>
        <v>na</v>
      </c>
      <c r="L9" s="86" t="str">
        <f>IFERROR('1p'!L8/'5l'!L20*100,"na")</f>
        <v>na</v>
      </c>
      <c r="M9" s="87" t="str">
        <f>IFERROR('1p'!M8/'5l'!M20*100,"na")</f>
        <v>na</v>
      </c>
    </row>
    <row r="10" spans="1:13">
      <c r="A10" s="65">
        <v>1996</v>
      </c>
      <c r="B10" s="85" t="str">
        <f>IFERROR('1p'!B9/'5l'!B21*100,"na")</f>
        <v>na</v>
      </c>
      <c r="C10" s="86" t="str">
        <f>IFERROR('1p'!C9/'5l'!C21*100,"na")</f>
        <v>na</v>
      </c>
      <c r="D10" s="86" t="str">
        <f>IFERROR('1p'!D9/'5l'!D21*100,"na")</f>
        <v>na</v>
      </c>
      <c r="E10" s="87" t="str">
        <f>IFERROR('1p'!E9/'5l'!E21*100,"na")</f>
        <v>na</v>
      </c>
      <c r="F10" s="85" t="str">
        <f>IFERROR('1p'!F9/'5l'!F21*100,"na")</f>
        <v>na</v>
      </c>
      <c r="G10" s="86" t="str">
        <f>IFERROR('1p'!G9/'5l'!G21*100,"na")</f>
        <v>na</v>
      </c>
      <c r="H10" s="86" t="str">
        <f>IFERROR('1p'!H9/'5l'!H21*100,"na")</f>
        <v>na</v>
      </c>
      <c r="I10" s="87" t="str">
        <f>IFERROR('1p'!I9/'5l'!I21*100,"na")</f>
        <v>na</v>
      </c>
      <c r="J10" s="85" t="str">
        <f>IFERROR('1p'!J9/'5l'!J21*100,"na")</f>
        <v>na</v>
      </c>
      <c r="K10" s="86" t="str">
        <f>IFERROR('1p'!K9/'5l'!K21*100,"na")</f>
        <v>na</v>
      </c>
      <c r="L10" s="86" t="str">
        <f>IFERROR('1p'!L9/'5l'!L21*100,"na")</f>
        <v>na</v>
      </c>
      <c r="M10" s="87" t="str">
        <f>IFERROR('1p'!M9/'5l'!M21*100,"na")</f>
        <v>na</v>
      </c>
    </row>
    <row r="11" spans="1:13">
      <c r="A11" s="65">
        <v>1997</v>
      </c>
      <c r="B11" s="85" t="str">
        <f>IFERROR('1p'!B10/'5l'!B22*100,"na")</f>
        <v>na</v>
      </c>
      <c r="C11" s="86" t="str">
        <f>IFERROR('1p'!C10/'5l'!C22*100,"na")</f>
        <v>na</v>
      </c>
      <c r="D11" s="86" t="str">
        <f>IFERROR('1p'!D10/'5l'!D22*100,"na")</f>
        <v>na</v>
      </c>
      <c r="E11" s="87" t="str">
        <f>IFERROR('1p'!E10/'5l'!E22*100,"na")</f>
        <v>na</v>
      </c>
      <c r="F11" s="85" t="str">
        <f>IFERROR('1p'!F10/'5l'!F22*100,"na")</f>
        <v>na</v>
      </c>
      <c r="G11" s="86" t="str">
        <f>IFERROR('1p'!G10/'5l'!G22*100,"na")</f>
        <v>na</v>
      </c>
      <c r="H11" s="86" t="str">
        <f>IFERROR('1p'!H10/'5l'!H22*100,"na")</f>
        <v>na</v>
      </c>
      <c r="I11" s="87" t="str">
        <f>IFERROR('1p'!I10/'5l'!I22*100,"na")</f>
        <v>na</v>
      </c>
      <c r="J11" s="85" t="str">
        <f>IFERROR('1p'!J10/'5l'!J22*100,"na")</f>
        <v>na</v>
      </c>
      <c r="K11" s="86" t="str">
        <f>IFERROR('1p'!K10/'5l'!K22*100,"na")</f>
        <v>na</v>
      </c>
      <c r="L11" s="86" t="str">
        <f>IFERROR('1p'!L10/'5l'!L22*100,"na")</f>
        <v>na</v>
      </c>
      <c r="M11" s="87" t="str">
        <f>IFERROR('1p'!M10/'5l'!M22*100,"na")</f>
        <v>na</v>
      </c>
    </row>
    <row r="12" spans="1:13">
      <c r="A12" s="65">
        <v>1998</v>
      </c>
      <c r="B12" s="85" t="str">
        <f>IFERROR('1p'!B11/'5l'!B23*100,"na")</f>
        <v>na</v>
      </c>
      <c r="C12" s="86" t="str">
        <f>IFERROR('1p'!C11/'5l'!C23*100,"na")</f>
        <v>na</v>
      </c>
      <c r="D12" s="86" t="str">
        <f>IFERROR('1p'!D11/'5l'!D23*100,"na")</f>
        <v>na</v>
      </c>
      <c r="E12" s="87" t="str">
        <f>IFERROR('1p'!E11/'5l'!E23*100,"na")</f>
        <v>na</v>
      </c>
      <c r="F12" s="85" t="str">
        <f>IFERROR('1p'!F11/'5l'!F23*100,"na")</f>
        <v>na</v>
      </c>
      <c r="G12" s="86" t="str">
        <f>IFERROR('1p'!G11/'5l'!G23*100,"na")</f>
        <v>na</v>
      </c>
      <c r="H12" s="86" t="str">
        <f>IFERROR('1p'!H11/'5l'!H23*100,"na")</f>
        <v>na</v>
      </c>
      <c r="I12" s="87" t="str">
        <f>IFERROR('1p'!I11/'5l'!I23*100,"na")</f>
        <v>na</v>
      </c>
      <c r="J12" s="85" t="str">
        <f>IFERROR('1p'!J11/'5l'!J23*100,"na")</f>
        <v>na</v>
      </c>
      <c r="K12" s="86" t="str">
        <f>IFERROR('1p'!K11/'5l'!K23*100,"na")</f>
        <v>na</v>
      </c>
      <c r="L12" s="86" t="str">
        <f>IFERROR('1p'!L11/'5l'!L23*100,"na")</f>
        <v>na</v>
      </c>
      <c r="M12" s="87" t="str">
        <f>IFERROR('1p'!M11/'5l'!M23*100,"na")</f>
        <v>na</v>
      </c>
    </row>
    <row r="13" spans="1:13">
      <c r="A13" s="65">
        <v>1999</v>
      </c>
      <c r="B13" s="85" t="str">
        <f>IFERROR('1p'!B12/'5l'!B24*100,"na")</f>
        <v>na</v>
      </c>
      <c r="C13" s="86" t="str">
        <f>IFERROR('1p'!C12/'5l'!C24*100,"na")</f>
        <v>na</v>
      </c>
      <c r="D13" s="86" t="str">
        <f>IFERROR('1p'!D12/'5l'!D24*100,"na")</f>
        <v>na</v>
      </c>
      <c r="E13" s="87" t="str">
        <f>IFERROR('1p'!E12/'5l'!E24*100,"na")</f>
        <v>na</v>
      </c>
      <c r="F13" s="85" t="str">
        <f>IFERROR('1p'!F12/'5l'!F24*100,"na")</f>
        <v>na</v>
      </c>
      <c r="G13" s="86" t="str">
        <f>IFERROR('1p'!G12/'5l'!G24*100,"na")</f>
        <v>na</v>
      </c>
      <c r="H13" s="86" t="str">
        <f>IFERROR('1p'!H12/'5l'!H24*100,"na")</f>
        <v>na</v>
      </c>
      <c r="I13" s="87" t="str">
        <f>IFERROR('1p'!I12/'5l'!I24*100,"na")</f>
        <v>na</v>
      </c>
      <c r="J13" s="85" t="str">
        <f>IFERROR('1p'!J12/'5l'!J24*100,"na")</f>
        <v>na</v>
      </c>
      <c r="K13" s="86" t="str">
        <f>IFERROR('1p'!K12/'5l'!K24*100,"na")</f>
        <v>na</v>
      </c>
      <c r="L13" s="86" t="str">
        <f>IFERROR('1p'!L12/'5l'!L24*100,"na")</f>
        <v>na</v>
      </c>
      <c r="M13" s="87" t="str">
        <f>IFERROR('1p'!M12/'5l'!M24*100,"na")</f>
        <v>na</v>
      </c>
    </row>
    <row r="14" spans="1:13">
      <c r="A14" s="65">
        <v>2000</v>
      </c>
      <c r="B14" s="85" t="str">
        <f>IFERROR('1p'!B13/'5l'!B25*100,"na")</f>
        <v>na</v>
      </c>
      <c r="C14" s="86" t="str">
        <f>IFERROR('1p'!C13/'5l'!C25*100,"na")</f>
        <v>na</v>
      </c>
      <c r="D14" s="86" t="str">
        <f>IFERROR('1p'!D13/'5l'!D25*100,"na")</f>
        <v>na</v>
      </c>
      <c r="E14" s="87" t="str">
        <f>IFERROR('1p'!E13/'5l'!E25*100,"na")</f>
        <v>na</v>
      </c>
      <c r="F14" s="85" t="str">
        <f>IFERROR('1p'!F13/'5l'!F25*100,"na")</f>
        <v>na</v>
      </c>
      <c r="G14" s="86" t="str">
        <f>IFERROR('1p'!G13/'5l'!G25*100,"na")</f>
        <v>na</v>
      </c>
      <c r="H14" s="86" t="str">
        <f>IFERROR('1p'!H13/'5l'!H25*100,"na")</f>
        <v>na</v>
      </c>
      <c r="I14" s="87" t="str">
        <f>IFERROR('1p'!I13/'5l'!I25*100,"na")</f>
        <v>na</v>
      </c>
      <c r="J14" s="85" t="str">
        <f>IFERROR('1p'!J13/'5l'!J25*100,"na")</f>
        <v>na</v>
      </c>
      <c r="K14" s="86" t="str">
        <f>IFERROR('1p'!K13/'5l'!K25*100,"na")</f>
        <v>na</v>
      </c>
      <c r="L14" s="86" t="str">
        <f>IFERROR('1p'!L13/'5l'!L25*100,"na")</f>
        <v>na</v>
      </c>
      <c r="M14" s="87" t="str">
        <f>IFERROR('1p'!M13/'5l'!M25*100,"na")</f>
        <v>na</v>
      </c>
    </row>
    <row r="15" spans="1:13">
      <c r="A15" s="65">
        <v>2001</v>
      </c>
      <c r="B15" s="85" t="str">
        <f>IFERROR('1p'!B14/'5l'!B26*100,"na")</f>
        <v>na</v>
      </c>
      <c r="C15" s="86" t="str">
        <f>IFERROR('1p'!C14/'5l'!C26*100,"na")</f>
        <v>na</v>
      </c>
      <c r="D15" s="86" t="str">
        <f>IFERROR('1p'!D14/'5l'!D26*100,"na")</f>
        <v>na</v>
      </c>
      <c r="E15" s="87" t="str">
        <f>IFERROR('1p'!E14/'5l'!E26*100,"na")</f>
        <v>na</v>
      </c>
      <c r="F15" s="85" t="str">
        <f>IFERROR('1p'!F14/'5l'!F26*100,"na")</f>
        <v>na</v>
      </c>
      <c r="G15" s="86" t="str">
        <f>IFERROR('1p'!G14/'5l'!G26*100,"na")</f>
        <v>na</v>
      </c>
      <c r="H15" s="86" t="str">
        <f>IFERROR('1p'!H14/'5l'!H26*100,"na")</f>
        <v>na</v>
      </c>
      <c r="I15" s="87" t="str">
        <f>IFERROR('1p'!I14/'5l'!I26*100,"na")</f>
        <v>na</v>
      </c>
      <c r="J15" s="85" t="str">
        <f>IFERROR('1p'!J14/'5l'!J26*100,"na")</f>
        <v>na</v>
      </c>
      <c r="K15" s="86" t="str">
        <f>IFERROR('1p'!K14/'5l'!K26*100,"na")</f>
        <v>na</v>
      </c>
      <c r="L15" s="86" t="str">
        <f>IFERROR('1p'!L14/'5l'!L26*100,"na")</f>
        <v>na</v>
      </c>
      <c r="M15" s="87" t="str">
        <f>IFERROR('1p'!M14/'5l'!M26*100,"na")</f>
        <v>na</v>
      </c>
    </row>
    <row r="16" spans="1:13">
      <c r="A16" s="65">
        <v>2002</v>
      </c>
      <c r="B16" s="85" t="str">
        <f>IFERROR('1p'!B15/'5l'!B27*100,"na")</f>
        <v>na</v>
      </c>
      <c r="C16" s="86" t="str">
        <f>IFERROR('1p'!C15/'5l'!C27*100,"na")</f>
        <v>na</v>
      </c>
      <c r="D16" s="86" t="str">
        <f>IFERROR('1p'!D15/'5l'!D27*100,"na")</f>
        <v>na</v>
      </c>
      <c r="E16" s="87" t="str">
        <f>IFERROR('1p'!E15/'5l'!E27*100,"na")</f>
        <v>na</v>
      </c>
      <c r="F16" s="85" t="str">
        <f>IFERROR('1p'!F15/'5l'!F27*100,"na")</f>
        <v>na</v>
      </c>
      <c r="G16" s="86" t="str">
        <f>IFERROR('1p'!G15/'5l'!G27*100,"na")</f>
        <v>na</v>
      </c>
      <c r="H16" s="86" t="str">
        <f>IFERROR('1p'!H15/'5l'!H27*100,"na")</f>
        <v>na</v>
      </c>
      <c r="I16" s="87" t="str">
        <f>IFERROR('1p'!I15/'5l'!I27*100,"na")</f>
        <v>na</v>
      </c>
      <c r="J16" s="85" t="str">
        <f>IFERROR('1p'!J15/'5l'!J27*100,"na")</f>
        <v>na</v>
      </c>
      <c r="K16" s="86" t="str">
        <f>IFERROR('1p'!K15/'5l'!K27*100,"na")</f>
        <v>na</v>
      </c>
      <c r="L16" s="86" t="str">
        <f>IFERROR('1p'!L15/'5l'!L27*100,"na")</f>
        <v>na</v>
      </c>
      <c r="M16" s="87" t="str">
        <f>IFERROR('1p'!M15/'5l'!M27*100,"na")</f>
        <v>na</v>
      </c>
    </row>
    <row r="17" spans="1:13">
      <c r="A17" s="65">
        <v>2003</v>
      </c>
      <c r="B17" s="85" t="str">
        <f>IFERROR('1p'!B16/'5l'!B28*100,"na")</f>
        <v>na</v>
      </c>
      <c r="C17" s="86" t="str">
        <f>IFERROR('1p'!C16/'5l'!C28*100,"na")</f>
        <v>na</v>
      </c>
      <c r="D17" s="86" t="str">
        <f>IFERROR('1p'!D16/'5l'!D28*100,"na")</f>
        <v>na</v>
      </c>
      <c r="E17" s="87" t="str">
        <f>IFERROR('1p'!E16/'5l'!E28*100,"na")</f>
        <v>na</v>
      </c>
      <c r="F17" s="85" t="str">
        <f>IFERROR('1p'!F16/'5l'!F28*100,"na")</f>
        <v>na</v>
      </c>
      <c r="G17" s="86" t="str">
        <f>IFERROR('1p'!G16/'5l'!G28*100,"na")</f>
        <v>na</v>
      </c>
      <c r="H17" s="86" t="str">
        <f>IFERROR('1p'!H16/'5l'!H28*100,"na")</f>
        <v>na</v>
      </c>
      <c r="I17" s="87" t="str">
        <f>IFERROR('1p'!I16/'5l'!I28*100,"na")</f>
        <v>na</v>
      </c>
      <c r="J17" s="85" t="str">
        <f>IFERROR('1p'!J16/'5l'!J28*100,"na")</f>
        <v>na</v>
      </c>
      <c r="K17" s="86" t="str">
        <f>IFERROR('1p'!K16/'5l'!K28*100,"na")</f>
        <v>na</v>
      </c>
      <c r="L17" s="86" t="str">
        <f>IFERROR('1p'!L16/'5l'!L28*100,"na")</f>
        <v>na</v>
      </c>
      <c r="M17" s="87" t="str">
        <f>IFERROR('1p'!M16/'5l'!M28*100,"na")</f>
        <v>na</v>
      </c>
    </row>
    <row r="18" spans="1:13">
      <c r="A18" s="65">
        <v>2004</v>
      </c>
      <c r="B18" s="85" t="str">
        <f>IFERROR('1p'!B17/'5l'!B29*100,"na")</f>
        <v>na</v>
      </c>
      <c r="C18" s="86" t="str">
        <f>IFERROR('1p'!C17/'5l'!C29*100,"na")</f>
        <v>na</v>
      </c>
      <c r="D18" s="86" t="str">
        <f>IFERROR('1p'!D17/'5l'!D29*100,"na")</f>
        <v>na</v>
      </c>
      <c r="E18" s="87" t="str">
        <f>IFERROR('1p'!E17/'5l'!E29*100,"na")</f>
        <v>na</v>
      </c>
      <c r="F18" s="85" t="str">
        <f>IFERROR('1p'!F17/'5l'!F29*100,"na")</f>
        <v>na</v>
      </c>
      <c r="G18" s="86" t="str">
        <f>IFERROR('1p'!G17/'5l'!G29*100,"na")</f>
        <v>na</v>
      </c>
      <c r="H18" s="86" t="str">
        <f>IFERROR('1p'!H17/'5l'!H29*100,"na")</f>
        <v>na</v>
      </c>
      <c r="I18" s="87" t="str">
        <f>IFERROR('1p'!I17/'5l'!I29*100,"na")</f>
        <v>na</v>
      </c>
      <c r="J18" s="85" t="str">
        <f>IFERROR('1p'!J17/'5l'!J29*100,"na")</f>
        <v>na</v>
      </c>
      <c r="K18" s="86" t="str">
        <f>IFERROR('1p'!K17/'5l'!K29*100,"na")</f>
        <v>na</v>
      </c>
      <c r="L18" s="86" t="str">
        <f>IFERROR('1p'!L17/'5l'!L29*100,"na")</f>
        <v>na</v>
      </c>
      <c r="M18" s="87" t="str">
        <f>IFERROR('1p'!M17/'5l'!M29*100,"na")</f>
        <v>na</v>
      </c>
    </row>
    <row r="19" spans="1:13">
      <c r="A19" s="65">
        <v>2005</v>
      </c>
      <c r="B19" s="85" t="str">
        <f>IFERROR('1p'!B18/'5l'!B30*100,"na")</f>
        <v>na</v>
      </c>
      <c r="C19" s="86" t="str">
        <f>IFERROR('1p'!C18/'5l'!C30*100,"na")</f>
        <v>na</v>
      </c>
      <c r="D19" s="86" t="str">
        <f>IFERROR('1p'!D18/'5l'!D30*100,"na")</f>
        <v>na</v>
      </c>
      <c r="E19" s="87" t="str">
        <f>IFERROR('1p'!E18/'5l'!E30*100,"na")</f>
        <v>na</v>
      </c>
      <c r="F19" s="85" t="str">
        <f>IFERROR('1p'!F18/'5l'!F30*100,"na")</f>
        <v>na</v>
      </c>
      <c r="G19" s="86" t="str">
        <f>IFERROR('1p'!G18/'5l'!G30*100,"na")</f>
        <v>na</v>
      </c>
      <c r="H19" s="86" t="str">
        <f>IFERROR('1p'!H18/'5l'!H30*100,"na")</f>
        <v>na</v>
      </c>
      <c r="I19" s="87" t="str">
        <f>IFERROR('1p'!I18/'5l'!I30*100,"na")</f>
        <v>na</v>
      </c>
      <c r="J19" s="85" t="str">
        <f>IFERROR('1p'!J18/'5l'!J30*100,"na")</f>
        <v>na</v>
      </c>
      <c r="K19" s="86" t="str">
        <f>IFERROR('1p'!K18/'5l'!K30*100,"na")</f>
        <v>na</v>
      </c>
      <c r="L19" s="86" t="str">
        <f>IFERROR('1p'!L18/'5l'!L30*100,"na")</f>
        <v>na</v>
      </c>
      <c r="M19" s="87" t="str">
        <f>IFERROR('1p'!M18/'5l'!M30*100,"na")</f>
        <v>na</v>
      </c>
    </row>
    <row r="20" spans="1:13">
      <c r="A20" s="65">
        <v>2006</v>
      </c>
      <c r="B20" s="85" t="str">
        <f>IFERROR('1p'!B19/'5l'!B31*100,"na")</f>
        <v>na</v>
      </c>
      <c r="C20" s="86" t="str">
        <f>IFERROR('1p'!C19/'5l'!C31*100,"na")</f>
        <v>na</v>
      </c>
      <c r="D20" s="86" t="str">
        <f>IFERROR('1p'!D19/'5l'!D31*100,"na")</f>
        <v>na</v>
      </c>
      <c r="E20" s="87" t="str">
        <f>IFERROR('1p'!E19/'5l'!E31*100,"na")</f>
        <v>na</v>
      </c>
      <c r="F20" s="85" t="str">
        <f>IFERROR('1p'!F19/'5l'!F31*100,"na")</f>
        <v>na</v>
      </c>
      <c r="G20" s="86" t="str">
        <f>IFERROR('1p'!G19/'5l'!G31*100,"na")</f>
        <v>na</v>
      </c>
      <c r="H20" s="86" t="str">
        <f>IFERROR('1p'!H19/'5l'!H31*100,"na")</f>
        <v>na</v>
      </c>
      <c r="I20" s="87" t="str">
        <f>IFERROR('1p'!I19/'5l'!I31*100,"na")</f>
        <v>na</v>
      </c>
      <c r="J20" s="85" t="str">
        <f>IFERROR('1p'!J19/'5l'!J31*100,"na")</f>
        <v>na</v>
      </c>
      <c r="K20" s="86" t="str">
        <f>IFERROR('1p'!K19/'5l'!K31*100,"na")</f>
        <v>na</v>
      </c>
      <c r="L20" s="86" t="str">
        <f>IFERROR('1p'!L19/'5l'!L31*100,"na")</f>
        <v>na</v>
      </c>
      <c r="M20" s="87" t="str">
        <f>IFERROR('1p'!M19/'5l'!M31*100,"na")</f>
        <v>na</v>
      </c>
    </row>
    <row r="21" spans="1:13">
      <c r="A21" s="65">
        <v>2007</v>
      </c>
      <c r="B21" s="85">
        <f>IFERROR('1p'!B20/'5l'!B32*100,"na")</f>
        <v>673.05135654618903</v>
      </c>
      <c r="C21" s="86">
        <f>IFERROR('1p'!C20/'5l'!C32*100,"na")</f>
        <v>317.05726714693935</v>
      </c>
      <c r="D21" s="86">
        <f>IFERROR('1p'!D20/'5l'!D32*100,"na")</f>
        <v>24.384168672694283</v>
      </c>
      <c r="E21" s="87">
        <f>IFERROR('1p'!E20/'5l'!E32*100,"na")</f>
        <v>145.79287905521591</v>
      </c>
      <c r="F21" s="85" t="str">
        <f>IFERROR('1p'!F20/'5l'!F32*100,"na")</f>
        <v>na</v>
      </c>
      <c r="G21" s="86" t="str">
        <f>IFERROR('1p'!G20/'5l'!G32*100,"na")</f>
        <v>na</v>
      </c>
      <c r="H21" s="86" t="str">
        <f>IFERROR('1p'!H20/'5l'!H32*100,"na")</f>
        <v>na</v>
      </c>
      <c r="I21" s="87" t="str">
        <f>IFERROR('1p'!I20/'5l'!I32*100,"na")</f>
        <v>na</v>
      </c>
      <c r="J21" s="85">
        <f>IFERROR('1p'!J20/'5l'!J32*100,"na")</f>
        <v>98.019519912523251</v>
      </c>
      <c r="K21" s="86">
        <f>IFERROR('1p'!K20/'5l'!K32*100,"na")</f>
        <v>48.38989356353639</v>
      </c>
      <c r="L21" s="86">
        <f>IFERROR('1p'!L20/'5l'!L32*100,"na")</f>
        <v>41.635815742750353</v>
      </c>
      <c r="M21" s="87">
        <f>IFERROR('1p'!M20/'5l'!M32*100,"na")</f>
        <v>56.602409513882058</v>
      </c>
    </row>
    <row r="22" spans="1:13">
      <c r="A22" s="65">
        <v>2008</v>
      </c>
      <c r="B22" s="85" t="str">
        <f>IFERROR('1p'!B21/'5l'!B33*100,"na")</f>
        <v>na</v>
      </c>
      <c r="C22" s="86" t="str">
        <f>IFERROR('1p'!C21/'5l'!C33*100,"na")</f>
        <v>na</v>
      </c>
      <c r="D22" s="86" t="str">
        <f>IFERROR('1p'!D21/'5l'!D33*100,"na")</f>
        <v>na</v>
      </c>
      <c r="E22" s="87" t="str">
        <f>IFERROR('1p'!E21/'5l'!E33*100,"na")</f>
        <v>na</v>
      </c>
      <c r="F22" s="85" t="str">
        <f>IFERROR('1p'!F21/'5l'!F33*100,"na")</f>
        <v>na</v>
      </c>
      <c r="G22" s="86" t="str">
        <f>IFERROR('1p'!G21/'5l'!G33*100,"na")</f>
        <v>na</v>
      </c>
      <c r="H22" s="86" t="str">
        <f>IFERROR('1p'!H21/'5l'!H33*100,"na")</f>
        <v>na</v>
      </c>
      <c r="I22" s="87" t="str">
        <f>IFERROR('1p'!I21/'5l'!I33*100,"na")</f>
        <v>na</v>
      </c>
      <c r="J22" s="85">
        <f>IFERROR('1p'!J21/'5l'!J33*100,"na")</f>
        <v>98.644529283847561</v>
      </c>
      <c r="K22" s="86">
        <f>IFERROR('1p'!K21/'5l'!K33*100,"na")</f>
        <v>45.380865299560902</v>
      </c>
      <c r="L22" s="86">
        <f>IFERROR('1p'!L21/'5l'!L33*100,"na")</f>
        <v>50.468522946854833</v>
      </c>
      <c r="M22" s="87">
        <f>IFERROR('1p'!M21/'5l'!M33*100,"na")</f>
        <v>56.680374896631221</v>
      </c>
    </row>
    <row r="23" spans="1:13">
      <c r="A23" s="20">
        <f>A22+1</f>
        <v>2009</v>
      </c>
      <c r="B23" s="85" t="str">
        <f>IFERROR('1p'!B22/'5l'!B34*100,"na")</f>
        <v>na</v>
      </c>
      <c r="C23" s="86" t="str">
        <f>IFERROR('1p'!C22/'5l'!C34*100,"na")</f>
        <v>na</v>
      </c>
      <c r="D23" s="86" t="str">
        <f>IFERROR('1p'!D22/'5l'!D34*100,"na")</f>
        <v>na</v>
      </c>
      <c r="E23" s="87" t="str">
        <f>IFERROR('1p'!E22/'5l'!E34*100,"na")</f>
        <v>na</v>
      </c>
      <c r="F23" s="85" t="str">
        <f>IFERROR('1p'!F22/'5l'!F34*100,"na")</f>
        <v>na</v>
      </c>
      <c r="G23" s="86" t="str">
        <f>IFERROR('1p'!G22/'5l'!G34*100,"na")</f>
        <v>na</v>
      </c>
      <c r="H23" s="86" t="str">
        <f>IFERROR('1p'!H22/'5l'!H34*100,"na")</f>
        <v>na</v>
      </c>
      <c r="I23" s="87" t="str">
        <f>IFERROR('1p'!I22/'5l'!I34*100,"na")</f>
        <v>na</v>
      </c>
      <c r="J23" s="85">
        <f>IFERROR('1p'!J22/'5l'!J34*100,"na")</f>
        <v>88.147733488535025</v>
      </c>
      <c r="K23" s="86">
        <f>IFERROR('1p'!K22/'5l'!K34*100,"na")</f>
        <v>41.753731052083026</v>
      </c>
      <c r="L23" s="86">
        <f>IFERROR('1p'!L22/'5l'!L34*100,"na")</f>
        <v>51.539788428565394</v>
      </c>
      <c r="M23" s="87">
        <f>IFERROR('1p'!M22/'5l'!M34*100,"na")</f>
        <v>52.048658557732111</v>
      </c>
    </row>
    <row r="24" spans="1:13">
      <c r="A24" s="21">
        <f t="shared" ref="A24" si="0">A23+1</f>
        <v>2010</v>
      </c>
      <c r="B24" s="88" t="str">
        <f>IFERROR('1p'!B23/'5l'!B35*100,"na")</f>
        <v>na</v>
      </c>
      <c r="C24" s="89" t="str">
        <f>IFERROR('1p'!C23/'5l'!C35*100,"na")</f>
        <v>na</v>
      </c>
      <c r="D24" s="89" t="str">
        <f>IFERROR('1p'!D23/'5l'!D35*100,"na")</f>
        <v>na</v>
      </c>
      <c r="E24" s="90" t="str">
        <f>IFERROR('1p'!E23/'5l'!E35*100,"na")</f>
        <v>na</v>
      </c>
      <c r="F24" s="88" t="str">
        <f>IFERROR('1p'!F23/'5l'!F35*100,"na")</f>
        <v>na</v>
      </c>
      <c r="G24" s="89" t="str">
        <f>IFERROR('1p'!G23/'5l'!G35*100,"na")</f>
        <v>na</v>
      </c>
      <c r="H24" s="89" t="str">
        <f>IFERROR('1p'!H23/'5l'!H35*100,"na")</f>
        <v>na</v>
      </c>
      <c r="I24" s="90" t="str">
        <f>IFERROR('1p'!I23/'5l'!I35*100,"na")</f>
        <v>na</v>
      </c>
      <c r="J24" s="88">
        <f>IFERROR('1p'!J23/'5l'!J35*100,"na")</f>
        <v>77.966327306568786</v>
      </c>
      <c r="K24" s="89">
        <f>IFERROR('1p'!K23/'5l'!K35*100,"na")</f>
        <v>43.153548365682866</v>
      </c>
      <c r="L24" s="89">
        <f>IFERROR('1p'!L23/'5l'!L35*100,"na")</f>
        <v>52.903342920093067</v>
      </c>
      <c r="M24" s="90">
        <f>IFERROR('1p'!M23/'5l'!M35*100,"na")</f>
        <v>52.363152403769732</v>
      </c>
    </row>
    <row r="26" spans="1:13">
      <c r="A26" s="1" t="s">
        <v>170</v>
      </c>
    </row>
  </sheetData>
  <mergeCells count="4">
    <mergeCell ref="F4:I4"/>
    <mergeCell ref="J4:M4"/>
    <mergeCell ref="A1:K2"/>
    <mergeCell ref="B4:E4"/>
  </mergeCells>
  <pageMargins left="0.7" right="0.7" top="0.75" bottom="0.75" header="0.3" footer="0.3"/>
  <pageSetup scale="80" orientation="landscape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95"/>
  <dimension ref="A1:M25"/>
  <sheetViews>
    <sheetView zoomScaleNormal="100" workbookViewId="0">
      <selection activeCell="B15" sqref="B15"/>
    </sheetView>
  </sheetViews>
  <sheetFormatPr defaultColWidth="15.85546875" defaultRowHeight="15"/>
  <cols>
    <col min="1" max="1" width="7.7109375" style="1" customWidth="1"/>
    <col min="2" max="2" width="10.140625" style="1" bestFit="1" customWidth="1"/>
    <col min="3" max="3" width="8.7109375" style="1" bestFit="1" customWidth="1"/>
    <col min="4" max="4" width="17.42578125" style="1" customWidth="1"/>
    <col min="5" max="5" width="10.28515625" style="1" bestFit="1" customWidth="1"/>
    <col min="6" max="6" width="10.140625" style="1" bestFit="1" customWidth="1"/>
    <col min="7" max="7" width="8.7109375" style="1" bestFit="1" customWidth="1"/>
    <col min="8" max="8" width="17.5703125" style="1" bestFit="1" customWidth="1"/>
    <col min="9" max="9" width="10.28515625" style="1" bestFit="1" customWidth="1"/>
    <col min="10" max="10" width="10.140625" style="1" bestFit="1" customWidth="1"/>
    <col min="11" max="11" width="8.7109375" style="1" bestFit="1" customWidth="1"/>
    <col min="12" max="12" width="17.7109375" style="1" customWidth="1"/>
    <col min="13" max="13" width="10.28515625" style="1" bestFit="1" customWidth="1"/>
    <col min="14" max="14" width="10.140625" style="1" bestFit="1" customWidth="1"/>
    <col min="15" max="15" width="8.7109375" style="1" bestFit="1" customWidth="1"/>
    <col min="16" max="16" width="17.5703125" style="1" bestFit="1" customWidth="1"/>
    <col min="17" max="17" width="10.28515625" style="1" bestFit="1" customWidth="1"/>
    <col min="18" max="18" width="10.140625" style="1" bestFit="1" customWidth="1"/>
    <col min="19" max="19" width="8.7109375" style="1" bestFit="1" customWidth="1"/>
    <col min="20" max="20" width="17.5703125" style="1" bestFit="1" customWidth="1"/>
    <col min="21" max="21" width="10.28515625" style="1" bestFit="1" customWidth="1"/>
    <col min="22" max="22" width="10.140625" style="1" bestFit="1" customWidth="1"/>
    <col min="23" max="23" width="8.7109375" style="1" bestFit="1" customWidth="1"/>
    <col min="24" max="24" width="17.5703125" style="1" customWidth="1"/>
    <col min="25" max="25" width="10.28515625" style="1" bestFit="1" customWidth="1"/>
    <col min="26" max="16384" width="15.85546875" style="1"/>
  </cols>
  <sheetData>
    <row r="1" spans="1:13">
      <c r="A1" s="2" t="s">
        <v>203</v>
      </c>
    </row>
    <row r="3" spans="1:13">
      <c r="B3" s="399" t="s">
        <v>3</v>
      </c>
      <c r="C3" s="400"/>
      <c r="D3" s="400"/>
      <c r="E3" s="401"/>
      <c r="F3" s="399" t="s">
        <v>4</v>
      </c>
      <c r="G3" s="400"/>
      <c r="H3" s="400"/>
      <c r="I3" s="401"/>
      <c r="J3" s="377" t="s">
        <v>42</v>
      </c>
      <c r="K3" s="375"/>
      <c r="L3" s="375"/>
      <c r="M3" s="376"/>
    </row>
    <row r="4" spans="1:13" ht="24">
      <c r="B4" s="367" t="s">
        <v>0</v>
      </c>
      <c r="C4" s="368" t="s">
        <v>1</v>
      </c>
      <c r="D4" s="368" t="s">
        <v>2</v>
      </c>
      <c r="E4" s="369" t="s">
        <v>72</v>
      </c>
      <c r="F4" s="367" t="s">
        <v>0</v>
      </c>
      <c r="G4" s="368" t="s">
        <v>1</v>
      </c>
      <c r="H4" s="368" t="s">
        <v>2</v>
      </c>
      <c r="I4" s="369" t="s">
        <v>72</v>
      </c>
      <c r="J4" s="367" t="s">
        <v>0</v>
      </c>
      <c r="K4" s="368" t="s">
        <v>1</v>
      </c>
      <c r="L4" s="368" t="s">
        <v>2</v>
      </c>
      <c r="M4" s="369" t="s">
        <v>72</v>
      </c>
    </row>
    <row r="5" spans="1:13">
      <c r="A5" s="64">
        <v>1992</v>
      </c>
      <c r="B5" s="82" t="str">
        <f>IFERROR('2k'!B5/'6f'!B17*100, "na")</f>
        <v>na</v>
      </c>
      <c r="C5" s="83" t="str">
        <f>IFERROR('2k'!C5/'6f'!C17*100, "na")</f>
        <v>na</v>
      </c>
      <c r="D5" s="83" t="str">
        <f>IFERROR('2k'!D5/'6f'!D17*100, "na")</f>
        <v>na</v>
      </c>
      <c r="E5" s="84" t="str">
        <f>IFERROR('2k'!E5/'6f'!E17*100, "na")</f>
        <v>na</v>
      </c>
      <c r="F5" s="82" t="str">
        <f>IFERROR('2k'!F5/'6f'!F17*100, "na")</f>
        <v>na</v>
      </c>
      <c r="G5" s="83" t="str">
        <f>IFERROR('2k'!G5/'6f'!G17*100, "na")</f>
        <v>na</v>
      </c>
      <c r="H5" s="83" t="str">
        <f>IFERROR('2k'!H5/'6f'!H17*100, "na")</f>
        <v>na</v>
      </c>
      <c r="I5" s="84" t="str">
        <f>IFERROR('2k'!I5/'6f'!I17*100, "na")</f>
        <v>na</v>
      </c>
      <c r="J5" s="82" t="str">
        <f>IFERROR('2k'!J5/'6f'!J17*100, "na")</f>
        <v>na</v>
      </c>
      <c r="K5" s="83" t="str">
        <f>IFERROR('2k'!K5/'6f'!K17*100, "na")</f>
        <v>na</v>
      </c>
      <c r="L5" s="83" t="str">
        <f>IFERROR('2k'!L5/'6f'!L17*100, "na")</f>
        <v>na</v>
      </c>
      <c r="M5" s="84" t="str">
        <f>IFERROR('2k'!M5/'6f'!M17*100, "na")</f>
        <v>na</v>
      </c>
    </row>
    <row r="6" spans="1:13">
      <c r="A6" s="65">
        <v>1993</v>
      </c>
      <c r="B6" s="85" t="str">
        <f>IFERROR('2k'!B6/'6f'!B18*100, "na")</f>
        <v>na</v>
      </c>
      <c r="C6" s="86" t="str">
        <f>IFERROR('2k'!C6/'6f'!C18*100, "na")</f>
        <v>na</v>
      </c>
      <c r="D6" s="86" t="str">
        <f>IFERROR('2k'!D6/'6f'!D18*100, "na")</f>
        <v>na</v>
      </c>
      <c r="E6" s="87" t="str">
        <f>IFERROR('2k'!E6/'6f'!E18*100, "na")</f>
        <v>na</v>
      </c>
      <c r="F6" s="85" t="str">
        <f>IFERROR('2k'!F6/'6f'!F18*100, "na")</f>
        <v>na</v>
      </c>
      <c r="G6" s="86" t="str">
        <f>IFERROR('2k'!G6/'6f'!G18*100, "na")</f>
        <v>na</v>
      </c>
      <c r="H6" s="86" t="str">
        <f>IFERROR('2k'!H6/'6f'!H18*100, "na")</f>
        <v>na</v>
      </c>
      <c r="I6" s="87" t="str">
        <f>IFERROR('2k'!I6/'6f'!I18*100, "na")</f>
        <v>na</v>
      </c>
      <c r="J6" s="85" t="str">
        <f>IFERROR('2k'!J6/'6f'!J18*100, "na")</f>
        <v>na</v>
      </c>
      <c r="K6" s="86" t="str">
        <f>IFERROR('2k'!K6/'6f'!K18*100, "na")</f>
        <v>na</v>
      </c>
      <c r="L6" s="86" t="str">
        <f>IFERROR('2k'!L6/'6f'!L18*100, "na")</f>
        <v>na</v>
      </c>
      <c r="M6" s="87" t="str">
        <f>IFERROR('2k'!M6/'6f'!M18*100, "na")</f>
        <v>na</v>
      </c>
    </row>
    <row r="7" spans="1:13">
      <c r="A7" s="65">
        <v>1994</v>
      </c>
      <c r="B7" s="85" t="str">
        <f>IFERROR('2k'!B7/'6f'!B19*100, "na")</f>
        <v>na</v>
      </c>
      <c r="C7" s="86" t="str">
        <f>IFERROR('2k'!C7/'6f'!C19*100, "na")</f>
        <v>na</v>
      </c>
      <c r="D7" s="86" t="str">
        <f>IFERROR('2k'!D7/'6f'!D19*100, "na")</f>
        <v>na</v>
      </c>
      <c r="E7" s="87" t="str">
        <f>IFERROR('2k'!E7/'6f'!E19*100, "na")</f>
        <v>na</v>
      </c>
      <c r="F7" s="85" t="str">
        <f>IFERROR('2k'!F7/'6f'!F19*100, "na")</f>
        <v>na</v>
      </c>
      <c r="G7" s="86" t="str">
        <f>IFERROR('2k'!G7/'6f'!G19*100, "na")</f>
        <v>na</v>
      </c>
      <c r="H7" s="86" t="str">
        <f>IFERROR('2k'!H7/'6f'!H19*100, "na")</f>
        <v>na</v>
      </c>
      <c r="I7" s="87" t="str">
        <f>IFERROR('2k'!I7/'6f'!I19*100, "na")</f>
        <v>na</v>
      </c>
      <c r="J7" s="85" t="str">
        <f>IFERROR('2k'!J7/'6f'!J19*100, "na")</f>
        <v>na</v>
      </c>
      <c r="K7" s="86" t="str">
        <f>IFERROR('2k'!K7/'6f'!K19*100, "na")</f>
        <v>na</v>
      </c>
      <c r="L7" s="86" t="str">
        <f>IFERROR('2k'!L7/'6f'!L19*100, "na")</f>
        <v>na</v>
      </c>
      <c r="M7" s="87" t="str">
        <f>IFERROR('2k'!M7/'6f'!M19*100, "na")</f>
        <v>na</v>
      </c>
    </row>
    <row r="8" spans="1:13">
      <c r="A8" s="65">
        <v>1995</v>
      </c>
      <c r="B8" s="85" t="str">
        <f>IFERROR('2k'!B8/'6f'!B20*100, "na")</f>
        <v>na</v>
      </c>
      <c r="C8" s="86" t="str">
        <f>IFERROR('2k'!C8/'6f'!C20*100, "na")</f>
        <v>na</v>
      </c>
      <c r="D8" s="86" t="str">
        <f>IFERROR('2k'!D8/'6f'!D20*100, "na")</f>
        <v>na</v>
      </c>
      <c r="E8" s="87" t="str">
        <f>IFERROR('2k'!E8/'6f'!E20*100, "na")</f>
        <v>na</v>
      </c>
      <c r="F8" s="85" t="str">
        <f>IFERROR('2k'!F8/'6f'!F20*100, "na")</f>
        <v>na</v>
      </c>
      <c r="G8" s="86" t="str">
        <f>IFERROR('2k'!G8/'6f'!G20*100, "na")</f>
        <v>na</v>
      </c>
      <c r="H8" s="86" t="str">
        <f>IFERROR('2k'!H8/'6f'!H20*100, "na")</f>
        <v>na</v>
      </c>
      <c r="I8" s="87" t="str">
        <f>IFERROR('2k'!I8/'6f'!I20*100, "na")</f>
        <v>na</v>
      </c>
      <c r="J8" s="85" t="str">
        <f>IFERROR('2k'!J8/'6f'!J20*100, "na")</f>
        <v>na</v>
      </c>
      <c r="K8" s="86" t="str">
        <f>IFERROR('2k'!K8/'6f'!K20*100, "na")</f>
        <v>na</v>
      </c>
      <c r="L8" s="86" t="str">
        <f>IFERROR('2k'!L8/'6f'!L20*100, "na")</f>
        <v>na</v>
      </c>
      <c r="M8" s="87" t="str">
        <f>IFERROR('2k'!M8/'6f'!M20*100, "na")</f>
        <v>na</v>
      </c>
    </row>
    <row r="9" spans="1:13">
      <c r="A9" s="65">
        <v>1996</v>
      </c>
      <c r="B9" s="85" t="str">
        <f>IFERROR('2k'!B9/'6f'!B21*100, "na")</f>
        <v>na</v>
      </c>
      <c r="C9" s="86" t="str">
        <f>IFERROR('2k'!C9/'6f'!C21*100, "na")</f>
        <v>na</v>
      </c>
      <c r="D9" s="86" t="str">
        <f>IFERROR('2k'!D9/'6f'!D21*100, "na")</f>
        <v>na</v>
      </c>
      <c r="E9" s="87" t="str">
        <f>IFERROR('2k'!E9/'6f'!E21*100, "na")</f>
        <v>na</v>
      </c>
      <c r="F9" s="85" t="str">
        <f>IFERROR('2k'!F9/'6f'!F21*100, "na")</f>
        <v>na</v>
      </c>
      <c r="G9" s="86" t="str">
        <f>IFERROR('2k'!G9/'6f'!G21*100, "na")</f>
        <v>na</v>
      </c>
      <c r="H9" s="86" t="str">
        <f>IFERROR('2k'!H9/'6f'!H21*100, "na")</f>
        <v>na</v>
      </c>
      <c r="I9" s="87" t="str">
        <f>IFERROR('2k'!I9/'6f'!I21*100, "na")</f>
        <v>na</v>
      </c>
      <c r="J9" s="85" t="str">
        <f>IFERROR('2k'!J9/'6f'!J21*100, "na")</f>
        <v>na</v>
      </c>
      <c r="K9" s="86" t="str">
        <f>IFERROR('2k'!K9/'6f'!K21*100, "na")</f>
        <v>na</v>
      </c>
      <c r="L9" s="86" t="str">
        <f>IFERROR('2k'!L9/'6f'!L21*100, "na")</f>
        <v>na</v>
      </c>
      <c r="M9" s="87" t="str">
        <f>IFERROR('2k'!M9/'6f'!M21*100, "na")</f>
        <v>na</v>
      </c>
    </row>
    <row r="10" spans="1:13">
      <c r="A10" s="65">
        <v>1997</v>
      </c>
      <c r="B10" s="85" t="str">
        <f>IFERROR('2k'!B10/'6f'!B22*100, "na")</f>
        <v>na</v>
      </c>
      <c r="C10" s="86" t="str">
        <f>IFERROR('2k'!C10/'6f'!C22*100, "na")</f>
        <v>na</v>
      </c>
      <c r="D10" s="86" t="str">
        <f>IFERROR('2k'!D10/'6f'!D22*100, "na")</f>
        <v>na</v>
      </c>
      <c r="E10" s="87" t="str">
        <f>IFERROR('2k'!E10/'6f'!E22*100, "na")</f>
        <v>na</v>
      </c>
      <c r="F10" s="85" t="str">
        <f>IFERROR('2k'!F10/'6f'!F22*100, "na")</f>
        <v>na</v>
      </c>
      <c r="G10" s="86" t="str">
        <f>IFERROR('2k'!G10/'6f'!G22*100, "na")</f>
        <v>na</v>
      </c>
      <c r="H10" s="86" t="str">
        <f>IFERROR('2k'!H10/'6f'!H22*100, "na")</f>
        <v>na</v>
      </c>
      <c r="I10" s="87" t="str">
        <f>IFERROR('2k'!I10/'6f'!I22*100, "na")</f>
        <v>na</v>
      </c>
      <c r="J10" s="85" t="str">
        <f>IFERROR('2k'!J10/'6f'!J22*100, "na")</f>
        <v>na</v>
      </c>
      <c r="K10" s="86" t="str">
        <f>IFERROR('2k'!K10/'6f'!K22*100, "na")</f>
        <v>na</v>
      </c>
      <c r="L10" s="86" t="str">
        <f>IFERROR('2k'!L10/'6f'!L22*100, "na")</f>
        <v>na</v>
      </c>
      <c r="M10" s="87" t="str">
        <f>IFERROR('2k'!M10/'6f'!M22*100, "na")</f>
        <v>na</v>
      </c>
    </row>
    <row r="11" spans="1:13">
      <c r="A11" s="65">
        <v>1998</v>
      </c>
      <c r="B11" s="85" t="str">
        <f>IFERROR('2k'!B11/'6f'!B23*100, "na")</f>
        <v>na</v>
      </c>
      <c r="C11" s="86" t="str">
        <f>IFERROR('2k'!C11/'6f'!C23*100, "na")</f>
        <v>na</v>
      </c>
      <c r="D11" s="86" t="str">
        <f>IFERROR('2k'!D11/'6f'!D23*100, "na")</f>
        <v>na</v>
      </c>
      <c r="E11" s="87" t="str">
        <f>IFERROR('2k'!E11/'6f'!E23*100, "na")</f>
        <v>na</v>
      </c>
      <c r="F11" s="85" t="str">
        <f>IFERROR('2k'!F11/'6f'!F23*100, "na")</f>
        <v>na</v>
      </c>
      <c r="G11" s="86" t="str">
        <f>IFERROR('2k'!G11/'6f'!G23*100, "na")</f>
        <v>na</v>
      </c>
      <c r="H11" s="86" t="str">
        <f>IFERROR('2k'!H11/'6f'!H23*100, "na")</f>
        <v>na</v>
      </c>
      <c r="I11" s="87" t="str">
        <f>IFERROR('2k'!I11/'6f'!I23*100, "na")</f>
        <v>na</v>
      </c>
      <c r="J11" s="85" t="str">
        <f>IFERROR('2k'!J11/'6f'!J23*100, "na")</f>
        <v>na</v>
      </c>
      <c r="K11" s="86" t="str">
        <f>IFERROR('2k'!K11/'6f'!K23*100, "na")</f>
        <v>na</v>
      </c>
      <c r="L11" s="86" t="str">
        <f>IFERROR('2k'!L11/'6f'!L23*100, "na")</f>
        <v>na</v>
      </c>
      <c r="M11" s="87" t="str">
        <f>IFERROR('2k'!M11/'6f'!M23*100, "na")</f>
        <v>na</v>
      </c>
    </row>
    <row r="12" spans="1:13">
      <c r="A12" s="65">
        <v>1999</v>
      </c>
      <c r="B12" s="85" t="str">
        <f>IFERROR('2k'!B12/'6f'!B24*100, "na")</f>
        <v>na</v>
      </c>
      <c r="C12" s="86" t="str">
        <f>IFERROR('2k'!C12/'6f'!C24*100, "na")</f>
        <v>na</v>
      </c>
      <c r="D12" s="86" t="str">
        <f>IFERROR('2k'!D12/'6f'!D24*100, "na")</f>
        <v>na</v>
      </c>
      <c r="E12" s="87" t="str">
        <f>IFERROR('2k'!E12/'6f'!E24*100, "na")</f>
        <v>na</v>
      </c>
      <c r="F12" s="85" t="str">
        <f>IFERROR('2k'!F12/'6f'!F24*100, "na")</f>
        <v>na</v>
      </c>
      <c r="G12" s="86" t="str">
        <f>IFERROR('2k'!G12/'6f'!G24*100, "na")</f>
        <v>na</v>
      </c>
      <c r="H12" s="86" t="str">
        <f>IFERROR('2k'!H12/'6f'!H24*100, "na")</f>
        <v>na</v>
      </c>
      <c r="I12" s="87" t="str">
        <f>IFERROR('2k'!I12/'6f'!I24*100, "na")</f>
        <v>na</v>
      </c>
      <c r="J12" s="85" t="str">
        <f>IFERROR('2k'!J12/'6f'!J24*100, "na")</f>
        <v>na</v>
      </c>
      <c r="K12" s="86" t="str">
        <f>IFERROR('2k'!K12/'6f'!K24*100, "na")</f>
        <v>na</v>
      </c>
      <c r="L12" s="86" t="str">
        <f>IFERROR('2k'!L12/'6f'!L24*100, "na")</f>
        <v>na</v>
      </c>
      <c r="M12" s="87" t="str">
        <f>IFERROR('2k'!M12/'6f'!M24*100, "na")</f>
        <v>na</v>
      </c>
    </row>
    <row r="13" spans="1:13">
      <c r="A13" s="65">
        <v>2000</v>
      </c>
      <c r="B13" s="85" t="str">
        <f>IFERROR('2k'!B13/'6f'!B25*100, "na")</f>
        <v>na</v>
      </c>
      <c r="C13" s="86" t="str">
        <f>IFERROR('2k'!C13/'6f'!C25*100, "na")</f>
        <v>na</v>
      </c>
      <c r="D13" s="86" t="str">
        <f>IFERROR('2k'!D13/'6f'!D25*100, "na")</f>
        <v>na</v>
      </c>
      <c r="E13" s="87" t="str">
        <f>IFERROR('2k'!E13/'6f'!E25*100, "na")</f>
        <v>na</v>
      </c>
      <c r="F13" s="85" t="str">
        <f>IFERROR('2k'!F13/'6f'!F25*100, "na")</f>
        <v>na</v>
      </c>
      <c r="G13" s="86" t="str">
        <f>IFERROR('2k'!G13/'6f'!G25*100, "na")</f>
        <v>na</v>
      </c>
      <c r="H13" s="86" t="str">
        <f>IFERROR('2k'!H13/'6f'!H25*100, "na")</f>
        <v>na</v>
      </c>
      <c r="I13" s="87" t="str">
        <f>IFERROR('2k'!I13/'6f'!I25*100, "na")</f>
        <v>na</v>
      </c>
      <c r="J13" s="85" t="str">
        <f>IFERROR('2k'!J13/'6f'!J25*100, "na")</f>
        <v>na</v>
      </c>
      <c r="K13" s="86" t="str">
        <f>IFERROR('2k'!K13/'6f'!K25*100, "na")</f>
        <v>na</v>
      </c>
      <c r="L13" s="86" t="str">
        <f>IFERROR('2k'!L13/'6f'!L25*100, "na")</f>
        <v>na</v>
      </c>
      <c r="M13" s="87" t="str">
        <f>IFERROR('2k'!M13/'6f'!M25*100, "na")</f>
        <v>na</v>
      </c>
    </row>
    <row r="14" spans="1:13">
      <c r="A14" s="65">
        <v>2001</v>
      </c>
      <c r="B14" s="85" t="str">
        <f>IFERROR('2k'!B14/'6f'!B26*100, "na")</f>
        <v>na</v>
      </c>
      <c r="C14" s="86" t="str">
        <f>IFERROR('2k'!C14/'6f'!C26*100, "na")</f>
        <v>na</v>
      </c>
      <c r="D14" s="86" t="str">
        <f>IFERROR('2k'!D14/'6f'!D26*100, "na")</f>
        <v>na</v>
      </c>
      <c r="E14" s="87" t="str">
        <f>IFERROR('2k'!E14/'6f'!E26*100, "na")</f>
        <v>na</v>
      </c>
      <c r="F14" s="85" t="str">
        <f>IFERROR('2k'!F14/'6f'!F26*100, "na")</f>
        <v>na</v>
      </c>
      <c r="G14" s="86" t="str">
        <f>IFERROR('2k'!G14/'6f'!G26*100, "na")</f>
        <v>na</v>
      </c>
      <c r="H14" s="86" t="str">
        <f>IFERROR('2k'!H14/'6f'!H26*100, "na")</f>
        <v>na</v>
      </c>
      <c r="I14" s="87" t="str">
        <f>IFERROR('2k'!I14/'6f'!I26*100, "na")</f>
        <v>na</v>
      </c>
      <c r="J14" s="85" t="str">
        <f>IFERROR('2k'!J14/'6f'!J26*100, "na")</f>
        <v>na</v>
      </c>
      <c r="K14" s="86" t="str">
        <f>IFERROR('2k'!K14/'6f'!K26*100, "na")</f>
        <v>na</v>
      </c>
      <c r="L14" s="86" t="str">
        <f>IFERROR('2k'!L14/'6f'!L26*100, "na")</f>
        <v>na</v>
      </c>
      <c r="M14" s="87" t="str">
        <f>IFERROR('2k'!M14/'6f'!M26*100, "na")</f>
        <v>na</v>
      </c>
    </row>
    <row r="15" spans="1:13">
      <c r="A15" s="65">
        <v>2002</v>
      </c>
      <c r="B15" s="85" t="str">
        <f>IFERROR('2k'!B15/'6f'!B27*100, "na")</f>
        <v>na</v>
      </c>
      <c r="C15" s="86" t="str">
        <f>IFERROR('2k'!C15/'6f'!C27*100, "na")</f>
        <v>na</v>
      </c>
      <c r="D15" s="86" t="str">
        <f>IFERROR('2k'!D15/'6f'!D27*100, "na")</f>
        <v>na</v>
      </c>
      <c r="E15" s="87" t="str">
        <f>IFERROR('2k'!E15/'6f'!E27*100, "na")</f>
        <v>na</v>
      </c>
      <c r="F15" s="85" t="str">
        <f>IFERROR('2k'!F15/'6f'!F27*100, "na")</f>
        <v>na</v>
      </c>
      <c r="G15" s="86" t="str">
        <f>IFERROR('2k'!G15/'6f'!G27*100, "na")</f>
        <v>na</v>
      </c>
      <c r="H15" s="86" t="str">
        <f>IFERROR('2k'!H15/'6f'!H27*100, "na")</f>
        <v>na</v>
      </c>
      <c r="I15" s="87" t="str">
        <f>IFERROR('2k'!I15/'6f'!I27*100, "na")</f>
        <v>na</v>
      </c>
      <c r="J15" s="85" t="str">
        <f>IFERROR('2k'!J15/'6f'!J27*100, "na")</f>
        <v>na</v>
      </c>
      <c r="K15" s="86" t="str">
        <f>IFERROR('2k'!K15/'6f'!K27*100, "na")</f>
        <v>na</v>
      </c>
      <c r="L15" s="86" t="str">
        <f>IFERROR('2k'!L15/'6f'!L27*100, "na")</f>
        <v>na</v>
      </c>
      <c r="M15" s="87" t="str">
        <f>IFERROR('2k'!M15/'6f'!M27*100, "na")</f>
        <v>na</v>
      </c>
    </row>
    <row r="16" spans="1:13">
      <c r="A16" s="65">
        <v>2003</v>
      </c>
      <c r="B16" s="85" t="str">
        <f>IFERROR('2k'!B16/'6f'!B28*100, "na")</f>
        <v>na</v>
      </c>
      <c r="C16" s="86" t="str">
        <f>IFERROR('2k'!C16/'6f'!C28*100, "na")</f>
        <v>na</v>
      </c>
      <c r="D16" s="86" t="str">
        <f>IFERROR('2k'!D16/'6f'!D28*100, "na")</f>
        <v>na</v>
      </c>
      <c r="E16" s="87" t="str">
        <f>IFERROR('2k'!E16/'6f'!E28*100, "na")</f>
        <v>na</v>
      </c>
      <c r="F16" s="85" t="str">
        <f>IFERROR('2k'!F16/'6f'!F28*100, "na")</f>
        <v>na</v>
      </c>
      <c r="G16" s="86" t="str">
        <f>IFERROR('2k'!G16/'6f'!G28*100, "na")</f>
        <v>na</v>
      </c>
      <c r="H16" s="86" t="str">
        <f>IFERROR('2k'!H16/'6f'!H28*100, "na")</f>
        <v>na</v>
      </c>
      <c r="I16" s="87" t="str">
        <f>IFERROR('2k'!I16/'6f'!I28*100, "na")</f>
        <v>na</v>
      </c>
      <c r="J16" s="85" t="str">
        <f>IFERROR('2k'!J16/'6f'!J28*100, "na")</f>
        <v>na</v>
      </c>
      <c r="K16" s="86" t="str">
        <f>IFERROR('2k'!K16/'6f'!K28*100, "na")</f>
        <v>na</v>
      </c>
      <c r="L16" s="86" t="str">
        <f>IFERROR('2k'!L16/'6f'!L28*100, "na")</f>
        <v>na</v>
      </c>
      <c r="M16" s="87" t="str">
        <f>IFERROR('2k'!M16/'6f'!M28*100, "na")</f>
        <v>na</v>
      </c>
    </row>
    <row r="17" spans="1:13">
      <c r="A17" s="65">
        <v>2004</v>
      </c>
      <c r="B17" s="85" t="str">
        <f>IFERROR('2k'!B17/'6f'!B29*100, "na")</f>
        <v>na</v>
      </c>
      <c r="C17" s="86" t="str">
        <f>IFERROR('2k'!C17/'6f'!C29*100, "na")</f>
        <v>na</v>
      </c>
      <c r="D17" s="86" t="str">
        <f>IFERROR('2k'!D17/'6f'!D29*100, "na")</f>
        <v>na</v>
      </c>
      <c r="E17" s="87" t="str">
        <f>IFERROR('2k'!E17/'6f'!E29*100, "na")</f>
        <v>na</v>
      </c>
      <c r="F17" s="85" t="str">
        <f>IFERROR('2k'!F17/'6f'!F29*100, "na")</f>
        <v>na</v>
      </c>
      <c r="G17" s="86" t="str">
        <f>IFERROR('2k'!G17/'6f'!G29*100, "na")</f>
        <v>na</v>
      </c>
      <c r="H17" s="86" t="str">
        <f>IFERROR('2k'!H17/'6f'!H29*100, "na")</f>
        <v>na</v>
      </c>
      <c r="I17" s="87" t="str">
        <f>IFERROR('2k'!I17/'6f'!I29*100, "na")</f>
        <v>na</v>
      </c>
      <c r="J17" s="85" t="str">
        <f>IFERROR('2k'!J17/'6f'!J29*100, "na")</f>
        <v>na</v>
      </c>
      <c r="K17" s="86" t="str">
        <f>IFERROR('2k'!K17/'6f'!K29*100, "na")</f>
        <v>na</v>
      </c>
      <c r="L17" s="86" t="str">
        <f>IFERROR('2k'!L17/'6f'!L29*100, "na")</f>
        <v>na</v>
      </c>
      <c r="M17" s="87" t="str">
        <f>IFERROR('2k'!M17/'6f'!M29*100, "na")</f>
        <v>na</v>
      </c>
    </row>
    <row r="18" spans="1:13">
      <c r="A18" s="65">
        <v>2005</v>
      </c>
      <c r="B18" s="85" t="str">
        <f>IFERROR('2k'!B18/'6f'!B30*100, "na")</f>
        <v>na</v>
      </c>
      <c r="C18" s="86" t="str">
        <f>IFERROR('2k'!C18/'6f'!C30*100, "na")</f>
        <v>na</v>
      </c>
      <c r="D18" s="86" t="str">
        <f>IFERROR('2k'!D18/'6f'!D30*100, "na")</f>
        <v>na</v>
      </c>
      <c r="E18" s="87" t="str">
        <f>IFERROR('2k'!E18/'6f'!E30*100, "na")</f>
        <v>na</v>
      </c>
      <c r="F18" s="85" t="str">
        <f>IFERROR('2k'!F18/'6f'!F30*100, "na")</f>
        <v>na</v>
      </c>
      <c r="G18" s="86" t="str">
        <f>IFERROR('2k'!G18/'6f'!G30*100, "na")</f>
        <v>na</v>
      </c>
      <c r="H18" s="86" t="str">
        <f>IFERROR('2k'!H18/'6f'!H30*100, "na")</f>
        <v>na</v>
      </c>
      <c r="I18" s="87" t="str">
        <f>IFERROR('2k'!I18/'6f'!I30*100, "na")</f>
        <v>na</v>
      </c>
      <c r="J18" s="85" t="str">
        <f>IFERROR('2k'!J18/'6f'!J30*100, "na")</f>
        <v>na</v>
      </c>
      <c r="K18" s="86" t="str">
        <f>IFERROR('2k'!K18/'6f'!K30*100, "na")</f>
        <v>na</v>
      </c>
      <c r="L18" s="86" t="str">
        <f>IFERROR('2k'!L18/'6f'!L30*100, "na")</f>
        <v>na</v>
      </c>
      <c r="M18" s="87" t="str">
        <f>IFERROR('2k'!M18/'6f'!M30*100, "na")</f>
        <v>na</v>
      </c>
    </row>
    <row r="19" spans="1:13">
      <c r="A19" s="65">
        <v>2006</v>
      </c>
      <c r="B19" s="85" t="str">
        <f>IFERROR('2k'!B19/'6f'!B31*100, "na")</f>
        <v>na</v>
      </c>
      <c r="C19" s="86" t="str">
        <f>IFERROR('2k'!C19/'6f'!C31*100, "na")</f>
        <v>na</v>
      </c>
      <c r="D19" s="86" t="str">
        <f>IFERROR('2k'!D19/'6f'!D31*100, "na")</f>
        <v>na</v>
      </c>
      <c r="E19" s="87" t="str">
        <f>IFERROR('2k'!E19/'6f'!E31*100, "na")</f>
        <v>na</v>
      </c>
      <c r="F19" s="85" t="str">
        <f>IFERROR('2k'!F19/'6f'!F31*100, "na")</f>
        <v>na</v>
      </c>
      <c r="G19" s="86" t="str">
        <f>IFERROR('2k'!G19/'6f'!G31*100, "na")</f>
        <v>na</v>
      </c>
      <c r="H19" s="86" t="str">
        <f>IFERROR('2k'!H19/'6f'!H31*100, "na")</f>
        <v>na</v>
      </c>
      <c r="I19" s="87" t="str">
        <f>IFERROR('2k'!I19/'6f'!I31*100, "na")</f>
        <v>na</v>
      </c>
      <c r="J19" s="85" t="str">
        <f>IFERROR('2k'!J19/'6f'!J31*100, "na")</f>
        <v>na</v>
      </c>
      <c r="K19" s="86" t="str">
        <f>IFERROR('2k'!K19/'6f'!K31*100, "na")</f>
        <v>na</v>
      </c>
      <c r="L19" s="86" t="str">
        <f>IFERROR('2k'!L19/'6f'!L31*100, "na")</f>
        <v>na</v>
      </c>
      <c r="M19" s="87" t="str">
        <f>IFERROR('2k'!M19/'6f'!M31*100, "na")</f>
        <v>na</v>
      </c>
    </row>
    <row r="20" spans="1:13">
      <c r="A20" s="65">
        <v>2007</v>
      </c>
      <c r="B20" s="85">
        <f>IFERROR('2k'!B20/'6f'!B32*100, "na")</f>
        <v>631.714439175797</v>
      </c>
      <c r="C20" s="86">
        <f>IFERROR('2k'!C20/'6f'!C32*100, "na")</f>
        <v>321.0952492638005</v>
      </c>
      <c r="D20" s="86">
        <f>IFERROR('2k'!D20/'6f'!D32*100, "na")</f>
        <v>27.45092666736954</v>
      </c>
      <c r="E20" s="87">
        <f>IFERROR('2k'!E20/'6f'!E32*100, "na")</f>
        <v>165.6183484217454</v>
      </c>
      <c r="F20" s="85" t="str">
        <f>IFERROR('2k'!F20/'6f'!F32*100, "na")</f>
        <v>na</v>
      </c>
      <c r="G20" s="86" t="str">
        <f>IFERROR('2k'!G20/'6f'!G32*100, "na")</f>
        <v>na</v>
      </c>
      <c r="H20" s="86" t="str">
        <f>IFERROR('2k'!H20/'6f'!H32*100, "na")</f>
        <v>na</v>
      </c>
      <c r="I20" s="87" t="str">
        <f>IFERROR('2k'!I20/'6f'!I32*100, "na")</f>
        <v>na</v>
      </c>
      <c r="J20" s="85">
        <f>IFERROR('2k'!J20/'6f'!J32*100, "na")</f>
        <v>96.350873709856074</v>
      </c>
      <c r="K20" s="86">
        <f>IFERROR('2k'!K20/'6f'!K32*100, "na")</f>
        <v>47.52146349874063</v>
      </c>
      <c r="L20" s="86">
        <f>IFERROR('2k'!L20/'6f'!L32*100, "na")</f>
        <v>45.790237325610519</v>
      </c>
      <c r="M20" s="87">
        <f>IFERROR('2k'!M20/'6f'!M32*100, "na")</f>
        <v>61.017987834860236</v>
      </c>
    </row>
    <row r="21" spans="1:13">
      <c r="A21" s="65">
        <v>2008</v>
      </c>
      <c r="B21" s="85" t="str">
        <f>IFERROR('2k'!B21/'6f'!B33*100, "na")</f>
        <v>na</v>
      </c>
      <c r="C21" s="86" t="str">
        <f>IFERROR('2k'!C21/'6f'!C33*100, "na")</f>
        <v>na</v>
      </c>
      <c r="D21" s="86" t="str">
        <f>IFERROR('2k'!D21/'6f'!D33*100, "na")</f>
        <v>na</v>
      </c>
      <c r="E21" s="87" t="str">
        <f>IFERROR('2k'!E21/'6f'!E33*100, "na")</f>
        <v>na</v>
      </c>
      <c r="F21" s="85" t="str">
        <f>IFERROR('2k'!F21/'6f'!F33*100, "na")</f>
        <v>na</v>
      </c>
      <c r="G21" s="86" t="str">
        <f>IFERROR('2k'!G21/'6f'!G33*100, "na")</f>
        <v>na</v>
      </c>
      <c r="H21" s="86" t="str">
        <f>IFERROR('2k'!H21/'6f'!H33*100, "na")</f>
        <v>na</v>
      </c>
      <c r="I21" s="87" t="str">
        <f>IFERROR('2k'!I21/'6f'!I33*100, "na")</f>
        <v>na</v>
      </c>
      <c r="J21" s="85">
        <f>IFERROR('2k'!J21/'6f'!J33*100, "na")</f>
        <v>96.240487882184638</v>
      </c>
      <c r="K21" s="86">
        <f>IFERROR('2k'!K21/'6f'!K33*100, "na")</f>
        <v>44.755122562390817</v>
      </c>
      <c r="L21" s="86">
        <f>IFERROR('2k'!L21/'6f'!L33*100, "na")</f>
        <v>53.833339176446124</v>
      </c>
      <c r="M21" s="87">
        <f>IFERROR('2k'!M21/'6f'!M33*100, "na")</f>
        <v>62.001561760357795</v>
      </c>
    </row>
    <row r="22" spans="1:13">
      <c r="A22" s="20">
        <f>A21+1</f>
        <v>2009</v>
      </c>
      <c r="B22" s="85" t="str">
        <f>IFERROR('2k'!B22/'6f'!B34*100, "na")</f>
        <v>na</v>
      </c>
      <c r="C22" s="86" t="str">
        <f>IFERROR('2k'!C22/'6f'!C34*100, "na")</f>
        <v>na</v>
      </c>
      <c r="D22" s="86" t="str">
        <f>IFERROR('2k'!D22/'6f'!D34*100, "na")</f>
        <v>na</v>
      </c>
      <c r="E22" s="87" t="str">
        <f>IFERROR('2k'!E22/'6f'!E34*100, "na")</f>
        <v>na</v>
      </c>
      <c r="F22" s="85" t="str">
        <f>IFERROR('2k'!F22/'6f'!F34*100, "na")</f>
        <v>na</v>
      </c>
      <c r="G22" s="86" t="str">
        <f>IFERROR('2k'!G22/'6f'!G34*100, "na")</f>
        <v>na</v>
      </c>
      <c r="H22" s="86" t="str">
        <f>IFERROR('2k'!H22/'6f'!H34*100, "na")</f>
        <v>na</v>
      </c>
      <c r="I22" s="87" t="str">
        <f>IFERROR('2k'!I22/'6f'!I34*100, "na")</f>
        <v>na</v>
      </c>
      <c r="J22" s="85">
        <f>IFERROR('2k'!J22/'6f'!J34*100, "na")</f>
        <v>81.324605041214653</v>
      </c>
      <c r="K22" s="86">
        <f>IFERROR('2k'!K22/'6f'!K34*100, "na")</f>
        <v>41.774093147799533</v>
      </c>
      <c r="L22" s="86">
        <f>IFERROR('2k'!L22/'6f'!L34*100, "na")</f>
        <v>52.282817799363848</v>
      </c>
      <c r="M22" s="87">
        <f>IFERROR('2k'!M22/'6f'!M34*100, "na")</f>
        <v>55.62351860052226</v>
      </c>
    </row>
    <row r="23" spans="1:13">
      <c r="A23" s="21">
        <f t="shared" ref="A23" si="0">A22+1</f>
        <v>2010</v>
      </c>
      <c r="B23" s="88" t="str">
        <f>IFERROR('2k'!B23/'6f'!B35*100, "na")</f>
        <v>na</v>
      </c>
      <c r="C23" s="89" t="str">
        <f>IFERROR('2k'!C23/'6f'!C35*100, "na")</f>
        <v>na</v>
      </c>
      <c r="D23" s="89" t="str">
        <f>IFERROR('2k'!D23/'6f'!D35*100, "na")</f>
        <v>na</v>
      </c>
      <c r="E23" s="90" t="str">
        <f>IFERROR('2k'!E23/'6f'!E35*100, "na")</f>
        <v>na</v>
      </c>
      <c r="F23" s="88" t="str">
        <f>IFERROR('2k'!F23/'6f'!F35*100, "na")</f>
        <v>na</v>
      </c>
      <c r="G23" s="89" t="str">
        <f>IFERROR('2k'!G23/'6f'!G35*100, "na")</f>
        <v>na</v>
      </c>
      <c r="H23" s="89" t="str">
        <f>IFERROR('2k'!H23/'6f'!H35*100, "na")</f>
        <v>na</v>
      </c>
      <c r="I23" s="90" t="str">
        <f>IFERROR('2k'!I23/'6f'!I35*100, "na")</f>
        <v>na</v>
      </c>
      <c r="J23" s="88">
        <f>IFERROR('2k'!J23/'6f'!J35*100, "na")</f>
        <v>75.01861405178559</v>
      </c>
      <c r="K23" s="89">
        <f>IFERROR('2k'!K23/'6f'!K35*100, "na")</f>
        <v>41.328936757910675</v>
      </c>
      <c r="L23" s="89">
        <f>IFERROR('2k'!L23/'6f'!L35*100, "na")</f>
        <v>53.479019731078182</v>
      </c>
      <c r="M23" s="90">
        <f>IFERROR('2k'!M23/'6f'!M35*100, "na")</f>
        <v>55.288285439973748</v>
      </c>
    </row>
    <row r="25" spans="1:13">
      <c r="A25" s="1" t="s">
        <v>171</v>
      </c>
    </row>
  </sheetData>
  <mergeCells count="3">
    <mergeCell ref="F3:I3"/>
    <mergeCell ref="J3:M3"/>
    <mergeCell ref="B3:E3"/>
  </mergeCells>
  <pageMargins left="0.7" right="0.7" top="0.75" bottom="0.75" header="0.3" footer="0.3"/>
  <pageSetup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48</vt:i4>
      </vt:variant>
    </vt:vector>
  </HeadingPairs>
  <TitlesOfParts>
    <vt:vector size="151" baseType="lpstr">
      <vt:lpstr>list</vt:lpstr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1j</vt:lpstr>
      <vt:lpstr>1k</vt:lpstr>
      <vt:lpstr>1l</vt:lpstr>
      <vt:lpstr>1m</vt:lpstr>
      <vt:lpstr>1n</vt:lpstr>
      <vt:lpstr>1o</vt:lpstr>
      <vt:lpstr>1p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3a</vt:lpstr>
      <vt:lpstr>3b</vt:lpstr>
      <vt:lpstr>3c</vt:lpstr>
      <vt:lpstr>3d</vt:lpstr>
      <vt:lpstr>3e</vt:lpstr>
      <vt:lpstr>3f</vt:lpstr>
      <vt:lpstr>3g</vt:lpstr>
      <vt:lpstr>3h</vt:lpstr>
      <vt:lpstr>3i</vt:lpstr>
      <vt:lpstr>3j</vt:lpstr>
      <vt:lpstr>3k</vt:lpstr>
      <vt:lpstr>3l</vt:lpstr>
      <vt:lpstr>3m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</vt:lpstr>
      <vt:lpstr>5a</vt:lpstr>
      <vt:lpstr>5b</vt:lpstr>
      <vt:lpstr>5c</vt:lpstr>
      <vt:lpstr>5d</vt:lpstr>
      <vt:lpstr>5e</vt:lpstr>
      <vt:lpstr>5f</vt:lpstr>
      <vt:lpstr>5g</vt:lpstr>
      <vt:lpstr>5h</vt:lpstr>
      <vt:lpstr>5i</vt:lpstr>
      <vt:lpstr>5j</vt:lpstr>
      <vt:lpstr>5k</vt:lpstr>
      <vt:lpstr>5l</vt:lpstr>
      <vt:lpstr>5m</vt:lpstr>
      <vt:lpstr>6a</vt:lpstr>
      <vt:lpstr>6b</vt:lpstr>
      <vt:lpstr>6c</vt:lpstr>
      <vt:lpstr>6d</vt:lpstr>
      <vt:lpstr>6e</vt:lpstr>
      <vt:lpstr>6f</vt:lpstr>
      <vt:lpstr>6g</vt:lpstr>
      <vt:lpstr>6h</vt:lpstr>
      <vt:lpstr>6i</vt:lpstr>
      <vt:lpstr>6j</vt:lpstr>
      <vt:lpstr>7a</vt:lpstr>
      <vt:lpstr>7b</vt:lpstr>
      <vt:lpstr>7c</vt:lpstr>
      <vt:lpstr>7d</vt:lpstr>
      <vt:lpstr>7e</vt:lpstr>
      <vt:lpstr>7f</vt:lpstr>
      <vt:lpstr>7g</vt:lpstr>
      <vt:lpstr>7h</vt:lpstr>
      <vt:lpstr>7i</vt:lpstr>
      <vt:lpstr>7j</vt:lpstr>
      <vt:lpstr>7k</vt:lpstr>
      <vt:lpstr>8a</vt:lpstr>
      <vt:lpstr>8b</vt:lpstr>
      <vt:lpstr>8c</vt:lpstr>
      <vt:lpstr>8d</vt:lpstr>
      <vt:lpstr>8e</vt:lpstr>
      <vt:lpstr>8f</vt:lpstr>
      <vt:lpstr>8g</vt:lpstr>
      <vt:lpstr>8h</vt:lpstr>
      <vt:lpstr>8i</vt:lpstr>
      <vt:lpstr>8j</vt:lpstr>
      <vt:lpstr>9a</vt:lpstr>
      <vt:lpstr>9b</vt:lpstr>
      <vt:lpstr>9c</vt:lpstr>
      <vt:lpstr>9d</vt:lpstr>
      <vt:lpstr>9e</vt:lpstr>
      <vt:lpstr>9f</vt:lpstr>
      <vt:lpstr>9g</vt:lpstr>
      <vt:lpstr>9h</vt:lpstr>
      <vt:lpstr>'1a'!Print_Area</vt:lpstr>
      <vt:lpstr>'1b'!Print_Area</vt:lpstr>
      <vt:lpstr>'1d'!Print_Area</vt:lpstr>
      <vt:lpstr>'1e'!Print_Area</vt:lpstr>
      <vt:lpstr>'1f'!Print_Area</vt:lpstr>
      <vt:lpstr>'1g'!Print_Area</vt:lpstr>
      <vt:lpstr>'1i'!Print_Area</vt:lpstr>
      <vt:lpstr>'1k'!Print_Area</vt:lpstr>
      <vt:lpstr>'1o'!Print_Area</vt:lpstr>
      <vt:lpstr>'1p'!Print_Area</vt:lpstr>
      <vt:lpstr>'2a'!Print_Area</vt:lpstr>
      <vt:lpstr>'2e'!Print_Area</vt:lpstr>
      <vt:lpstr>'2f'!Print_Area</vt:lpstr>
      <vt:lpstr>'2j'!Print_Area</vt:lpstr>
      <vt:lpstr>'2k'!Print_Area</vt:lpstr>
      <vt:lpstr>'3a'!Print_Area</vt:lpstr>
      <vt:lpstr>'3b'!Print_Area</vt:lpstr>
      <vt:lpstr>'3d'!Print_Area</vt:lpstr>
      <vt:lpstr>'3e'!Print_Area</vt:lpstr>
      <vt:lpstr>'3f'!Print_Area</vt:lpstr>
      <vt:lpstr>'3l'!Print_Area</vt:lpstr>
      <vt:lpstr>'3m'!Print_Area</vt:lpstr>
      <vt:lpstr>'4b'!Print_Area</vt:lpstr>
      <vt:lpstr>'4g'!Print_Area</vt:lpstr>
      <vt:lpstr>'4h'!Print_Area</vt:lpstr>
      <vt:lpstr>'4i'!Print_Area</vt:lpstr>
      <vt:lpstr>'4j'!Print_Area</vt:lpstr>
      <vt:lpstr>'5a'!Print_Area</vt:lpstr>
      <vt:lpstr>'5c'!Print_Area</vt:lpstr>
      <vt:lpstr>'5d'!Print_Area</vt:lpstr>
      <vt:lpstr>'6a'!Print_Area</vt:lpstr>
      <vt:lpstr>'6h'!Print_Area</vt:lpstr>
      <vt:lpstr>'6i'!Print_Area</vt:lpstr>
      <vt:lpstr>'6j'!Print_Area</vt:lpstr>
      <vt:lpstr>'7a'!Print_Area</vt:lpstr>
      <vt:lpstr>'8a'!Print_Area</vt:lpstr>
      <vt:lpstr>'8b'!Print_Area</vt:lpstr>
      <vt:lpstr>'8h'!Print_Area</vt:lpstr>
      <vt:lpstr>'8i'!Print_Area</vt:lpstr>
      <vt:lpstr>'8j'!Print_Area</vt:lpstr>
      <vt:lpstr>'9b'!Print_Area</vt:lpstr>
      <vt:lpstr>'9c'!Print_Area</vt:lpstr>
      <vt:lpstr>'9d'!Print_Area</vt:lpstr>
      <vt:lpstr>'9e'!Print_Area</vt:lpstr>
      <vt:lpstr>'9f'!Print_Area</vt:lpstr>
      <vt:lpstr>'9g'!Print_Area</vt:lpstr>
      <vt:lpstr>'9h'!Print_Area</vt:lpstr>
      <vt:lpstr>list!Print_Area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2012-01-13T20:59:14Z</cp:lastPrinted>
  <dcterms:created xsi:type="dcterms:W3CDTF">2011-12-30T15:06:27Z</dcterms:created>
  <dcterms:modified xsi:type="dcterms:W3CDTF">2012-01-30T15:06:33Z</dcterms:modified>
</cp:coreProperties>
</file>