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codeName="ThisWorkbook" defaultThemeVersion="166925"/>
  <mc:AlternateContent xmlns:mc="http://schemas.openxmlformats.org/markup-compatibility/2006">
    <mc:Choice Requires="x15">
      <x15ac:absPath xmlns:x15ac="http://schemas.microsoft.com/office/spreadsheetml/2010/11/ac" url="/Users/nettiebonsall/Documents/CSLS/CSLS - most recent/"/>
    </mc:Choice>
  </mc:AlternateContent>
  <xr:revisionPtr revIDLastSave="0" documentId="8_{0EBEFF72-8DD4-D24D-AB5D-6B53C59885E2}" xr6:coauthVersionLast="47" xr6:coauthVersionMax="47" xr10:uidLastSave="{00000000-0000-0000-0000-000000000000}"/>
  <bookViews>
    <workbookView xWindow="0" yWindow="460" windowWidth="33600" windowHeight="20540" xr2:uid="{3CADC5B1-9817-D040-A0F7-1E2D8445EAA0}"/>
  </bookViews>
  <sheets>
    <sheet name="Contents" sheetId="193" r:id="rId1"/>
    <sheet name="T1" sheetId="2" r:id="rId2"/>
    <sheet name="T1A" sheetId="26" r:id="rId3"/>
    <sheet name="T2" sheetId="3" r:id="rId4"/>
    <sheet name="T2A" sheetId="29" r:id="rId5"/>
    <sheet name="T3" sheetId="4" r:id="rId6"/>
    <sheet name="T4" sheetId="5" r:id="rId7"/>
    <sheet name="T5" sheetId="7" r:id="rId8"/>
    <sheet name="T5A" sheetId="45" r:id="rId9"/>
    <sheet name="T5B" sheetId="105" r:id="rId10"/>
    <sheet name="T5C" sheetId="106" r:id="rId11"/>
    <sheet name="T6" sheetId="8" r:id="rId12"/>
    <sheet name="T6A" sheetId="31" r:id="rId13"/>
    <sheet name="T7" sheetId="9" r:id="rId14"/>
    <sheet name="T7A" sheetId="32" r:id="rId15"/>
    <sheet name="T8" sheetId="10" r:id="rId16"/>
    <sheet name="T8A" sheetId="33" r:id="rId17"/>
    <sheet name="T9" sheetId="175" r:id="rId18"/>
    <sheet name="T9A" sheetId="178" r:id="rId19"/>
    <sheet name="T10" sheetId="12" r:id="rId20"/>
    <sheet name="T10A" sheetId="43" r:id="rId21"/>
    <sheet name="T10B" sheetId="110" r:id="rId22"/>
    <sheet name="T11" sheetId="13" r:id="rId23"/>
    <sheet name="T11A" sheetId="46" r:id="rId24"/>
    <sheet name="T12" sheetId="14" r:id="rId25"/>
    <sheet name="T12A" sheetId="35" r:id="rId26"/>
    <sheet name="T13" sheetId="143" r:id="rId27"/>
    <sheet name="T14" sheetId="144" r:id="rId28"/>
    <sheet name="T15" sheetId="145" r:id="rId29"/>
    <sheet name="T16" sheetId="139" r:id="rId30"/>
    <sheet name="T16A" sheetId="140" r:id="rId31"/>
    <sheet name="T17" sheetId="141" r:id="rId32"/>
    <sheet name="T18" sheetId="18" r:id="rId33"/>
    <sheet name="T18A" sheetId="47" r:id="rId34"/>
    <sheet name="T19" sheetId="166" r:id="rId35"/>
    <sheet name="T19A" sheetId="170" r:id="rId36"/>
    <sheet name="T20" sheetId="169" r:id="rId37"/>
    <sheet name="T20A" sheetId="171" r:id="rId38"/>
    <sheet name="T21" sheetId="173" r:id="rId39"/>
    <sheet name="T21A" sheetId="174" r:id="rId40"/>
    <sheet name="T22" sheetId="21" r:id="rId41"/>
    <sheet name="T23" sheetId="37" r:id="rId42"/>
    <sheet name="T24" sheetId="190" r:id="rId43"/>
    <sheet name="T25" sheetId="24" r:id="rId44"/>
    <sheet name="T26" sheetId="28" r:id="rId45"/>
    <sheet name="T27" sheetId="38" r:id="rId46"/>
    <sheet name="T27A" sheetId="55" r:id="rId47"/>
    <sheet name="T28" sheetId="39" r:id="rId48"/>
    <sheet name="T28A" sheetId="48" r:id="rId49"/>
    <sheet name="T29" sheetId="109" r:id="rId50"/>
    <sheet name="T30" sheetId="27" r:id="rId51"/>
    <sheet name="T30A" sheetId="49" r:id="rId52"/>
    <sheet name="T31" sheetId="40" r:id="rId53"/>
    <sheet name="T31A" sheetId="50" r:id="rId54"/>
    <sheet name="T32" sheetId="41" r:id="rId55"/>
    <sheet name="T32A" sheetId="51" r:id="rId56"/>
    <sheet name="T33" sheetId="61" r:id="rId57"/>
    <sheet name="T33A" sheetId="62" r:id="rId58"/>
    <sheet name="T33B" sheetId="182" r:id="rId59"/>
    <sheet name="T34" sheetId="63" r:id="rId60"/>
    <sheet name="T34A" sheetId="64" r:id="rId61"/>
    <sheet name="T35" sheetId="65" r:id="rId62"/>
    <sheet name="T35A" sheetId="66" r:id="rId63"/>
    <sheet name="T36" sheetId="67" r:id="rId64"/>
    <sheet name="T36A" sheetId="68" r:id="rId65"/>
    <sheet name="T37" sheetId="69" r:id="rId66"/>
    <sheet name="T37A" sheetId="70" r:id="rId67"/>
    <sheet name="T38" sheetId="71" r:id="rId68"/>
    <sheet name="T38A" sheetId="107" r:id="rId69"/>
    <sheet name="T39" sheetId="73" r:id="rId70"/>
    <sheet name="T40" sheetId="113" r:id="rId71"/>
    <sheet name="T40A" sheetId="114" r:id="rId72"/>
    <sheet name="T41" sheetId="56" r:id="rId73"/>
    <sheet name="T42" sheetId="74" r:id="rId74"/>
    <sheet name="T42A" sheetId="75" r:id="rId75"/>
    <sheet name="T43" sheetId="88" r:id="rId76"/>
    <sheet name="T43A" sheetId="89" r:id="rId77"/>
    <sheet name="T44" sheetId="90" r:id="rId78"/>
    <sheet name="T44A" sheetId="91" r:id="rId79"/>
    <sheet name="T45" sheetId="76" r:id="rId80"/>
    <sheet name="T45A" sheetId="77" r:id="rId81"/>
    <sheet name="T46" sheetId="184" r:id="rId82"/>
    <sheet name="T47" sheetId="78" r:id="rId83"/>
    <sheet name="47A" sheetId="79" r:id="rId84"/>
    <sheet name="T48" sheetId="183" r:id="rId85"/>
    <sheet name="T49" sheetId="84" r:id="rId86"/>
    <sheet name="T49A" sheetId="85" r:id="rId87"/>
    <sheet name="T50" sheetId="86" r:id="rId88"/>
    <sheet name="T50A" sheetId="87" r:id="rId89"/>
    <sheet name="T51" sheetId="192" r:id="rId90"/>
    <sheet name="T52" sheetId="80" r:id="rId91"/>
    <sheet name="T52A" sheetId="81" r:id="rId92"/>
    <sheet name="T53" sheetId="82" r:id="rId93"/>
    <sheet name="T53A" sheetId="83" r:id="rId94"/>
    <sheet name="T54" sheetId="92" r:id="rId95"/>
    <sheet name="T54A" sheetId="93" r:id="rId96"/>
    <sheet name="T55" sheetId="94" r:id="rId97"/>
    <sheet name="T55A" sheetId="95" r:id="rId98"/>
    <sheet name="T56" sheetId="96" r:id="rId99"/>
    <sheet name="T56A" sheetId="97" r:id="rId100"/>
    <sheet name="T57" sheetId="98" r:id="rId101"/>
    <sheet name="T57A" sheetId="99" r:id="rId102"/>
    <sheet name="T58" sheetId="100" r:id="rId103"/>
    <sheet name="T58A" sheetId="101" r:id="rId104"/>
    <sheet name="T59" sheetId="102" r:id="rId105"/>
    <sheet name="T59A" sheetId="103" r:id="rId10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192" l="1"/>
  <c r="R12" i="192"/>
  <c r="Q12" i="192"/>
  <c r="P12" i="192"/>
  <c r="O12" i="192"/>
  <c r="N12" i="192"/>
  <c r="M12" i="192"/>
  <c r="L12" i="192"/>
  <c r="K12" i="192"/>
  <c r="F12" i="192"/>
  <c r="E12" i="192"/>
  <c r="D12" i="192"/>
  <c r="C12" i="192"/>
  <c r="B12" i="192"/>
  <c r="F54" i="3" l="1"/>
  <c r="F53" i="3"/>
  <c r="D54" i="3"/>
  <c r="E54" i="3"/>
  <c r="C54" i="3"/>
  <c r="E53" i="3"/>
  <c r="D53" i="3"/>
  <c r="C53" i="3"/>
  <c r="B54" i="3"/>
  <c r="B53" i="3"/>
  <c r="J55" i="7"/>
  <c r="H55" i="7"/>
  <c r="G55" i="7"/>
  <c r="E55" i="7"/>
  <c r="C55" i="7"/>
  <c r="B55" i="7"/>
  <c r="C4" i="18"/>
  <c r="D24" i="190" l="1"/>
  <c r="D23" i="190"/>
  <c r="D22" i="190"/>
  <c r="D21" i="190"/>
  <c r="D20" i="190"/>
  <c r="D19" i="190"/>
  <c r="D18" i="190"/>
  <c r="D17" i="190"/>
  <c r="D16" i="190"/>
  <c r="D15" i="190"/>
  <c r="D14" i="190"/>
  <c r="D13" i="190"/>
  <c r="D12" i="190"/>
  <c r="D11" i="190"/>
  <c r="D10" i="190"/>
  <c r="D9" i="190"/>
  <c r="D8" i="190"/>
  <c r="D7" i="190"/>
  <c r="D6" i="190"/>
  <c r="D5" i="190"/>
  <c r="Q48" i="28"/>
  <c r="Q47" i="28"/>
  <c r="Q46" i="28"/>
  <c r="Q45" i="28"/>
  <c r="Q44" i="28"/>
  <c r="Q43" i="28"/>
  <c r="Q42" i="28"/>
  <c r="Q41" i="28"/>
  <c r="Q40" i="28"/>
  <c r="Q39" i="28"/>
  <c r="Q38" i="28"/>
  <c r="Q37" i="28"/>
  <c r="Q36" i="28"/>
  <c r="Q35" i="28"/>
  <c r="Q34" i="28"/>
  <c r="Q33" i="28"/>
  <c r="Q32" i="28"/>
  <c r="Q31" i="28"/>
  <c r="Q30" i="28"/>
  <c r="Q29" i="28"/>
  <c r="Q28" i="28"/>
  <c r="Q27" i="28"/>
  <c r="Q26" i="28"/>
  <c r="Q25" i="28"/>
  <c r="Q24" i="28"/>
  <c r="Q23" i="28"/>
  <c r="Q22" i="28"/>
  <c r="Q21" i="28"/>
  <c r="Q20" i="28"/>
  <c r="Q19" i="28"/>
  <c r="Q18" i="28"/>
  <c r="Q17" i="28"/>
  <c r="Q16" i="28"/>
  <c r="Q15" i="28"/>
  <c r="Q14" i="28"/>
  <c r="Q13" i="28"/>
  <c r="Q12" i="28"/>
  <c r="Q11" i="28"/>
  <c r="Q10" i="28"/>
  <c r="Q9" i="28"/>
  <c r="B18" i="88"/>
  <c r="B17" i="88"/>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L45" i="21"/>
  <c r="K45" i="21"/>
  <c r="J45" i="21"/>
  <c r="I45" i="21"/>
  <c r="H45" i="21"/>
  <c r="L44" i="21"/>
  <c r="K44" i="21"/>
  <c r="J44" i="21"/>
  <c r="I44" i="21"/>
  <c r="H44" i="21"/>
  <c r="L43" i="21"/>
  <c r="K43" i="21"/>
  <c r="J43" i="21"/>
  <c r="I43" i="21"/>
  <c r="H43" i="21"/>
  <c r="L42" i="21"/>
  <c r="K42" i="21"/>
  <c r="J42" i="21"/>
  <c r="I42" i="21"/>
  <c r="H42" i="21"/>
  <c r="L41" i="21"/>
  <c r="K41" i="21"/>
  <c r="J41" i="21"/>
  <c r="I41" i="21"/>
  <c r="H41" i="21"/>
  <c r="L40" i="21"/>
  <c r="K40" i="21"/>
  <c r="J40" i="21"/>
  <c r="I40" i="21"/>
  <c r="H40" i="21"/>
  <c r="L39" i="21"/>
  <c r="K39" i="21"/>
  <c r="J39" i="21"/>
  <c r="I39" i="21"/>
  <c r="H39" i="21"/>
  <c r="L38" i="21"/>
  <c r="K38" i="21"/>
  <c r="J38" i="21"/>
  <c r="I38" i="21"/>
  <c r="H38" i="21"/>
  <c r="L37" i="21"/>
  <c r="K37" i="21"/>
  <c r="J37" i="21"/>
  <c r="I37" i="21"/>
  <c r="H37" i="21"/>
  <c r="L36" i="21"/>
  <c r="K36" i="21"/>
  <c r="J36" i="21"/>
  <c r="I36" i="21"/>
  <c r="H36" i="21"/>
  <c r="L35" i="21"/>
  <c r="K35" i="21"/>
  <c r="J35" i="21"/>
  <c r="I35" i="21"/>
  <c r="H35" i="21"/>
  <c r="L34" i="21"/>
  <c r="K34" i="21"/>
  <c r="J34" i="21"/>
  <c r="I34" i="21"/>
  <c r="H34" i="21"/>
  <c r="L33" i="21"/>
  <c r="K33" i="21"/>
  <c r="J33" i="21"/>
  <c r="I33" i="21"/>
  <c r="H33" i="21"/>
  <c r="L32" i="21"/>
  <c r="K32" i="21"/>
  <c r="J32" i="21"/>
  <c r="I32" i="21"/>
  <c r="H32" i="21"/>
  <c r="L31" i="21"/>
  <c r="K31" i="21"/>
  <c r="J31" i="21"/>
  <c r="I31" i="21"/>
  <c r="H31" i="21"/>
  <c r="L30" i="21"/>
  <c r="K30" i="21"/>
  <c r="J30" i="21"/>
  <c r="I30" i="21"/>
  <c r="H30" i="21"/>
  <c r="L29" i="21"/>
  <c r="K29" i="21"/>
  <c r="J29" i="21"/>
  <c r="I29" i="21"/>
  <c r="H29" i="21"/>
  <c r="L28" i="21"/>
  <c r="K28" i="21"/>
  <c r="J28" i="21"/>
  <c r="I28" i="21"/>
  <c r="H28" i="21"/>
  <c r="L27" i="21"/>
  <c r="K27" i="21"/>
  <c r="J27" i="21"/>
  <c r="I27" i="21"/>
  <c r="H27" i="21"/>
  <c r="L26" i="21"/>
  <c r="K26" i="21"/>
  <c r="J26" i="21"/>
  <c r="I26" i="21"/>
  <c r="H26" i="21"/>
  <c r="L25" i="21"/>
  <c r="K25" i="21"/>
  <c r="J25" i="21"/>
  <c r="I25" i="21"/>
  <c r="H25" i="21"/>
  <c r="L24" i="21"/>
  <c r="K24" i="21"/>
  <c r="J24" i="21"/>
  <c r="I24" i="21"/>
  <c r="H24" i="21"/>
  <c r="L23" i="21"/>
  <c r="K23" i="21"/>
  <c r="J23" i="21"/>
  <c r="I23" i="21"/>
  <c r="H23" i="21"/>
  <c r="L22" i="21"/>
  <c r="K22" i="21"/>
  <c r="J22" i="21"/>
  <c r="I22" i="21"/>
  <c r="H22" i="21"/>
  <c r="L21" i="21"/>
  <c r="K21" i="21"/>
  <c r="J21" i="21"/>
  <c r="I21" i="21"/>
  <c r="H21" i="21"/>
  <c r="L20" i="21"/>
  <c r="K20" i="21"/>
  <c r="J20" i="21"/>
  <c r="I20" i="21"/>
  <c r="H20" i="21"/>
  <c r="L19" i="21"/>
  <c r="K19" i="21"/>
  <c r="J19" i="21"/>
  <c r="I19" i="21"/>
  <c r="H19" i="21"/>
  <c r="L18" i="21"/>
  <c r="K18" i="21"/>
  <c r="J18" i="21"/>
  <c r="I18" i="21"/>
  <c r="H18" i="21"/>
  <c r="L17" i="21"/>
  <c r="K17" i="21"/>
  <c r="J17" i="21"/>
  <c r="I17" i="21"/>
  <c r="H17" i="21"/>
  <c r="L16" i="21"/>
  <c r="K16" i="21"/>
  <c r="J16" i="21"/>
  <c r="I16" i="21"/>
  <c r="H16" i="21"/>
  <c r="L15" i="21"/>
  <c r="K15" i="21"/>
  <c r="J15" i="21"/>
  <c r="I15" i="21"/>
  <c r="H15" i="21"/>
  <c r="L14" i="21"/>
  <c r="K14" i="21"/>
  <c r="J14" i="21"/>
  <c r="I14" i="21"/>
  <c r="H14" i="21"/>
  <c r="L13" i="21"/>
  <c r="K13" i="21"/>
  <c r="J13" i="21"/>
  <c r="I13" i="21"/>
  <c r="H13" i="21"/>
  <c r="L12" i="21"/>
  <c r="K12" i="21"/>
  <c r="J12" i="21"/>
  <c r="I12" i="21"/>
  <c r="H12" i="21"/>
  <c r="L11" i="21"/>
  <c r="K11" i="21"/>
  <c r="J11" i="21"/>
  <c r="I11" i="21"/>
  <c r="H11" i="21"/>
  <c r="L10" i="21"/>
  <c r="K10" i="21"/>
  <c r="J10" i="21"/>
  <c r="I10" i="21"/>
  <c r="H10" i="21"/>
  <c r="L9" i="21"/>
  <c r="K9" i="21"/>
  <c r="J9" i="21"/>
  <c r="I9" i="21"/>
  <c r="H9" i="21"/>
  <c r="L8" i="21"/>
  <c r="K8" i="21"/>
  <c r="J8" i="21"/>
  <c r="I8" i="21"/>
  <c r="H8" i="21"/>
  <c r="L7" i="21"/>
  <c r="K7" i="21"/>
  <c r="J7" i="21"/>
  <c r="I7" i="21"/>
  <c r="H7" i="21"/>
  <c r="L6" i="21"/>
  <c r="K6" i="21"/>
  <c r="J6" i="21"/>
  <c r="I6" i="21"/>
  <c r="H6" i="21"/>
  <c r="L5" i="21"/>
  <c r="K5" i="21"/>
  <c r="J5" i="21"/>
  <c r="I5" i="21"/>
  <c r="H5" i="21"/>
  <c r="B19" i="90"/>
  <c r="B18" i="80"/>
  <c r="J18" i="80"/>
  <c r="I18" i="80"/>
  <c r="H18" i="80"/>
  <c r="F18" i="80"/>
  <c r="E18" i="80"/>
  <c r="D18" i="80"/>
  <c r="C18" i="80"/>
  <c r="B17" i="80"/>
  <c r="J17" i="80"/>
  <c r="I17" i="80"/>
  <c r="H17" i="80"/>
  <c r="F17" i="80"/>
  <c r="E17" i="80"/>
  <c r="D17" i="80"/>
  <c r="C17" i="80"/>
  <c r="G11" i="100"/>
  <c r="F11" i="100"/>
  <c r="E11" i="100"/>
  <c r="D11" i="100"/>
  <c r="C11" i="100"/>
  <c r="B11" i="100"/>
  <c r="H29" i="98"/>
  <c r="C32" i="98"/>
  <c r="H32" i="98" s="1"/>
  <c r="E32" i="98"/>
  <c r="G28" i="98"/>
  <c r="G32" i="98"/>
  <c r="F32" i="98"/>
  <c r="D32" i="98"/>
  <c r="B32" i="98"/>
  <c r="G31" i="98"/>
  <c r="F31" i="98"/>
  <c r="E31" i="98"/>
  <c r="D31" i="98"/>
  <c r="C31" i="98"/>
  <c r="H31" i="98" s="1"/>
  <c r="B31" i="98"/>
  <c r="G30" i="98"/>
  <c r="F30" i="98"/>
  <c r="E30" i="98"/>
  <c r="D30" i="98"/>
  <c r="C30" i="98"/>
  <c r="H30" i="98" s="1"/>
  <c r="B30" i="98"/>
  <c r="G29" i="98"/>
  <c r="F29" i="98"/>
  <c r="D29" i="98"/>
  <c r="B29" i="98"/>
  <c r="F28" i="98"/>
  <c r="E28" i="98"/>
  <c r="D28" i="98"/>
  <c r="C28" i="98"/>
  <c r="H28" i="98" s="1"/>
  <c r="B28" i="98"/>
  <c r="C16" i="94"/>
  <c r="C30" i="92"/>
  <c r="K12" i="184"/>
  <c r="S12" i="184"/>
  <c r="R12" i="184"/>
  <c r="Q12" i="184"/>
  <c r="P12" i="184"/>
  <c r="O12" i="184"/>
  <c r="N12" i="184"/>
  <c r="M12" i="184"/>
  <c r="L12" i="184"/>
  <c r="F12" i="184"/>
  <c r="E12" i="184"/>
  <c r="D12" i="184"/>
  <c r="C12" i="184"/>
  <c r="B12" i="184"/>
  <c r="I11" i="183"/>
  <c r="H11" i="183"/>
  <c r="G11" i="183"/>
  <c r="F11" i="183"/>
  <c r="E11" i="183"/>
  <c r="D11" i="183"/>
  <c r="C11" i="183"/>
  <c r="B11" i="183"/>
  <c r="B17" i="90"/>
  <c r="Q18" i="90"/>
  <c r="P18" i="90"/>
  <c r="O18" i="90"/>
  <c r="M18" i="90"/>
  <c r="L18" i="90"/>
  <c r="K18" i="90"/>
  <c r="J18" i="90"/>
  <c r="I18" i="90"/>
  <c r="H18" i="90"/>
  <c r="F18" i="90"/>
  <c r="E18" i="90"/>
  <c r="D18" i="90"/>
  <c r="C18" i="90"/>
  <c r="Q17" i="90"/>
  <c r="P17" i="90"/>
  <c r="O17" i="90"/>
  <c r="M17" i="90"/>
  <c r="L17" i="90"/>
  <c r="K17" i="90"/>
  <c r="J17" i="90"/>
  <c r="I17" i="90"/>
  <c r="H17" i="90"/>
  <c r="F17" i="90"/>
  <c r="E17" i="90"/>
  <c r="D17" i="90"/>
  <c r="C17" i="90"/>
  <c r="B18" i="90"/>
  <c r="E25" i="113" l="1"/>
  <c r="D25" i="113"/>
  <c r="C25" i="113"/>
  <c r="B25" i="113"/>
  <c r="B24" i="113"/>
  <c r="D64" i="67"/>
  <c r="E62" i="182"/>
  <c r="C63" i="182"/>
  <c r="B52" i="182"/>
  <c r="D63" i="182"/>
  <c r="B63" i="182"/>
  <c r="D62" i="182"/>
  <c r="C62" i="182"/>
  <c r="B62" i="182"/>
  <c r="C61" i="182"/>
  <c r="B61" i="182"/>
  <c r="C60" i="182"/>
  <c r="B60" i="182"/>
  <c r="C59" i="182"/>
  <c r="B59" i="182"/>
  <c r="D56" i="182"/>
  <c r="C56" i="182"/>
  <c r="B56" i="182"/>
  <c r="E55" i="182"/>
  <c r="D55" i="182"/>
  <c r="C55" i="182"/>
  <c r="B55" i="182"/>
  <c r="C54" i="182"/>
  <c r="B54" i="182"/>
  <c r="C53" i="182"/>
  <c r="B53" i="182"/>
  <c r="C52" i="182"/>
  <c r="K56" i="143"/>
  <c r="K55" i="143"/>
  <c r="K54" i="143"/>
  <c r="J56" i="143"/>
  <c r="I56" i="143"/>
  <c r="H56" i="143"/>
  <c r="G56" i="143"/>
  <c r="F56" i="143"/>
  <c r="E56" i="143"/>
  <c r="D56" i="143"/>
  <c r="C56" i="143"/>
  <c r="J55" i="143"/>
  <c r="I55" i="143"/>
  <c r="H55" i="143"/>
  <c r="G55" i="143"/>
  <c r="F55" i="143"/>
  <c r="E55" i="143"/>
  <c r="D55" i="143"/>
  <c r="C55" i="143"/>
  <c r="J54" i="143"/>
  <c r="I54" i="143"/>
  <c r="H54" i="143"/>
  <c r="G54" i="143"/>
  <c r="F54" i="143"/>
  <c r="E54" i="143"/>
  <c r="D54" i="143"/>
  <c r="C54" i="143"/>
  <c r="B56" i="143"/>
  <c r="B55" i="143"/>
  <c r="B54" i="143"/>
  <c r="AH54" i="175" l="1"/>
  <c r="AG54" i="175"/>
  <c r="AF54" i="175"/>
  <c r="AE54" i="175"/>
  <c r="AD54" i="175"/>
  <c r="AC54" i="175"/>
  <c r="AB54" i="175"/>
  <c r="AA54" i="175"/>
  <c r="Z54" i="175"/>
  <c r="Y54" i="175"/>
  <c r="AH53" i="175"/>
  <c r="AG53" i="175"/>
  <c r="AF53" i="175"/>
  <c r="AE53" i="175"/>
  <c r="AD53" i="175"/>
  <c r="AC53" i="175"/>
  <c r="AB53" i="175"/>
  <c r="AA53" i="175"/>
  <c r="Z53" i="175"/>
  <c r="Y53" i="175"/>
  <c r="AH52" i="175"/>
  <c r="AG52" i="175"/>
  <c r="AF52" i="175"/>
  <c r="AE52" i="175"/>
  <c r="AD52" i="175"/>
  <c r="AC52" i="175"/>
  <c r="AB52" i="175"/>
  <c r="AA52" i="175"/>
  <c r="Z52" i="175"/>
  <c r="Y52" i="175"/>
  <c r="X53" i="175"/>
  <c r="X52" i="175"/>
  <c r="AH54" i="178"/>
  <c r="AH53" i="178"/>
  <c r="AH52" i="178"/>
  <c r="AG53" i="178"/>
  <c r="AF53" i="178"/>
  <c r="AE53" i="178"/>
  <c r="AD53" i="178"/>
  <c r="AC53" i="178"/>
  <c r="AB53" i="178"/>
  <c r="AA53" i="178"/>
  <c r="Z53" i="178"/>
  <c r="Y53" i="178"/>
  <c r="AG52" i="178"/>
  <c r="AF52" i="178"/>
  <c r="AE52" i="178"/>
  <c r="AD52" i="178"/>
  <c r="AC52" i="178"/>
  <c r="AB52" i="178"/>
  <c r="AA52" i="178"/>
  <c r="Z52" i="178"/>
  <c r="Y52" i="178"/>
  <c r="X53" i="178"/>
  <c r="X52" i="178"/>
  <c r="AG54" i="178"/>
  <c r="AF54" i="178"/>
  <c r="AE54" i="178"/>
  <c r="AD54" i="178"/>
  <c r="AC54" i="178"/>
  <c r="AB54" i="178"/>
  <c r="AA54" i="178"/>
  <c r="Z54" i="178"/>
  <c r="Y54" i="178"/>
  <c r="X54" i="178"/>
  <c r="W54" i="178"/>
  <c r="V54" i="178"/>
  <c r="U54" i="178"/>
  <c r="T54" i="178"/>
  <c r="S54" i="178"/>
  <c r="R54" i="178"/>
  <c r="Q54" i="178"/>
  <c r="P54" i="178"/>
  <c r="O54" i="178"/>
  <c r="N54" i="178"/>
  <c r="M54" i="178"/>
  <c r="L54" i="178"/>
  <c r="K54" i="178"/>
  <c r="J54" i="178"/>
  <c r="I54" i="178"/>
  <c r="H54" i="178"/>
  <c r="G54" i="178"/>
  <c r="F54" i="178"/>
  <c r="E54" i="178"/>
  <c r="D54" i="178"/>
  <c r="C54" i="178"/>
  <c r="W53" i="178"/>
  <c r="V53" i="178"/>
  <c r="U53" i="178"/>
  <c r="T53" i="178"/>
  <c r="S53" i="178"/>
  <c r="R53" i="178"/>
  <c r="Q53" i="178"/>
  <c r="P53" i="178"/>
  <c r="O53" i="178"/>
  <c r="N53" i="178"/>
  <c r="M53" i="178"/>
  <c r="L53" i="178"/>
  <c r="K53" i="178"/>
  <c r="J53" i="178"/>
  <c r="I53" i="178"/>
  <c r="H53" i="178"/>
  <c r="G53" i="178"/>
  <c r="F53" i="178"/>
  <c r="E53" i="178"/>
  <c r="D53" i="178"/>
  <c r="C53" i="178"/>
  <c r="W52" i="178"/>
  <c r="V52" i="178"/>
  <c r="U52" i="178"/>
  <c r="T52" i="178"/>
  <c r="S52" i="178"/>
  <c r="R52" i="178"/>
  <c r="Q52" i="178"/>
  <c r="P52" i="178"/>
  <c r="O52" i="178"/>
  <c r="N52" i="178"/>
  <c r="M52" i="178"/>
  <c r="L52" i="178"/>
  <c r="K52" i="178"/>
  <c r="J52" i="178"/>
  <c r="I52" i="178"/>
  <c r="H52" i="178"/>
  <c r="G52" i="178"/>
  <c r="F52" i="178"/>
  <c r="E52" i="178"/>
  <c r="D52" i="178"/>
  <c r="C52" i="178"/>
  <c r="B54" i="178"/>
  <c r="B53" i="178"/>
  <c r="B52" i="178"/>
  <c r="X54" i="175"/>
  <c r="W54" i="175"/>
  <c r="V54" i="175"/>
  <c r="U54" i="175"/>
  <c r="T54" i="175"/>
  <c r="S54" i="175"/>
  <c r="R54" i="175"/>
  <c r="Q54" i="175"/>
  <c r="P54" i="175"/>
  <c r="O54" i="175"/>
  <c r="N54" i="175"/>
  <c r="M54" i="175"/>
  <c r="L54" i="175"/>
  <c r="K54" i="175"/>
  <c r="J54" i="175"/>
  <c r="I54" i="175"/>
  <c r="H54" i="175"/>
  <c r="G54" i="175"/>
  <c r="F54" i="175"/>
  <c r="E54" i="175"/>
  <c r="D54" i="175"/>
  <c r="C54" i="175"/>
  <c r="B54" i="175"/>
  <c r="W53" i="175"/>
  <c r="V53" i="175"/>
  <c r="U53" i="175"/>
  <c r="T53" i="175"/>
  <c r="S53" i="175"/>
  <c r="R53" i="175"/>
  <c r="Q53" i="175"/>
  <c r="P53" i="175"/>
  <c r="O53" i="175"/>
  <c r="N53" i="175"/>
  <c r="M53" i="175"/>
  <c r="L53" i="175"/>
  <c r="K53" i="175"/>
  <c r="J53" i="175"/>
  <c r="I53" i="175"/>
  <c r="H53" i="175"/>
  <c r="G53" i="175"/>
  <c r="F53" i="175"/>
  <c r="E53" i="175"/>
  <c r="D53" i="175"/>
  <c r="C53" i="175"/>
  <c r="B53" i="175"/>
  <c r="W52" i="175"/>
  <c r="V52" i="175"/>
  <c r="U52" i="175"/>
  <c r="T52" i="175"/>
  <c r="S52" i="175"/>
  <c r="R52" i="175"/>
  <c r="Q52" i="175"/>
  <c r="P52" i="175"/>
  <c r="O52" i="175"/>
  <c r="N52" i="175"/>
  <c r="M52" i="175"/>
  <c r="L52" i="175"/>
  <c r="K52" i="175"/>
  <c r="J52" i="175"/>
  <c r="I52" i="175"/>
  <c r="H52" i="175"/>
  <c r="G52" i="175"/>
  <c r="F52" i="175"/>
  <c r="E52" i="175"/>
  <c r="D52" i="175"/>
  <c r="C52" i="175"/>
  <c r="B52" i="175"/>
  <c r="G69" i="29"/>
  <c r="G73" i="29"/>
  <c r="G72" i="29"/>
  <c r="G71" i="29"/>
  <c r="G70" i="29"/>
  <c r="F73" i="29"/>
  <c r="E73" i="29"/>
  <c r="D73" i="29"/>
  <c r="C73" i="29"/>
  <c r="B73" i="29"/>
  <c r="F72" i="29"/>
  <c r="E72" i="29"/>
  <c r="D72" i="29"/>
  <c r="C72" i="29"/>
  <c r="B72" i="29"/>
  <c r="F71" i="29"/>
  <c r="E71" i="29"/>
  <c r="D71" i="29"/>
  <c r="C71" i="29"/>
  <c r="B71" i="29"/>
  <c r="F70" i="29"/>
  <c r="E70" i="29"/>
  <c r="D70" i="29"/>
  <c r="C70" i="29"/>
  <c r="B70" i="29"/>
  <c r="F69" i="29"/>
  <c r="E69" i="29"/>
  <c r="D69" i="29"/>
  <c r="C69" i="29"/>
  <c r="B69" i="29"/>
  <c r="C54" i="7" l="1"/>
  <c r="J54" i="7"/>
  <c r="H54" i="7"/>
  <c r="G54" i="7"/>
  <c r="E54" i="7"/>
  <c r="B54" i="7"/>
  <c r="F53" i="2" l="1"/>
  <c r="E53" i="2"/>
  <c r="D53" i="2"/>
  <c r="C53" i="2"/>
  <c r="B53" i="2"/>
  <c r="F58" i="2"/>
  <c r="F57" i="2"/>
  <c r="F56" i="2"/>
  <c r="F55" i="2"/>
  <c r="E58" i="2"/>
  <c r="D58" i="2"/>
  <c r="C58" i="2"/>
  <c r="E57" i="2"/>
  <c r="D57" i="2"/>
  <c r="C57" i="2"/>
  <c r="E56" i="2"/>
  <c r="D56" i="2"/>
  <c r="C56" i="2"/>
  <c r="E55" i="2"/>
  <c r="D55" i="2"/>
  <c r="C55" i="2"/>
  <c r="B58" i="2"/>
  <c r="B57" i="2"/>
  <c r="B56" i="2"/>
  <c r="B55" i="2"/>
  <c r="M53" i="174" l="1"/>
  <c r="M52" i="174"/>
  <c r="M51" i="174"/>
  <c r="M50" i="174"/>
  <c r="M49" i="174"/>
  <c r="M48" i="174"/>
  <c r="M47" i="174"/>
  <c r="L53" i="174"/>
  <c r="K53" i="174"/>
  <c r="J53" i="174"/>
  <c r="I53" i="174"/>
  <c r="H53" i="174"/>
  <c r="G53" i="174"/>
  <c r="F53" i="174"/>
  <c r="E53" i="174"/>
  <c r="D53" i="174"/>
  <c r="C53" i="174"/>
  <c r="B53" i="174"/>
  <c r="L52" i="174"/>
  <c r="K52" i="174"/>
  <c r="J52" i="174"/>
  <c r="I52" i="174"/>
  <c r="H52" i="174"/>
  <c r="G52" i="174"/>
  <c r="F52" i="174"/>
  <c r="E52" i="174"/>
  <c r="D52" i="174"/>
  <c r="C52" i="174"/>
  <c r="B52" i="174"/>
  <c r="L51" i="174"/>
  <c r="K51" i="174"/>
  <c r="J51" i="174"/>
  <c r="I51" i="174"/>
  <c r="H51" i="174"/>
  <c r="G51" i="174"/>
  <c r="F51" i="174"/>
  <c r="E51" i="174"/>
  <c r="D51" i="174"/>
  <c r="C51" i="174"/>
  <c r="B51" i="174"/>
  <c r="L50" i="174"/>
  <c r="K50" i="174"/>
  <c r="J50" i="174"/>
  <c r="I50" i="174"/>
  <c r="H50" i="174"/>
  <c r="G50" i="174"/>
  <c r="F50" i="174"/>
  <c r="E50" i="174"/>
  <c r="D50" i="174"/>
  <c r="C50" i="174"/>
  <c r="B50" i="174"/>
  <c r="L49" i="174"/>
  <c r="K49" i="174"/>
  <c r="J49" i="174"/>
  <c r="I49" i="174"/>
  <c r="H49" i="174"/>
  <c r="G49" i="174"/>
  <c r="F49" i="174"/>
  <c r="E49" i="174"/>
  <c r="D49" i="174"/>
  <c r="C49" i="174"/>
  <c r="B49" i="174"/>
  <c r="L48" i="174"/>
  <c r="K48" i="174"/>
  <c r="J48" i="174"/>
  <c r="I48" i="174"/>
  <c r="H48" i="174"/>
  <c r="G48" i="174"/>
  <c r="F48" i="174"/>
  <c r="E48" i="174"/>
  <c r="D48" i="174"/>
  <c r="C48" i="174"/>
  <c r="B48" i="174"/>
  <c r="L47" i="174"/>
  <c r="K47" i="174"/>
  <c r="J47" i="174"/>
  <c r="I47" i="174"/>
  <c r="H47" i="174"/>
  <c r="G47" i="174"/>
  <c r="F47" i="174"/>
  <c r="E47" i="174"/>
  <c r="D47" i="174"/>
  <c r="C47" i="174"/>
  <c r="B47" i="174"/>
  <c r="J54" i="173" l="1"/>
  <c r="H54" i="173"/>
  <c r="E54" i="173"/>
  <c r="C54" i="173"/>
  <c r="B54" i="173"/>
  <c r="J53" i="173"/>
  <c r="H53" i="173"/>
  <c r="E53" i="173"/>
  <c r="C53" i="173"/>
  <c r="B53" i="173"/>
  <c r="J52" i="173"/>
  <c r="H52" i="173"/>
  <c r="E52" i="173"/>
  <c r="C52" i="173"/>
  <c r="B52" i="173"/>
  <c r="J51" i="173"/>
  <c r="H51" i="173"/>
  <c r="E51" i="173"/>
  <c r="C51" i="173"/>
  <c r="B51" i="173"/>
  <c r="J50" i="173"/>
  <c r="H50" i="173"/>
  <c r="E50" i="173"/>
  <c r="C50" i="173"/>
  <c r="B50" i="173"/>
  <c r="J49" i="173"/>
  <c r="H49" i="173"/>
  <c r="E49" i="173"/>
  <c r="C49" i="173"/>
  <c r="B49" i="173"/>
  <c r="J48" i="173"/>
  <c r="H48" i="173"/>
  <c r="E48" i="173"/>
  <c r="C48" i="173"/>
  <c r="B48" i="173"/>
  <c r="M44" i="173"/>
  <c r="M54" i="173" s="1"/>
  <c r="L44" i="173"/>
  <c r="L54" i="173" s="1"/>
  <c r="K44" i="173"/>
  <c r="K54" i="173" s="1"/>
  <c r="I44" i="173"/>
  <c r="I54" i="173" s="1"/>
  <c r="G44" i="173"/>
  <c r="G54" i="173" s="1"/>
  <c r="F44" i="173"/>
  <c r="F54" i="173" s="1"/>
  <c r="D44" i="173"/>
  <c r="D54" i="173" s="1"/>
  <c r="M43" i="173"/>
  <c r="L43" i="173"/>
  <c r="K43" i="173"/>
  <c r="I43" i="173"/>
  <c r="G43" i="173"/>
  <c r="F43" i="173"/>
  <c r="D43" i="173"/>
  <c r="M42" i="173"/>
  <c r="L42" i="173"/>
  <c r="K42" i="173"/>
  <c r="I42" i="173"/>
  <c r="G42" i="173"/>
  <c r="F42" i="173"/>
  <c r="D42" i="173"/>
  <c r="M41" i="173"/>
  <c r="L41" i="173"/>
  <c r="K41" i="173"/>
  <c r="I41" i="173"/>
  <c r="G41" i="173"/>
  <c r="F41" i="173"/>
  <c r="D41" i="173"/>
  <c r="M40" i="173"/>
  <c r="L40" i="173"/>
  <c r="K40" i="173"/>
  <c r="I40" i="173"/>
  <c r="G40" i="173"/>
  <c r="F40" i="173"/>
  <c r="D40" i="173"/>
  <c r="M39" i="173"/>
  <c r="L39" i="173"/>
  <c r="K39" i="173"/>
  <c r="I39" i="173"/>
  <c r="G39" i="173"/>
  <c r="F39" i="173"/>
  <c r="D39" i="173"/>
  <c r="M38" i="173"/>
  <c r="L38" i="173"/>
  <c r="K38" i="173"/>
  <c r="I38" i="173"/>
  <c r="G38" i="173"/>
  <c r="F38" i="173"/>
  <c r="D38" i="173"/>
  <c r="M37" i="173"/>
  <c r="L37" i="173"/>
  <c r="K37" i="173"/>
  <c r="I37" i="173"/>
  <c r="G37" i="173"/>
  <c r="F37" i="173"/>
  <c r="D37" i="173"/>
  <c r="M36" i="173"/>
  <c r="L36" i="173"/>
  <c r="K36" i="173"/>
  <c r="I36" i="173"/>
  <c r="G36" i="173"/>
  <c r="F36" i="173"/>
  <c r="D36" i="173"/>
  <c r="M35" i="173"/>
  <c r="L35" i="173"/>
  <c r="K35" i="173"/>
  <c r="I35" i="173"/>
  <c r="G35" i="173"/>
  <c r="F35" i="173"/>
  <c r="D35" i="173"/>
  <c r="M34" i="173"/>
  <c r="L34" i="173"/>
  <c r="K34" i="173"/>
  <c r="I34" i="173"/>
  <c r="G34" i="173"/>
  <c r="F34" i="173"/>
  <c r="D34" i="173"/>
  <c r="M33" i="173"/>
  <c r="M53" i="173" s="1"/>
  <c r="L33" i="173"/>
  <c r="L53" i="173" s="1"/>
  <c r="K33" i="173"/>
  <c r="K53" i="173" s="1"/>
  <c r="I33" i="173"/>
  <c r="I53" i="173" s="1"/>
  <c r="G33" i="173"/>
  <c r="G53" i="173" s="1"/>
  <c r="F33" i="173"/>
  <c r="F53" i="173" s="1"/>
  <c r="D33" i="173"/>
  <c r="D53" i="173" s="1"/>
  <c r="M32" i="173"/>
  <c r="L32" i="173"/>
  <c r="K32" i="173"/>
  <c r="I32" i="173"/>
  <c r="G32" i="173"/>
  <c r="F32" i="173"/>
  <c r="D32" i="173"/>
  <c r="M31" i="173"/>
  <c r="L31" i="173"/>
  <c r="K31" i="173"/>
  <c r="I31" i="173"/>
  <c r="G31" i="173"/>
  <c r="F31" i="173"/>
  <c r="D31" i="173"/>
  <c r="M30" i="173"/>
  <c r="L30" i="173"/>
  <c r="K30" i="173"/>
  <c r="I30" i="173"/>
  <c r="G30" i="173"/>
  <c r="F30" i="173"/>
  <c r="D30" i="173"/>
  <c r="M29" i="173"/>
  <c r="L29" i="173"/>
  <c r="K29" i="173"/>
  <c r="I29" i="173"/>
  <c r="G29" i="173"/>
  <c r="F29" i="173"/>
  <c r="D29" i="173"/>
  <c r="M28" i="173"/>
  <c r="L28" i="173"/>
  <c r="K28" i="173"/>
  <c r="I28" i="173"/>
  <c r="G28" i="173"/>
  <c r="F28" i="173"/>
  <c r="D28" i="173"/>
  <c r="M27" i="173"/>
  <c r="L27" i="173"/>
  <c r="K27" i="173"/>
  <c r="I27" i="173"/>
  <c r="G27" i="173"/>
  <c r="F27" i="173"/>
  <c r="D27" i="173"/>
  <c r="M26" i="173"/>
  <c r="L26" i="173"/>
  <c r="K26" i="173"/>
  <c r="I26" i="173"/>
  <c r="G26" i="173"/>
  <c r="F26" i="173"/>
  <c r="D26" i="173"/>
  <c r="M25" i="173"/>
  <c r="M52" i="173" s="1"/>
  <c r="L25" i="173"/>
  <c r="L52" i="173" s="1"/>
  <c r="K25" i="173"/>
  <c r="K52" i="173" s="1"/>
  <c r="I25" i="173"/>
  <c r="I49" i="173" s="1"/>
  <c r="G25" i="173"/>
  <c r="G49" i="173" s="1"/>
  <c r="F25" i="173"/>
  <c r="F49" i="173" s="1"/>
  <c r="D25" i="173"/>
  <c r="D52" i="173" s="1"/>
  <c r="M24" i="173"/>
  <c r="L24" i="173"/>
  <c r="K24" i="173"/>
  <c r="I24" i="173"/>
  <c r="G24" i="173"/>
  <c r="F24" i="173"/>
  <c r="D24" i="173"/>
  <c r="M23" i="173"/>
  <c r="L23" i="173"/>
  <c r="K23" i="173"/>
  <c r="I23" i="173"/>
  <c r="G23" i="173"/>
  <c r="F23" i="173"/>
  <c r="D23" i="173"/>
  <c r="M22" i="173"/>
  <c r="L22" i="173"/>
  <c r="K22" i="173"/>
  <c r="I22" i="173"/>
  <c r="G22" i="173"/>
  <c r="F22" i="173"/>
  <c r="D22" i="173"/>
  <c r="M21" i="173"/>
  <c r="L21" i="173"/>
  <c r="K21" i="173"/>
  <c r="I21" i="173"/>
  <c r="G21" i="173"/>
  <c r="F21" i="173"/>
  <c r="D21" i="173"/>
  <c r="M20" i="173"/>
  <c r="L20" i="173"/>
  <c r="K20" i="173"/>
  <c r="I20" i="173"/>
  <c r="G20" i="173"/>
  <c r="F20" i="173"/>
  <c r="D20" i="173"/>
  <c r="M19" i="173"/>
  <c r="L19" i="173"/>
  <c r="K19" i="173"/>
  <c r="I19" i="173"/>
  <c r="G19" i="173"/>
  <c r="F19" i="173"/>
  <c r="D19" i="173"/>
  <c r="M18" i="173"/>
  <c r="L18" i="173"/>
  <c r="K18" i="173"/>
  <c r="I18" i="173"/>
  <c r="G18" i="173"/>
  <c r="F18" i="173"/>
  <c r="D18" i="173"/>
  <c r="M17" i="173"/>
  <c r="L17" i="173"/>
  <c r="K17" i="173"/>
  <c r="I17" i="173"/>
  <c r="G17" i="173"/>
  <c r="F17" i="173"/>
  <c r="D17" i="173"/>
  <c r="M16" i="173"/>
  <c r="L16" i="173"/>
  <c r="K16" i="173"/>
  <c r="I16" i="173"/>
  <c r="G16" i="173"/>
  <c r="F16" i="173"/>
  <c r="D16" i="173"/>
  <c r="M15" i="173"/>
  <c r="L15" i="173"/>
  <c r="K15" i="173"/>
  <c r="I15" i="173"/>
  <c r="G15" i="173"/>
  <c r="F15" i="173"/>
  <c r="D15" i="173"/>
  <c r="M14" i="173"/>
  <c r="M51" i="173" s="1"/>
  <c r="L14" i="173"/>
  <c r="L51" i="173" s="1"/>
  <c r="K14" i="173"/>
  <c r="K51" i="173" s="1"/>
  <c r="I14" i="173"/>
  <c r="I51" i="173" s="1"/>
  <c r="G14" i="173"/>
  <c r="G51" i="173" s="1"/>
  <c r="F14" i="173"/>
  <c r="F51" i="173" s="1"/>
  <c r="D14" i="173"/>
  <c r="D51" i="173" s="1"/>
  <c r="M13" i="173"/>
  <c r="L13" i="173"/>
  <c r="K13" i="173"/>
  <c r="I13" i="173"/>
  <c r="G13" i="173"/>
  <c r="F13" i="173"/>
  <c r="D13" i="173"/>
  <c r="M12" i="173"/>
  <c r="L12" i="173"/>
  <c r="K12" i="173"/>
  <c r="I12" i="173"/>
  <c r="G12" i="173"/>
  <c r="F12" i="173"/>
  <c r="D12" i="173"/>
  <c r="M11" i="173"/>
  <c r="L11" i="173"/>
  <c r="K11" i="173"/>
  <c r="I11" i="173"/>
  <c r="G11" i="173"/>
  <c r="F11" i="173"/>
  <c r="D11" i="173"/>
  <c r="M10" i="173"/>
  <c r="L10" i="173"/>
  <c r="K10" i="173"/>
  <c r="I10" i="173"/>
  <c r="G10" i="173"/>
  <c r="F10" i="173"/>
  <c r="D10" i="173"/>
  <c r="M9" i="173"/>
  <c r="L9" i="173"/>
  <c r="K9" i="173"/>
  <c r="I9" i="173"/>
  <c r="G9" i="173"/>
  <c r="F9" i="173"/>
  <c r="D9" i="173"/>
  <c r="M8" i="173"/>
  <c r="L8" i="173"/>
  <c r="K8" i="173"/>
  <c r="I8" i="173"/>
  <c r="G8" i="173"/>
  <c r="F8" i="173"/>
  <c r="D8" i="173"/>
  <c r="M7" i="173"/>
  <c r="L7" i="173"/>
  <c r="K7" i="173"/>
  <c r="I7" i="173"/>
  <c r="G7" i="173"/>
  <c r="F7" i="173"/>
  <c r="D7" i="173"/>
  <c r="M6" i="173"/>
  <c r="L6" i="173"/>
  <c r="K6" i="173"/>
  <c r="I6" i="173"/>
  <c r="G6" i="173"/>
  <c r="G48" i="173" s="1"/>
  <c r="F6" i="173"/>
  <c r="F48" i="173" s="1"/>
  <c r="D6" i="173"/>
  <c r="G51" i="171"/>
  <c r="F51" i="171"/>
  <c r="E51" i="171"/>
  <c r="D51" i="171"/>
  <c r="C51" i="171"/>
  <c r="B51" i="171"/>
  <c r="G50" i="171"/>
  <c r="F50" i="171"/>
  <c r="E50" i="171"/>
  <c r="D50" i="171"/>
  <c r="C50" i="171"/>
  <c r="B50" i="171"/>
  <c r="G49" i="171"/>
  <c r="F49" i="171"/>
  <c r="E49" i="171"/>
  <c r="D49" i="171"/>
  <c r="C49" i="171"/>
  <c r="B49" i="171"/>
  <c r="G48" i="171"/>
  <c r="F48" i="171"/>
  <c r="E48" i="171"/>
  <c r="D48" i="171"/>
  <c r="C48" i="171"/>
  <c r="B48" i="171"/>
  <c r="G47" i="171"/>
  <c r="F47" i="171"/>
  <c r="E47" i="171"/>
  <c r="D47" i="171"/>
  <c r="C47" i="171"/>
  <c r="B47" i="171"/>
  <c r="G46" i="171"/>
  <c r="F46" i="171"/>
  <c r="E46" i="171"/>
  <c r="D46" i="171"/>
  <c r="C46" i="171"/>
  <c r="B46" i="171"/>
  <c r="G45" i="171"/>
  <c r="F45" i="171"/>
  <c r="E45" i="171"/>
  <c r="D45" i="171"/>
  <c r="C45" i="171"/>
  <c r="B45" i="171"/>
  <c r="G48" i="170"/>
  <c r="F48" i="170"/>
  <c r="E48" i="170"/>
  <c r="D48" i="170"/>
  <c r="C48" i="170"/>
  <c r="B48" i="170"/>
  <c r="G47" i="170"/>
  <c r="F47" i="170"/>
  <c r="E47" i="170"/>
  <c r="D47" i="170"/>
  <c r="C47" i="170"/>
  <c r="B47" i="170"/>
  <c r="G46" i="170"/>
  <c r="F46" i="170"/>
  <c r="E46" i="170"/>
  <c r="D46" i="170"/>
  <c r="C46" i="170"/>
  <c r="B46" i="170"/>
  <c r="H44" i="169"/>
  <c r="G44" i="169"/>
  <c r="H43" i="169"/>
  <c r="G43" i="169"/>
  <c r="H42" i="169"/>
  <c r="G42" i="169"/>
  <c r="H41" i="169"/>
  <c r="G41" i="169"/>
  <c r="H40" i="169"/>
  <c r="G40" i="169"/>
  <c r="H39" i="169"/>
  <c r="G39" i="169"/>
  <c r="H38" i="169"/>
  <c r="G38" i="169"/>
  <c r="H37" i="169"/>
  <c r="G37" i="169"/>
  <c r="H36" i="169"/>
  <c r="G36" i="169"/>
  <c r="H35" i="169"/>
  <c r="G35" i="169"/>
  <c r="H34" i="169"/>
  <c r="G34" i="169"/>
  <c r="H33" i="169"/>
  <c r="H53" i="169" s="1"/>
  <c r="G33" i="169"/>
  <c r="G53" i="169" s="1"/>
  <c r="H32" i="169"/>
  <c r="G32" i="169"/>
  <c r="H31" i="169"/>
  <c r="G31" i="169"/>
  <c r="H30" i="169"/>
  <c r="G30" i="169"/>
  <c r="H29" i="169"/>
  <c r="G29" i="169"/>
  <c r="H28" i="169"/>
  <c r="G28" i="169"/>
  <c r="H27" i="169"/>
  <c r="G27" i="169"/>
  <c r="H26" i="169"/>
  <c r="G26" i="169"/>
  <c r="H25" i="169"/>
  <c r="G25" i="169"/>
  <c r="H24" i="169"/>
  <c r="G24" i="169"/>
  <c r="H23" i="169"/>
  <c r="G23" i="169"/>
  <c r="H22" i="169"/>
  <c r="G22" i="169"/>
  <c r="H21" i="169"/>
  <c r="G21" i="169"/>
  <c r="H20" i="169"/>
  <c r="G20" i="169"/>
  <c r="H19" i="169"/>
  <c r="G19" i="169"/>
  <c r="H18" i="169"/>
  <c r="G18" i="169"/>
  <c r="H17" i="169"/>
  <c r="G17" i="169"/>
  <c r="H16" i="169"/>
  <c r="G16" i="169"/>
  <c r="H15" i="169"/>
  <c r="G15" i="169"/>
  <c r="H14" i="169"/>
  <c r="G14" i="169"/>
  <c r="H13" i="169"/>
  <c r="G13" i="169"/>
  <c r="H12" i="169"/>
  <c r="G12" i="169"/>
  <c r="H11" i="169"/>
  <c r="G11" i="169"/>
  <c r="H10" i="169"/>
  <c r="G10" i="169"/>
  <c r="H9" i="169"/>
  <c r="G9" i="169"/>
  <c r="H8" i="169"/>
  <c r="G8" i="169"/>
  <c r="H7" i="169"/>
  <c r="G7" i="169"/>
  <c r="H6" i="169"/>
  <c r="G6" i="169"/>
  <c r="H48" i="169"/>
  <c r="H47" i="169"/>
  <c r="F53" i="169"/>
  <c r="E53" i="169"/>
  <c r="D53" i="169"/>
  <c r="C53" i="169"/>
  <c r="B53" i="169"/>
  <c r="F52" i="169"/>
  <c r="E52" i="169"/>
  <c r="D52" i="169"/>
  <c r="C52" i="169"/>
  <c r="B52" i="169"/>
  <c r="F51" i="169"/>
  <c r="E51" i="169"/>
  <c r="D51" i="169"/>
  <c r="C51" i="169"/>
  <c r="B51" i="169"/>
  <c r="F50" i="169"/>
  <c r="E50" i="169"/>
  <c r="D50" i="169"/>
  <c r="C50" i="169"/>
  <c r="B50" i="169"/>
  <c r="F49" i="169"/>
  <c r="E49" i="169"/>
  <c r="D49" i="169"/>
  <c r="C49" i="169"/>
  <c r="B49" i="169"/>
  <c r="F48" i="169"/>
  <c r="E48" i="169"/>
  <c r="D48" i="169"/>
  <c r="C48" i="169"/>
  <c r="B48" i="169"/>
  <c r="F47" i="169"/>
  <c r="E47" i="169"/>
  <c r="D47" i="169"/>
  <c r="C47" i="169"/>
  <c r="B47" i="169"/>
  <c r="H50" i="169"/>
  <c r="C53" i="166"/>
  <c r="C52" i="166"/>
  <c r="C51" i="166"/>
  <c r="C50" i="166"/>
  <c r="C49" i="166"/>
  <c r="C48" i="166"/>
  <c r="C47" i="166"/>
  <c r="B53" i="166"/>
  <c r="B52" i="166"/>
  <c r="B51" i="166"/>
  <c r="B50" i="166"/>
  <c r="B49" i="166"/>
  <c r="B48" i="166"/>
  <c r="B47" i="166"/>
  <c r="F50" i="173" l="1"/>
  <c r="F52" i="173"/>
  <c r="K49" i="173"/>
  <c r="G50" i="173"/>
  <c r="G52" i="173"/>
  <c r="D49" i="173"/>
  <c r="L49" i="173"/>
  <c r="I48" i="173"/>
  <c r="M49" i="173"/>
  <c r="I50" i="173"/>
  <c r="I52" i="173"/>
  <c r="K48" i="173"/>
  <c r="K50" i="173"/>
  <c r="D48" i="173"/>
  <c r="L48" i="173"/>
  <c r="D50" i="173"/>
  <c r="L50" i="173"/>
  <c r="M48" i="173"/>
  <c r="M50" i="173"/>
  <c r="G50" i="169"/>
  <c r="G52" i="169"/>
  <c r="H52" i="169"/>
  <c r="G49" i="169"/>
  <c r="G48" i="169"/>
  <c r="G51" i="169"/>
  <c r="H51" i="169"/>
  <c r="H49" i="169"/>
  <c r="G47" i="169"/>
  <c r="F53" i="166"/>
  <c r="E53" i="166"/>
  <c r="D53" i="166"/>
  <c r="F52" i="166"/>
  <c r="E52" i="166"/>
  <c r="D52" i="166"/>
  <c r="F51" i="166"/>
  <c r="E51" i="166"/>
  <c r="D51" i="166"/>
  <c r="F50" i="166"/>
  <c r="E50" i="166"/>
  <c r="D50" i="166"/>
  <c r="F49" i="166"/>
  <c r="E49" i="166"/>
  <c r="D49" i="166"/>
  <c r="F48" i="166"/>
  <c r="E48" i="166"/>
  <c r="D48" i="166"/>
  <c r="F47" i="166"/>
  <c r="E47" i="166"/>
  <c r="D47" i="166"/>
  <c r="H44" i="166"/>
  <c r="H53" i="166" s="1"/>
  <c r="G44" i="166"/>
  <c r="G53" i="166" s="1"/>
  <c r="H43" i="166"/>
  <c r="G43" i="166"/>
  <c r="H42" i="166"/>
  <c r="G42" i="166"/>
  <c r="H41" i="166"/>
  <c r="G41" i="166"/>
  <c r="H40" i="166"/>
  <c r="G40" i="166"/>
  <c r="H39" i="166"/>
  <c r="G39" i="166"/>
  <c r="H38" i="166"/>
  <c r="G38" i="166"/>
  <c r="H37" i="166"/>
  <c r="G37" i="166"/>
  <c r="H36" i="166"/>
  <c r="G36" i="166"/>
  <c r="H35" i="166"/>
  <c r="G35" i="166"/>
  <c r="H34" i="166"/>
  <c r="G34" i="166"/>
  <c r="H33" i="166"/>
  <c r="G33" i="166"/>
  <c r="H32" i="166"/>
  <c r="G32" i="166"/>
  <c r="H31" i="166"/>
  <c r="G31" i="166"/>
  <c r="H30" i="166"/>
  <c r="G30" i="166"/>
  <c r="H29" i="166"/>
  <c r="G29" i="166"/>
  <c r="H28" i="166"/>
  <c r="G28" i="166"/>
  <c r="H27" i="166"/>
  <c r="G27" i="166"/>
  <c r="H26" i="166"/>
  <c r="G26" i="166"/>
  <c r="H25" i="166"/>
  <c r="G25" i="166"/>
  <c r="H24" i="166"/>
  <c r="G24" i="166"/>
  <c r="H23" i="166"/>
  <c r="G23" i="166"/>
  <c r="H22" i="166"/>
  <c r="G22" i="166"/>
  <c r="H21" i="166"/>
  <c r="G21" i="166"/>
  <c r="H20" i="166"/>
  <c r="G20" i="166"/>
  <c r="H19" i="166"/>
  <c r="G19" i="166"/>
  <c r="H18" i="166"/>
  <c r="G18" i="166"/>
  <c r="H17" i="166"/>
  <c r="G17" i="166"/>
  <c r="H16" i="166"/>
  <c r="G16" i="166"/>
  <c r="H15" i="166"/>
  <c r="G15" i="166"/>
  <c r="H14" i="166"/>
  <c r="G14" i="166"/>
  <c r="H13" i="166"/>
  <c r="G13" i="166"/>
  <c r="H12" i="166"/>
  <c r="G12" i="166"/>
  <c r="H11" i="166"/>
  <c r="G11" i="166"/>
  <c r="H10" i="166"/>
  <c r="G10" i="166"/>
  <c r="H9" i="166"/>
  <c r="G9" i="166"/>
  <c r="H8" i="166"/>
  <c r="G8" i="166"/>
  <c r="H7" i="166"/>
  <c r="G7" i="166"/>
  <c r="H6" i="166"/>
  <c r="G6" i="166"/>
  <c r="G52" i="166" l="1"/>
  <c r="H52" i="166"/>
  <c r="G47" i="166"/>
  <c r="G50" i="166"/>
  <c r="H47" i="166"/>
  <c r="H50" i="166"/>
  <c r="G48" i="166"/>
  <c r="H48" i="166"/>
  <c r="G51" i="166"/>
  <c r="H51" i="166"/>
  <c r="G49" i="166"/>
  <c r="H49" i="166"/>
  <c r="G34" i="92" l="1"/>
  <c r="F34" i="92"/>
  <c r="E34" i="92"/>
  <c r="D34" i="92"/>
  <c r="C34" i="92"/>
  <c r="B34" i="92"/>
  <c r="G33" i="92"/>
  <c r="F33" i="92"/>
  <c r="E33" i="92"/>
  <c r="D33" i="92"/>
  <c r="C33" i="92"/>
  <c r="B33" i="92"/>
  <c r="G32" i="92"/>
  <c r="F32" i="92"/>
  <c r="E32" i="92"/>
  <c r="D32" i="92"/>
  <c r="C32" i="92"/>
  <c r="B32" i="92"/>
  <c r="G31" i="92"/>
  <c r="F31" i="92"/>
  <c r="E31" i="92"/>
  <c r="D31" i="92"/>
  <c r="B31" i="92"/>
  <c r="G30" i="92"/>
  <c r="F30" i="92"/>
  <c r="E30" i="92"/>
  <c r="D30" i="92"/>
  <c r="B30" i="92"/>
  <c r="B13" i="88" l="1"/>
  <c r="B14" i="88"/>
  <c r="B15" i="88"/>
  <c r="B16" i="88"/>
  <c r="F62" i="41"/>
  <c r="F51" i="3" l="1"/>
  <c r="F54" i="2" l="1"/>
  <c r="E54" i="2"/>
  <c r="D54" i="2"/>
  <c r="C54" i="2"/>
  <c r="B54" i="2"/>
  <c r="S90" i="67" l="1"/>
  <c r="Q90" i="67"/>
  <c r="O90" i="67"/>
  <c r="M90" i="67"/>
  <c r="K90" i="67"/>
  <c r="I90" i="67"/>
  <c r="G90" i="67"/>
  <c r="S89" i="67"/>
  <c r="Q89" i="67"/>
  <c r="O89" i="67"/>
  <c r="M89" i="67"/>
  <c r="K89" i="67"/>
  <c r="I89" i="67"/>
  <c r="G89" i="67"/>
  <c r="E90" i="67"/>
  <c r="E89" i="67"/>
  <c r="S47" i="67" l="1"/>
  <c r="R47" i="67"/>
  <c r="Q47" i="67"/>
  <c r="P47" i="67"/>
  <c r="O47" i="67"/>
  <c r="N47" i="67"/>
  <c r="M47" i="67"/>
  <c r="L47" i="67"/>
  <c r="K47" i="67"/>
  <c r="J47" i="67"/>
  <c r="I47" i="67"/>
  <c r="H47" i="67"/>
  <c r="G47" i="67"/>
  <c r="F47" i="67"/>
  <c r="E47" i="67"/>
  <c r="D47" i="67"/>
  <c r="S46" i="67"/>
  <c r="Q46" i="67"/>
  <c r="O46" i="67"/>
  <c r="M46" i="67"/>
  <c r="K46" i="67"/>
  <c r="I46" i="67"/>
  <c r="G46" i="67"/>
  <c r="E46" i="67"/>
  <c r="S45" i="67"/>
  <c r="R45" i="67"/>
  <c r="Q45" i="67"/>
  <c r="P45" i="67"/>
  <c r="O45" i="67"/>
  <c r="N45" i="67"/>
  <c r="M45" i="67"/>
  <c r="L45" i="67"/>
  <c r="K45" i="67"/>
  <c r="J45" i="67"/>
  <c r="I45" i="67"/>
  <c r="H45" i="67"/>
  <c r="G45" i="67"/>
  <c r="F45" i="67"/>
  <c r="E45" i="67"/>
  <c r="D45" i="67"/>
  <c r="S44" i="67"/>
  <c r="Q44" i="67"/>
  <c r="O44" i="67"/>
  <c r="M44" i="67"/>
  <c r="K44" i="67"/>
  <c r="I44" i="67"/>
  <c r="G44" i="67"/>
  <c r="E44" i="67"/>
  <c r="C47" i="67"/>
  <c r="C46" i="67"/>
  <c r="C45" i="67"/>
  <c r="C44" i="67"/>
  <c r="B47" i="67"/>
  <c r="B45" i="67"/>
  <c r="O51" i="39" l="1"/>
  <c r="M51" i="39"/>
  <c r="L51" i="39"/>
  <c r="K51" i="39"/>
  <c r="J51" i="39"/>
  <c r="I51" i="39"/>
  <c r="H51" i="39"/>
  <c r="G51" i="39"/>
  <c r="F51" i="39"/>
  <c r="E51" i="39"/>
  <c r="D51" i="39"/>
  <c r="C51" i="39"/>
  <c r="O50" i="39"/>
  <c r="M50" i="39"/>
  <c r="L50" i="39"/>
  <c r="K50" i="39"/>
  <c r="J50" i="39"/>
  <c r="I50" i="39"/>
  <c r="H50" i="39"/>
  <c r="G50" i="39"/>
  <c r="F50" i="39"/>
  <c r="E50" i="39"/>
  <c r="D50" i="39"/>
  <c r="C50" i="39"/>
  <c r="O49" i="39"/>
  <c r="M49" i="39"/>
  <c r="L49" i="39"/>
  <c r="K49" i="39"/>
  <c r="J49" i="39"/>
  <c r="I49" i="39"/>
  <c r="H49" i="39"/>
  <c r="G49" i="39"/>
  <c r="F49" i="39"/>
  <c r="E49" i="39"/>
  <c r="D49" i="39"/>
  <c r="C49" i="39"/>
  <c r="O48" i="39"/>
  <c r="M48" i="39"/>
  <c r="L48" i="39"/>
  <c r="K48" i="39"/>
  <c r="J48" i="39"/>
  <c r="I48" i="39"/>
  <c r="H48" i="39"/>
  <c r="G48" i="39"/>
  <c r="F48" i="39"/>
  <c r="E48" i="39"/>
  <c r="D48" i="39"/>
  <c r="C48" i="39"/>
  <c r="B51" i="39"/>
  <c r="B50" i="39"/>
  <c r="B49" i="39"/>
  <c r="B48" i="39"/>
  <c r="K52" i="145" l="1"/>
  <c r="J52" i="145"/>
  <c r="I52" i="145"/>
  <c r="H52" i="145"/>
  <c r="G52" i="145"/>
  <c r="F52" i="145"/>
  <c r="E52" i="145"/>
  <c r="D52" i="145"/>
  <c r="C52" i="145"/>
  <c r="K51" i="145"/>
  <c r="J51" i="145"/>
  <c r="I51" i="145"/>
  <c r="H51" i="145"/>
  <c r="G51" i="145"/>
  <c r="F51" i="145"/>
  <c r="E51" i="145"/>
  <c r="D51" i="145"/>
  <c r="C51" i="145"/>
  <c r="K50" i="145"/>
  <c r="J50" i="145"/>
  <c r="I50" i="145"/>
  <c r="H50" i="145"/>
  <c r="G50" i="145"/>
  <c r="F50" i="145"/>
  <c r="E50" i="145"/>
  <c r="D50" i="145"/>
  <c r="C50" i="145"/>
  <c r="B51" i="145"/>
  <c r="B50" i="145"/>
  <c r="F100" i="145"/>
  <c r="E100" i="145"/>
  <c r="D100" i="145"/>
  <c r="C100" i="145"/>
  <c r="B100" i="145"/>
  <c r="F99" i="145"/>
  <c r="E99" i="145"/>
  <c r="D99" i="145"/>
  <c r="C99" i="145"/>
  <c r="B99" i="145"/>
  <c r="F98" i="145"/>
  <c r="E98" i="145"/>
  <c r="D98" i="145"/>
  <c r="C98" i="145"/>
  <c r="B98" i="145"/>
  <c r="F97" i="145"/>
  <c r="E97" i="145"/>
  <c r="D97" i="145"/>
  <c r="C97" i="145"/>
  <c r="B97" i="145"/>
  <c r="F96" i="145"/>
  <c r="E96" i="145"/>
  <c r="D96" i="145"/>
  <c r="C96" i="145"/>
  <c r="B96" i="145"/>
  <c r="F95" i="145"/>
  <c r="E95" i="145"/>
  <c r="D95" i="145"/>
  <c r="C95" i="145"/>
  <c r="B95" i="145"/>
  <c r="F94" i="145"/>
  <c r="E94" i="145"/>
  <c r="D94" i="145"/>
  <c r="C94" i="145"/>
  <c r="B94" i="145"/>
  <c r="F93" i="145"/>
  <c r="E93" i="145"/>
  <c r="D93" i="145"/>
  <c r="C93" i="145"/>
  <c r="B93" i="145"/>
  <c r="F92" i="145"/>
  <c r="E92" i="145"/>
  <c r="D92" i="145"/>
  <c r="C92" i="145"/>
  <c r="B92" i="145"/>
  <c r="F91" i="145"/>
  <c r="E91" i="145"/>
  <c r="D91" i="145"/>
  <c r="C91" i="145"/>
  <c r="B91" i="145"/>
  <c r="F90" i="145"/>
  <c r="E90" i="145"/>
  <c r="D90" i="145"/>
  <c r="C90" i="145"/>
  <c r="B90" i="145"/>
  <c r="F89" i="145"/>
  <c r="E89" i="145"/>
  <c r="D89" i="145"/>
  <c r="C89" i="145"/>
  <c r="B89" i="145"/>
  <c r="F88" i="145"/>
  <c r="E88" i="145"/>
  <c r="D88" i="145"/>
  <c r="C88" i="145"/>
  <c r="B88" i="145"/>
  <c r="F87" i="145"/>
  <c r="E87" i="145"/>
  <c r="D87" i="145"/>
  <c r="C87" i="145"/>
  <c r="B87" i="145"/>
  <c r="F86" i="145"/>
  <c r="E86" i="145"/>
  <c r="D86" i="145"/>
  <c r="C86" i="145"/>
  <c r="B86" i="145"/>
  <c r="F85" i="145"/>
  <c r="E85" i="145"/>
  <c r="D85" i="145"/>
  <c r="C85" i="145"/>
  <c r="B85" i="145"/>
  <c r="F84" i="145"/>
  <c r="E84" i="145"/>
  <c r="D84" i="145"/>
  <c r="C84" i="145"/>
  <c r="B84" i="145"/>
  <c r="F83" i="145"/>
  <c r="E83" i="145"/>
  <c r="D83" i="145"/>
  <c r="C83" i="145"/>
  <c r="B83" i="145"/>
  <c r="F82" i="145"/>
  <c r="E82" i="145"/>
  <c r="D82" i="145"/>
  <c r="C82" i="145"/>
  <c r="B82" i="145"/>
  <c r="F81" i="145"/>
  <c r="E81" i="145"/>
  <c r="D81" i="145"/>
  <c r="C81" i="145"/>
  <c r="B81" i="145"/>
  <c r="F80" i="145"/>
  <c r="E80" i="145"/>
  <c r="D80" i="145"/>
  <c r="C80" i="145"/>
  <c r="B80" i="145"/>
  <c r="F79" i="145"/>
  <c r="E79" i="145"/>
  <c r="D79" i="145"/>
  <c r="C79" i="145"/>
  <c r="B79" i="145"/>
  <c r="F78" i="145"/>
  <c r="E78" i="145"/>
  <c r="D78" i="145"/>
  <c r="C78" i="145"/>
  <c r="B78" i="145"/>
  <c r="F77" i="145"/>
  <c r="E77" i="145"/>
  <c r="D77" i="145"/>
  <c r="C77" i="145"/>
  <c r="B77" i="145"/>
  <c r="F76" i="145"/>
  <c r="E76" i="145"/>
  <c r="D76" i="145"/>
  <c r="C76" i="145"/>
  <c r="B76" i="145"/>
  <c r="F75" i="145"/>
  <c r="E75" i="145"/>
  <c r="D75" i="145"/>
  <c r="C75" i="145"/>
  <c r="B75" i="145"/>
  <c r="F74" i="145"/>
  <c r="E74" i="145"/>
  <c r="D74" i="145"/>
  <c r="C74" i="145"/>
  <c r="B74" i="145"/>
  <c r="F73" i="145"/>
  <c r="E73" i="145"/>
  <c r="D73" i="145"/>
  <c r="C73" i="145"/>
  <c r="B73" i="145"/>
  <c r="F72" i="145"/>
  <c r="E72" i="145"/>
  <c r="D72" i="145"/>
  <c r="C72" i="145"/>
  <c r="B72" i="145"/>
  <c r="F71" i="145"/>
  <c r="E71" i="145"/>
  <c r="D71" i="145"/>
  <c r="C71" i="145"/>
  <c r="B71" i="145"/>
  <c r="F70" i="145"/>
  <c r="E70" i="145"/>
  <c r="D70" i="145"/>
  <c r="C70" i="145"/>
  <c r="B70" i="145"/>
  <c r="F69" i="145"/>
  <c r="E69" i="145"/>
  <c r="D69" i="145"/>
  <c r="C69" i="145"/>
  <c r="B69" i="145"/>
  <c r="F68" i="145"/>
  <c r="E68" i="145"/>
  <c r="D68" i="145"/>
  <c r="C68" i="145"/>
  <c r="B68" i="145"/>
  <c r="F67" i="145"/>
  <c r="E67" i="145"/>
  <c r="D67" i="145"/>
  <c r="C67" i="145"/>
  <c r="B67" i="145"/>
  <c r="F66" i="145"/>
  <c r="E66" i="145"/>
  <c r="D66" i="145"/>
  <c r="C66" i="145"/>
  <c r="B66" i="145"/>
  <c r="F65" i="145"/>
  <c r="E65" i="145"/>
  <c r="D65" i="145"/>
  <c r="C65" i="145"/>
  <c r="B65" i="145"/>
  <c r="F63" i="145"/>
  <c r="E63" i="145"/>
  <c r="D63" i="145"/>
  <c r="C63" i="145"/>
  <c r="B63" i="145"/>
  <c r="F62" i="145"/>
  <c r="E62" i="145"/>
  <c r="D62" i="145"/>
  <c r="C62" i="145"/>
  <c r="B62" i="145"/>
  <c r="F60" i="145"/>
  <c r="E60" i="145"/>
  <c r="D60" i="145"/>
  <c r="C60" i="145"/>
  <c r="B60" i="145"/>
  <c r="F58" i="145"/>
  <c r="E58" i="145"/>
  <c r="D58" i="145"/>
  <c r="C58" i="145"/>
  <c r="B58" i="145"/>
  <c r="B102" i="145" s="1"/>
  <c r="B52" i="145"/>
  <c r="K53" i="144"/>
  <c r="J53" i="144"/>
  <c r="K52" i="144"/>
  <c r="J52" i="144"/>
  <c r="K51" i="144"/>
  <c r="J51" i="144"/>
  <c r="D105" i="144"/>
  <c r="D104" i="144"/>
  <c r="C104" i="144"/>
  <c r="F102" i="144"/>
  <c r="E102" i="144"/>
  <c r="D102" i="144"/>
  <c r="D106" i="144" s="1"/>
  <c r="C102" i="144"/>
  <c r="B102" i="144"/>
  <c r="B104" i="144" s="1"/>
  <c r="F101" i="144"/>
  <c r="E101" i="144"/>
  <c r="D101" i="144"/>
  <c r="C101" i="144"/>
  <c r="B101" i="144"/>
  <c r="F100" i="144"/>
  <c r="E100" i="144"/>
  <c r="D100" i="144"/>
  <c r="C100" i="144"/>
  <c r="B100" i="144"/>
  <c r="F99" i="144"/>
  <c r="E99" i="144"/>
  <c r="D99" i="144"/>
  <c r="C99" i="144"/>
  <c r="B99" i="144"/>
  <c r="F98" i="144"/>
  <c r="E98" i="144"/>
  <c r="D98" i="144"/>
  <c r="C98" i="144"/>
  <c r="B98" i="144"/>
  <c r="F97" i="144"/>
  <c r="E97" i="144"/>
  <c r="D97" i="144"/>
  <c r="C97" i="144"/>
  <c r="B97" i="144"/>
  <c r="F96" i="144"/>
  <c r="E96" i="144"/>
  <c r="D96" i="144"/>
  <c r="C96" i="144"/>
  <c r="B96" i="144"/>
  <c r="F95" i="144"/>
  <c r="E95" i="144"/>
  <c r="D95" i="144"/>
  <c r="C95" i="144"/>
  <c r="B95" i="144"/>
  <c r="F94" i="144"/>
  <c r="E94" i="144"/>
  <c r="D94" i="144"/>
  <c r="C94" i="144"/>
  <c r="B94" i="144"/>
  <c r="F93" i="144"/>
  <c r="E93" i="144"/>
  <c r="D93" i="144"/>
  <c r="C93" i="144"/>
  <c r="B93" i="144"/>
  <c r="F92" i="144"/>
  <c r="E92" i="144"/>
  <c r="D92" i="144"/>
  <c r="C92" i="144"/>
  <c r="B92" i="144"/>
  <c r="F91" i="144"/>
  <c r="E91" i="144"/>
  <c r="D91" i="144"/>
  <c r="C91" i="144"/>
  <c r="B91" i="144"/>
  <c r="F90" i="144"/>
  <c r="E90" i="144"/>
  <c r="D90" i="144"/>
  <c r="C90" i="144"/>
  <c r="B90" i="144"/>
  <c r="F89" i="144"/>
  <c r="E89" i="144"/>
  <c r="D89" i="144"/>
  <c r="C89" i="144"/>
  <c r="B89" i="144"/>
  <c r="F88" i="144"/>
  <c r="E88" i="144"/>
  <c r="D88" i="144"/>
  <c r="C88" i="144"/>
  <c r="B88" i="144"/>
  <c r="F87" i="144"/>
  <c r="E87" i="144"/>
  <c r="D87" i="144"/>
  <c r="C87" i="144"/>
  <c r="B87" i="144"/>
  <c r="F86" i="144"/>
  <c r="E86" i="144"/>
  <c r="D86" i="144"/>
  <c r="C86" i="144"/>
  <c r="B86" i="144"/>
  <c r="F85" i="144"/>
  <c r="E85" i="144"/>
  <c r="D85" i="144"/>
  <c r="C85" i="144"/>
  <c r="B85" i="144"/>
  <c r="F84" i="144"/>
  <c r="E84" i="144"/>
  <c r="D84" i="144"/>
  <c r="C84" i="144"/>
  <c r="B84" i="144"/>
  <c r="F83" i="144"/>
  <c r="E83" i="144"/>
  <c r="D83" i="144"/>
  <c r="C83" i="144"/>
  <c r="B83" i="144"/>
  <c r="F82" i="144"/>
  <c r="E82" i="144"/>
  <c r="D82" i="144"/>
  <c r="C82" i="144"/>
  <c r="B82" i="144"/>
  <c r="F81" i="144"/>
  <c r="E81" i="144"/>
  <c r="D81" i="144"/>
  <c r="C81" i="144"/>
  <c r="B81" i="144"/>
  <c r="F80" i="144"/>
  <c r="E80" i="144"/>
  <c r="D80" i="144"/>
  <c r="C80" i="144"/>
  <c r="B80" i="144"/>
  <c r="F79" i="144"/>
  <c r="E79" i="144"/>
  <c r="D79" i="144"/>
  <c r="C79" i="144"/>
  <c r="B79" i="144"/>
  <c r="F78" i="144"/>
  <c r="E78" i="144"/>
  <c r="D78" i="144"/>
  <c r="C78" i="144"/>
  <c r="B78" i="144"/>
  <c r="F77" i="144"/>
  <c r="E77" i="144"/>
  <c r="D77" i="144"/>
  <c r="C77" i="144"/>
  <c r="B77" i="144"/>
  <c r="F76" i="144"/>
  <c r="E76" i="144"/>
  <c r="D76" i="144"/>
  <c r="C76" i="144"/>
  <c r="B76" i="144"/>
  <c r="F75" i="144"/>
  <c r="E75" i="144"/>
  <c r="D75" i="144"/>
  <c r="C75" i="144"/>
  <c r="B75" i="144"/>
  <c r="F74" i="144"/>
  <c r="E74" i="144"/>
  <c r="D74" i="144"/>
  <c r="C74" i="144"/>
  <c r="B74" i="144"/>
  <c r="F73" i="144"/>
  <c r="E73" i="144"/>
  <c r="D73" i="144"/>
  <c r="C73" i="144"/>
  <c r="B73" i="144"/>
  <c r="F72" i="144"/>
  <c r="E72" i="144"/>
  <c r="D72" i="144"/>
  <c r="C72" i="144"/>
  <c r="B72" i="144"/>
  <c r="F71" i="144"/>
  <c r="E71" i="144"/>
  <c r="D71" i="144"/>
  <c r="C71" i="144"/>
  <c r="B71" i="144"/>
  <c r="F70" i="144"/>
  <c r="E70" i="144"/>
  <c r="D70" i="144"/>
  <c r="C70" i="144"/>
  <c r="B70" i="144"/>
  <c r="F69" i="144"/>
  <c r="E69" i="144"/>
  <c r="D69" i="144"/>
  <c r="C69" i="144"/>
  <c r="B69" i="144"/>
  <c r="F68" i="144"/>
  <c r="E68" i="144"/>
  <c r="D68" i="144"/>
  <c r="C68" i="144"/>
  <c r="B68" i="144"/>
  <c r="F67" i="144"/>
  <c r="E67" i="144"/>
  <c r="D67" i="144"/>
  <c r="C67" i="144"/>
  <c r="B67" i="144"/>
  <c r="F66" i="144"/>
  <c r="E66" i="144"/>
  <c r="D66" i="144"/>
  <c r="C66" i="144"/>
  <c r="B66" i="144"/>
  <c r="F65" i="144"/>
  <c r="E65" i="144"/>
  <c r="D65" i="144"/>
  <c r="C65" i="144"/>
  <c r="B65" i="144"/>
  <c r="F64" i="144"/>
  <c r="E64" i="144"/>
  <c r="D64" i="144"/>
  <c r="C64" i="144"/>
  <c r="B64" i="144"/>
  <c r="F63" i="144"/>
  <c r="E63" i="144"/>
  <c r="D63" i="144"/>
  <c r="C63" i="144"/>
  <c r="B63" i="144"/>
  <c r="F62" i="144"/>
  <c r="E62" i="144"/>
  <c r="D62" i="144"/>
  <c r="C62" i="144"/>
  <c r="B62" i="144"/>
  <c r="F61" i="144"/>
  <c r="E61" i="144"/>
  <c r="D61" i="144"/>
  <c r="C61" i="144"/>
  <c r="B61" i="144"/>
  <c r="F60" i="144"/>
  <c r="E60" i="144"/>
  <c r="D60" i="144"/>
  <c r="C60" i="144"/>
  <c r="B60" i="144"/>
  <c r="F59" i="144"/>
  <c r="E59" i="144"/>
  <c r="D59" i="144"/>
  <c r="C59" i="144"/>
  <c r="B59" i="144"/>
  <c r="I53" i="144"/>
  <c r="H53" i="144"/>
  <c r="G53" i="144"/>
  <c r="F53" i="144"/>
  <c r="E53" i="144"/>
  <c r="D53" i="144"/>
  <c r="C53" i="144"/>
  <c r="B53" i="144"/>
  <c r="I52" i="144"/>
  <c r="H52" i="144"/>
  <c r="G52" i="144"/>
  <c r="F52" i="144"/>
  <c r="E52" i="144"/>
  <c r="D52" i="144"/>
  <c r="C52" i="144"/>
  <c r="B52" i="144"/>
  <c r="I51" i="144"/>
  <c r="H51" i="144"/>
  <c r="G51" i="144"/>
  <c r="F51" i="144"/>
  <c r="E51" i="144"/>
  <c r="D51" i="144"/>
  <c r="C51" i="144"/>
  <c r="B51" i="144"/>
  <c r="F107" i="143"/>
  <c r="E107" i="143"/>
  <c r="D107" i="143"/>
  <c r="C107" i="143"/>
  <c r="B107" i="143"/>
  <c r="F106" i="143"/>
  <c r="E106" i="143"/>
  <c r="D106" i="143"/>
  <c r="C106" i="143"/>
  <c r="B106" i="143"/>
  <c r="F105" i="143"/>
  <c r="E105" i="143"/>
  <c r="D105" i="143"/>
  <c r="C105" i="143"/>
  <c r="B105" i="143"/>
  <c r="F104" i="143"/>
  <c r="E104" i="143"/>
  <c r="D104" i="143"/>
  <c r="C104" i="143"/>
  <c r="B104" i="143"/>
  <c r="F103" i="143"/>
  <c r="E103" i="143"/>
  <c r="D103" i="143"/>
  <c r="C103" i="143"/>
  <c r="B103" i="143"/>
  <c r="F102" i="143"/>
  <c r="E102" i="143"/>
  <c r="D102" i="143"/>
  <c r="C102" i="143"/>
  <c r="B102" i="143"/>
  <c r="F101" i="143"/>
  <c r="E101" i="143"/>
  <c r="D101" i="143"/>
  <c r="C101" i="143"/>
  <c r="B101" i="143"/>
  <c r="F100" i="143"/>
  <c r="E100" i="143"/>
  <c r="D100" i="143"/>
  <c r="C100" i="143"/>
  <c r="B100" i="143"/>
  <c r="F99" i="143"/>
  <c r="E99" i="143"/>
  <c r="D99" i="143"/>
  <c r="C99" i="143"/>
  <c r="B99" i="143"/>
  <c r="F98" i="143"/>
  <c r="E98" i="143"/>
  <c r="D98" i="143"/>
  <c r="C98" i="143"/>
  <c r="B98" i="143"/>
  <c r="F97" i="143"/>
  <c r="E97" i="143"/>
  <c r="D97" i="143"/>
  <c r="C97" i="143"/>
  <c r="B97" i="143"/>
  <c r="F96" i="143"/>
  <c r="E96" i="143"/>
  <c r="D96" i="143"/>
  <c r="C96" i="143"/>
  <c r="B96" i="143"/>
  <c r="F95" i="143"/>
  <c r="E95" i="143"/>
  <c r="D95" i="143"/>
  <c r="C95" i="143"/>
  <c r="B95" i="143"/>
  <c r="F94" i="143"/>
  <c r="E94" i="143"/>
  <c r="D94" i="143"/>
  <c r="C94" i="143"/>
  <c r="B94" i="143"/>
  <c r="F93" i="143"/>
  <c r="E93" i="143"/>
  <c r="D93" i="143"/>
  <c r="C93" i="143"/>
  <c r="B93" i="143"/>
  <c r="F92" i="143"/>
  <c r="E92" i="143"/>
  <c r="D92" i="143"/>
  <c r="C92" i="143"/>
  <c r="B92" i="143"/>
  <c r="F91" i="143"/>
  <c r="E91" i="143"/>
  <c r="D91" i="143"/>
  <c r="C91" i="143"/>
  <c r="B91" i="143"/>
  <c r="F90" i="143"/>
  <c r="E90" i="143"/>
  <c r="D90" i="143"/>
  <c r="C90" i="143"/>
  <c r="B90" i="143"/>
  <c r="F89" i="143"/>
  <c r="E89" i="143"/>
  <c r="D89" i="143"/>
  <c r="C89" i="143"/>
  <c r="B89" i="143"/>
  <c r="F88" i="143"/>
  <c r="E88" i="143"/>
  <c r="D88" i="143"/>
  <c r="C88" i="143"/>
  <c r="B88" i="143"/>
  <c r="F87" i="143"/>
  <c r="E87" i="143"/>
  <c r="D87" i="143"/>
  <c r="C87" i="143"/>
  <c r="B87" i="143"/>
  <c r="F86" i="143"/>
  <c r="E86" i="143"/>
  <c r="D86" i="143"/>
  <c r="C86" i="143"/>
  <c r="B86" i="143"/>
  <c r="F85" i="143"/>
  <c r="E85" i="143"/>
  <c r="D85" i="143"/>
  <c r="C85" i="143"/>
  <c r="B85" i="143"/>
  <c r="F84" i="143"/>
  <c r="E84" i="143"/>
  <c r="D84" i="143"/>
  <c r="C84" i="143"/>
  <c r="B84" i="143"/>
  <c r="F83" i="143"/>
  <c r="E83" i="143"/>
  <c r="D83" i="143"/>
  <c r="C83" i="143"/>
  <c r="B83" i="143"/>
  <c r="F82" i="143"/>
  <c r="E82" i="143"/>
  <c r="D82" i="143"/>
  <c r="C82" i="143"/>
  <c r="B82" i="143"/>
  <c r="F81" i="143"/>
  <c r="E81" i="143"/>
  <c r="D81" i="143"/>
  <c r="C81" i="143"/>
  <c r="B81" i="143"/>
  <c r="F80" i="143"/>
  <c r="E80" i="143"/>
  <c r="D80" i="143"/>
  <c r="C80" i="143"/>
  <c r="B80" i="143"/>
  <c r="F79" i="143"/>
  <c r="E79" i="143"/>
  <c r="D79" i="143"/>
  <c r="C79" i="143"/>
  <c r="B79" i="143"/>
  <c r="F78" i="143"/>
  <c r="E78" i="143"/>
  <c r="D78" i="143"/>
  <c r="C78" i="143"/>
  <c r="B78" i="143"/>
  <c r="F77" i="143"/>
  <c r="E77" i="143"/>
  <c r="D77" i="143"/>
  <c r="C77" i="143"/>
  <c r="B77" i="143"/>
  <c r="F76" i="143"/>
  <c r="E76" i="143"/>
  <c r="D76" i="143"/>
  <c r="C76" i="143"/>
  <c r="B76" i="143"/>
  <c r="F75" i="143"/>
  <c r="E75" i="143"/>
  <c r="D75" i="143"/>
  <c r="C75" i="143"/>
  <c r="B75" i="143"/>
  <c r="F74" i="143"/>
  <c r="E74" i="143"/>
  <c r="D74" i="143"/>
  <c r="C74" i="143"/>
  <c r="B74" i="143"/>
  <c r="F73" i="143"/>
  <c r="E73" i="143"/>
  <c r="D73" i="143"/>
  <c r="C73" i="143"/>
  <c r="B73" i="143"/>
  <c r="F72" i="143"/>
  <c r="E72" i="143"/>
  <c r="D72" i="143"/>
  <c r="C72" i="143"/>
  <c r="B72" i="143"/>
  <c r="F71" i="143"/>
  <c r="E71" i="143"/>
  <c r="D71" i="143"/>
  <c r="C71" i="143"/>
  <c r="B71" i="143"/>
  <c r="F70" i="143"/>
  <c r="E70" i="143"/>
  <c r="D70" i="143"/>
  <c r="C70" i="143"/>
  <c r="B70" i="143"/>
  <c r="F69" i="143"/>
  <c r="E69" i="143"/>
  <c r="D69" i="143"/>
  <c r="C69" i="143"/>
  <c r="B69" i="143"/>
  <c r="F68" i="143"/>
  <c r="E68" i="143"/>
  <c r="D68" i="143"/>
  <c r="C68" i="143"/>
  <c r="B68" i="143"/>
  <c r="F67" i="143"/>
  <c r="E67" i="143"/>
  <c r="D67" i="143"/>
  <c r="C67" i="143"/>
  <c r="B67" i="143"/>
  <c r="F66" i="143"/>
  <c r="E66" i="143"/>
  <c r="D66" i="143"/>
  <c r="C66" i="143"/>
  <c r="B66" i="143"/>
  <c r="F65" i="143"/>
  <c r="E65" i="143"/>
  <c r="D65" i="143"/>
  <c r="C65" i="143"/>
  <c r="B65" i="143"/>
  <c r="F64" i="143"/>
  <c r="E64" i="143"/>
  <c r="D64" i="143"/>
  <c r="D109" i="143" s="1"/>
  <c r="C64" i="143"/>
  <c r="B64" i="143"/>
  <c r="K53" i="143"/>
  <c r="J53" i="143"/>
  <c r="I53" i="143"/>
  <c r="H53" i="143"/>
  <c r="G53" i="143"/>
  <c r="F53" i="143"/>
  <c r="E53" i="143"/>
  <c r="D53" i="143"/>
  <c r="C53" i="143"/>
  <c r="B53" i="143"/>
  <c r="K52" i="143"/>
  <c r="J52" i="143"/>
  <c r="I52" i="143"/>
  <c r="H52" i="143"/>
  <c r="G52" i="143"/>
  <c r="F52" i="143"/>
  <c r="E52" i="143"/>
  <c r="D52" i="143"/>
  <c r="C52" i="143"/>
  <c r="B52" i="143"/>
  <c r="K51" i="143"/>
  <c r="J51" i="143"/>
  <c r="I51" i="143"/>
  <c r="H51" i="143"/>
  <c r="G51" i="143"/>
  <c r="F51" i="143"/>
  <c r="E51" i="143"/>
  <c r="D51" i="143"/>
  <c r="C51" i="143"/>
  <c r="B51" i="143"/>
  <c r="E47" i="141"/>
  <c r="D47" i="141"/>
  <c r="C47" i="141"/>
  <c r="E46" i="141"/>
  <c r="D46" i="141"/>
  <c r="C46" i="141"/>
  <c r="B47" i="141"/>
  <c r="B46" i="141"/>
  <c r="B106" i="144" l="1"/>
  <c r="E106" i="144"/>
  <c r="B105" i="144"/>
  <c r="C105" i="144"/>
  <c r="E105" i="144"/>
  <c r="F106" i="144"/>
  <c r="F105" i="144"/>
  <c r="D110" i="143"/>
  <c r="D103" i="145"/>
  <c r="E103" i="145"/>
  <c r="B109" i="143"/>
  <c r="D111" i="143"/>
  <c r="B110" i="143"/>
  <c r="C111" i="143"/>
  <c r="B111" i="143"/>
  <c r="C110" i="143"/>
  <c r="E111" i="143"/>
  <c r="E110" i="143"/>
  <c r="F111" i="143"/>
  <c r="F110" i="143"/>
  <c r="C109" i="143"/>
  <c r="E104" i="145"/>
  <c r="F104" i="145"/>
  <c r="F103" i="145"/>
  <c r="B103" i="145"/>
  <c r="C104" i="145"/>
  <c r="C103" i="145"/>
  <c r="D104" i="145"/>
  <c r="C102" i="145"/>
  <c r="D102" i="145"/>
  <c r="B104" i="145"/>
  <c r="E102" i="145"/>
  <c r="F102" i="145"/>
  <c r="E104" i="144"/>
  <c r="C106" i="144"/>
  <c r="F104" i="144"/>
  <c r="E109" i="143"/>
  <c r="F109" i="143"/>
  <c r="E44" i="141"/>
  <c r="D44" i="141"/>
  <c r="E43" i="141"/>
  <c r="D43" i="141"/>
  <c r="C44" i="141"/>
  <c r="C43" i="141"/>
  <c r="E45" i="141"/>
  <c r="D45" i="141"/>
  <c r="C45" i="141"/>
  <c r="B45" i="141"/>
  <c r="B44" i="141"/>
  <c r="B43" i="141"/>
  <c r="M46" i="140"/>
  <c r="L46" i="140"/>
  <c r="K46" i="140"/>
  <c r="J46" i="140"/>
  <c r="I46" i="140"/>
  <c r="H46" i="140"/>
  <c r="G46" i="140"/>
  <c r="F46" i="140"/>
  <c r="E46" i="140"/>
  <c r="D46" i="140"/>
  <c r="C46" i="140"/>
  <c r="B46" i="140"/>
  <c r="M45" i="140"/>
  <c r="L45" i="140"/>
  <c r="K45" i="140"/>
  <c r="J45" i="140"/>
  <c r="I45" i="140"/>
  <c r="H45" i="140"/>
  <c r="G45" i="140"/>
  <c r="F45" i="140"/>
  <c r="E45" i="140"/>
  <c r="D45" i="140"/>
  <c r="C45" i="140"/>
  <c r="B45" i="140"/>
  <c r="M44" i="140"/>
  <c r="L44" i="140"/>
  <c r="K44" i="140"/>
  <c r="J44" i="140"/>
  <c r="I44" i="140"/>
  <c r="H44" i="140"/>
  <c r="G44" i="140"/>
  <c r="F44" i="140"/>
  <c r="E44" i="140"/>
  <c r="D44" i="140"/>
  <c r="C44" i="140"/>
  <c r="B44" i="140"/>
  <c r="BF42" i="140"/>
  <c r="BE42" i="140"/>
  <c r="BD42" i="140"/>
  <c r="BC42" i="140"/>
  <c r="BB42" i="140"/>
  <c r="BA42" i="140"/>
  <c r="AZ42" i="140"/>
  <c r="AY42" i="140"/>
  <c r="AX42" i="140"/>
  <c r="AW42" i="140"/>
  <c r="AV42" i="140"/>
  <c r="AU42" i="140"/>
  <c r="AT42" i="140"/>
  <c r="AS42" i="140"/>
  <c r="AR42" i="140"/>
  <c r="AQ42" i="140"/>
  <c r="AP42" i="140"/>
  <c r="AO42" i="140"/>
  <c r="AN42" i="140"/>
  <c r="BF41" i="140"/>
  <c r="BE41" i="140"/>
  <c r="BD41" i="140"/>
  <c r="BC41" i="140"/>
  <c r="BB41" i="140"/>
  <c r="BA41" i="140"/>
  <c r="AZ41" i="140"/>
  <c r="AY41" i="140"/>
  <c r="AX41" i="140"/>
  <c r="AW41" i="140"/>
  <c r="AV41" i="140"/>
  <c r="AU41" i="140"/>
  <c r="AT41" i="140"/>
  <c r="AS41" i="140"/>
  <c r="AR41" i="140"/>
  <c r="AQ41" i="140"/>
  <c r="AP41" i="140"/>
  <c r="AO41" i="140"/>
  <c r="AN41" i="140"/>
  <c r="BF40" i="140"/>
  <c r="BE40" i="140"/>
  <c r="BD40" i="140"/>
  <c r="BC40" i="140"/>
  <c r="BB40" i="140"/>
  <c r="BA40" i="140"/>
  <c r="AZ40" i="140"/>
  <c r="AY40" i="140"/>
  <c r="AX40" i="140"/>
  <c r="AW40" i="140"/>
  <c r="AV40" i="140"/>
  <c r="AU40" i="140"/>
  <c r="AT40" i="140"/>
  <c r="AS40" i="140"/>
  <c r="AR40" i="140"/>
  <c r="AQ40" i="140"/>
  <c r="AP40" i="140"/>
  <c r="AO40" i="140"/>
  <c r="AN40" i="140"/>
  <c r="BF39" i="140"/>
  <c r="BE39" i="140"/>
  <c r="BD39" i="140"/>
  <c r="BC39" i="140"/>
  <c r="BB39" i="140"/>
  <c r="BA39" i="140"/>
  <c r="AZ39" i="140"/>
  <c r="AY39" i="140"/>
  <c r="AX39" i="140"/>
  <c r="AW39" i="140"/>
  <c r="AV39" i="140"/>
  <c r="AU39" i="140"/>
  <c r="AT39" i="140"/>
  <c r="AS39" i="140"/>
  <c r="AR39" i="140"/>
  <c r="AQ39" i="140"/>
  <c r="AP39" i="140"/>
  <c r="AO39" i="140"/>
  <c r="AN39" i="140"/>
  <c r="BF38" i="140"/>
  <c r="BE38" i="140"/>
  <c r="BD38" i="140"/>
  <c r="BC38" i="140"/>
  <c r="BB38" i="140"/>
  <c r="BA38" i="140"/>
  <c r="AZ38" i="140"/>
  <c r="AY38" i="140"/>
  <c r="AX38" i="140"/>
  <c r="AW38" i="140"/>
  <c r="AV38" i="140"/>
  <c r="AU38" i="140"/>
  <c r="AT38" i="140"/>
  <c r="AS38" i="140"/>
  <c r="AR38" i="140"/>
  <c r="AQ38" i="140"/>
  <c r="AP38" i="140"/>
  <c r="AO38" i="140"/>
  <c r="AN38" i="140"/>
  <c r="BF37" i="140"/>
  <c r="BE37" i="140"/>
  <c r="BD37" i="140"/>
  <c r="BC37" i="140"/>
  <c r="BB37" i="140"/>
  <c r="BA37" i="140"/>
  <c r="AZ37" i="140"/>
  <c r="AY37" i="140"/>
  <c r="AX37" i="140"/>
  <c r="AW37" i="140"/>
  <c r="AV37" i="140"/>
  <c r="AU37" i="140"/>
  <c r="AT37" i="140"/>
  <c r="AS37" i="140"/>
  <c r="AR37" i="140"/>
  <c r="AQ37" i="140"/>
  <c r="AP37" i="140"/>
  <c r="AO37" i="140"/>
  <c r="AN37" i="140"/>
  <c r="BF36" i="140"/>
  <c r="BE36" i="140"/>
  <c r="BD36" i="140"/>
  <c r="BC36" i="140"/>
  <c r="BB36" i="140"/>
  <c r="BA36" i="140"/>
  <c r="AZ36" i="140"/>
  <c r="AY36" i="140"/>
  <c r="AX36" i="140"/>
  <c r="AW36" i="140"/>
  <c r="AV36" i="140"/>
  <c r="AU36" i="140"/>
  <c r="AT36" i="140"/>
  <c r="AS36" i="140"/>
  <c r="AR36" i="140"/>
  <c r="AQ36" i="140"/>
  <c r="AP36" i="140"/>
  <c r="AO36" i="140"/>
  <c r="AN36" i="140"/>
  <c r="BF35" i="140"/>
  <c r="BE35" i="140"/>
  <c r="BD35" i="140"/>
  <c r="BC35" i="140"/>
  <c r="BB35" i="140"/>
  <c r="BA35" i="140"/>
  <c r="AZ35" i="140"/>
  <c r="AY35" i="140"/>
  <c r="AX35" i="140"/>
  <c r="AW35" i="140"/>
  <c r="AV35" i="140"/>
  <c r="AU35" i="140"/>
  <c r="AT35" i="140"/>
  <c r="AS35" i="140"/>
  <c r="AR35" i="140"/>
  <c r="AQ35" i="140"/>
  <c r="AP35" i="140"/>
  <c r="AO35" i="140"/>
  <c r="AN35" i="140"/>
  <c r="BF34" i="140"/>
  <c r="BE34" i="140"/>
  <c r="BD34" i="140"/>
  <c r="BC34" i="140"/>
  <c r="BB34" i="140"/>
  <c r="BA34" i="140"/>
  <c r="AZ34" i="140"/>
  <c r="AY34" i="140"/>
  <c r="AX34" i="140"/>
  <c r="AW34" i="140"/>
  <c r="AV34" i="140"/>
  <c r="AU34" i="140"/>
  <c r="AT34" i="140"/>
  <c r="AS34" i="140"/>
  <c r="AR34" i="140"/>
  <c r="AQ34" i="140"/>
  <c r="AP34" i="140"/>
  <c r="AO34" i="140"/>
  <c r="AN34" i="140"/>
  <c r="BF33" i="140"/>
  <c r="BE33" i="140"/>
  <c r="BD33" i="140"/>
  <c r="BC33" i="140"/>
  <c r="BB33" i="140"/>
  <c r="BA33" i="140"/>
  <c r="AZ33" i="140"/>
  <c r="AY33" i="140"/>
  <c r="AX33" i="140"/>
  <c r="AW33" i="140"/>
  <c r="AV33" i="140"/>
  <c r="AU33" i="140"/>
  <c r="AT33" i="140"/>
  <c r="AS33" i="140"/>
  <c r="AR33" i="140"/>
  <c r="AQ33" i="140"/>
  <c r="AP33" i="140"/>
  <c r="AO33" i="140"/>
  <c r="AN33" i="140"/>
  <c r="BF32" i="140"/>
  <c r="BE32" i="140"/>
  <c r="BD32" i="140"/>
  <c r="BC32" i="140"/>
  <c r="BB32" i="140"/>
  <c r="BA32" i="140"/>
  <c r="AZ32" i="140"/>
  <c r="AY32" i="140"/>
  <c r="AX32" i="140"/>
  <c r="AW32" i="140"/>
  <c r="AV32" i="140"/>
  <c r="AU32" i="140"/>
  <c r="AT32" i="140"/>
  <c r="AS32" i="140"/>
  <c r="AR32" i="140"/>
  <c r="AQ32" i="140"/>
  <c r="AP32" i="140"/>
  <c r="AO32" i="140"/>
  <c r="AN32" i="140"/>
  <c r="BF31" i="140"/>
  <c r="BE31" i="140"/>
  <c r="BD31" i="140"/>
  <c r="BC31" i="140"/>
  <c r="BB31" i="140"/>
  <c r="BA31" i="140"/>
  <c r="AZ31" i="140"/>
  <c r="AY31" i="140"/>
  <c r="AX31" i="140"/>
  <c r="AW31" i="140"/>
  <c r="AV31" i="140"/>
  <c r="AU31" i="140"/>
  <c r="AT31" i="140"/>
  <c r="AS31" i="140"/>
  <c r="AR31" i="140"/>
  <c r="AQ31" i="140"/>
  <c r="AP31" i="140"/>
  <c r="AO31" i="140"/>
  <c r="AN31" i="140"/>
  <c r="BF30" i="140"/>
  <c r="BE30" i="140"/>
  <c r="BD30" i="140"/>
  <c r="BC30" i="140"/>
  <c r="BB30" i="140"/>
  <c r="BA30" i="140"/>
  <c r="AZ30" i="140"/>
  <c r="AY30" i="140"/>
  <c r="AX30" i="140"/>
  <c r="AW30" i="140"/>
  <c r="AV30" i="140"/>
  <c r="AU30" i="140"/>
  <c r="AT30" i="140"/>
  <c r="AS30" i="140"/>
  <c r="AR30" i="140"/>
  <c r="AQ30" i="140"/>
  <c r="AP30" i="140"/>
  <c r="AO30" i="140"/>
  <c r="AN30" i="140"/>
  <c r="BF29" i="140"/>
  <c r="BE29" i="140"/>
  <c r="BD29" i="140"/>
  <c r="BC29" i="140"/>
  <c r="BB29" i="140"/>
  <c r="BA29" i="140"/>
  <c r="AZ29" i="140"/>
  <c r="AY29" i="140"/>
  <c r="AX29" i="140"/>
  <c r="AW29" i="140"/>
  <c r="AV29" i="140"/>
  <c r="AU29" i="140"/>
  <c r="AT29" i="140"/>
  <c r="AS29" i="140"/>
  <c r="AR29" i="140"/>
  <c r="AQ29" i="140"/>
  <c r="AP29" i="140"/>
  <c r="AO29" i="140"/>
  <c r="AN29" i="140"/>
  <c r="BF28" i="140"/>
  <c r="BE28" i="140"/>
  <c r="BD28" i="140"/>
  <c r="BC28" i="140"/>
  <c r="BB28" i="140"/>
  <c r="BA28" i="140"/>
  <c r="AZ28" i="140"/>
  <c r="AY28" i="140"/>
  <c r="AX28" i="140"/>
  <c r="AW28" i="140"/>
  <c r="AV28" i="140"/>
  <c r="AU28" i="140"/>
  <c r="AT28" i="140"/>
  <c r="AS28" i="140"/>
  <c r="AR28" i="140"/>
  <c r="AQ28" i="140"/>
  <c r="AP28" i="140"/>
  <c r="AO28" i="140"/>
  <c r="AN28" i="140"/>
  <c r="BF27" i="140"/>
  <c r="BE27" i="140"/>
  <c r="BD27" i="140"/>
  <c r="BC27" i="140"/>
  <c r="BB27" i="140"/>
  <c r="BA27" i="140"/>
  <c r="AZ27" i="140"/>
  <c r="AY27" i="140"/>
  <c r="AX27" i="140"/>
  <c r="AW27" i="140"/>
  <c r="AV27" i="140"/>
  <c r="AU27" i="140"/>
  <c r="AT27" i="140"/>
  <c r="AS27" i="140"/>
  <c r="AR27" i="140"/>
  <c r="AQ27" i="140"/>
  <c r="AP27" i="140"/>
  <c r="AO27" i="140"/>
  <c r="AN27" i="140"/>
  <c r="BF26" i="140"/>
  <c r="BE26" i="140"/>
  <c r="BD26" i="140"/>
  <c r="BC26" i="140"/>
  <c r="BB26" i="140"/>
  <c r="BA26" i="140"/>
  <c r="AZ26" i="140"/>
  <c r="AY26" i="140"/>
  <c r="AX26" i="140"/>
  <c r="AW26" i="140"/>
  <c r="AV26" i="140"/>
  <c r="AU26" i="140"/>
  <c r="AT26" i="140"/>
  <c r="AS26" i="140"/>
  <c r="AR26" i="140"/>
  <c r="AQ26" i="140"/>
  <c r="AP26" i="140"/>
  <c r="AO26" i="140"/>
  <c r="AN26" i="140"/>
  <c r="BF25" i="140"/>
  <c r="BE25" i="140"/>
  <c r="BD25" i="140"/>
  <c r="BC25" i="140"/>
  <c r="BB25" i="140"/>
  <c r="BA25" i="140"/>
  <c r="AZ25" i="140"/>
  <c r="AY25" i="140"/>
  <c r="AX25" i="140"/>
  <c r="AW25" i="140"/>
  <c r="AV25" i="140"/>
  <c r="AU25" i="140"/>
  <c r="AT25" i="140"/>
  <c r="AS25" i="140"/>
  <c r="AR25" i="140"/>
  <c r="AQ25" i="140"/>
  <c r="AP25" i="140"/>
  <c r="AO25" i="140"/>
  <c r="AN25" i="140"/>
  <c r="BF24" i="140"/>
  <c r="BE24" i="140"/>
  <c r="BD24" i="140"/>
  <c r="BC24" i="140"/>
  <c r="BB24" i="140"/>
  <c r="BA24" i="140"/>
  <c r="AZ24" i="140"/>
  <c r="AY24" i="140"/>
  <c r="AX24" i="140"/>
  <c r="AW24" i="140"/>
  <c r="AV24" i="140"/>
  <c r="AU24" i="140"/>
  <c r="AT24" i="140"/>
  <c r="AS24" i="140"/>
  <c r="AR24" i="140"/>
  <c r="AQ24" i="140"/>
  <c r="AP24" i="140"/>
  <c r="AO24" i="140"/>
  <c r="AN24" i="140"/>
  <c r="BF23" i="140"/>
  <c r="BE23" i="140"/>
  <c r="BD23" i="140"/>
  <c r="BC23" i="140"/>
  <c r="BB23" i="140"/>
  <c r="BA23" i="140"/>
  <c r="AZ23" i="140"/>
  <c r="AY23" i="140"/>
  <c r="AX23" i="140"/>
  <c r="AW23" i="140"/>
  <c r="AV23" i="140"/>
  <c r="AU23" i="140"/>
  <c r="AT23" i="140"/>
  <c r="AS23" i="140"/>
  <c r="AR23" i="140"/>
  <c r="AQ23" i="140"/>
  <c r="AP23" i="140"/>
  <c r="AO23" i="140"/>
  <c r="AN23" i="140"/>
  <c r="BF22" i="140"/>
  <c r="BE22" i="140"/>
  <c r="BD22" i="140"/>
  <c r="BC22" i="140"/>
  <c r="BB22" i="140"/>
  <c r="BA22" i="140"/>
  <c r="AZ22" i="140"/>
  <c r="AY22" i="140"/>
  <c r="AX22" i="140"/>
  <c r="AW22" i="140"/>
  <c r="AV22" i="140"/>
  <c r="AU22" i="140"/>
  <c r="AT22" i="140"/>
  <c r="AS22" i="140"/>
  <c r="AR22" i="140"/>
  <c r="AQ22" i="140"/>
  <c r="AP22" i="140"/>
  <c r="AO22" i="140"/>
  <c r="AN22" i="140"/>
  <c r="BF21" i="140"/>
  <c r="BE21" i="140"/>
  <c r="BD21" i="140"/>
  <c r="BC21" i="140"/>
  <c r="BB21" i="140"/>
  <c r="BA21" i="140"/>
  <c r="AZ21" i="140"/>
  <c r="AY21" i="140"/>
  <c r="AX21" i="140"/>
  <c r="AW21" i="140"/>
  <c r="AV21" i="140"/>
  <c r="AU21" i="140"/>
  <c r="AT21" i="140"/>
  <c r="AS21" i="140"/>
  <c r="AR21" i="140"/>
  <c r="AQ21" i="140"/>
  <c r="AP21" i="140"/>
  <c r="AO21" i="140"/>
  <c r="AN21" i="140"/>
  <c r="BF20" i="140"/>
  <c r="BE20" i="140"/>
  <c r="BD20" i="140"/>
  <c r="BC20" i="140"/>
  <c r="BB20" i="140"/>
  <c r="BA20" i="140"/>
  <c r="AZ20" i="140"/>
  <c r="AY20" i="140"/>
  <c r="AX20" i="140"/>
  <c r="AW20" i="140"/>
  <c r="AV20" i="140"/>
  <c r="AU20" i="140"/>
  <c r="AT20" i="140"/>
  <c r="AS20" i="140"/>
  <c r="AR20" i="140"/>
  <c r="AQ20" i="140"/>
  <c r="AP20" i="140"/>
  <c r="AO20" i="140"/>
  <c r="AN20" i="140"/>
  <c r="BF19" i="140"/>
  <c r="BE19" i="140"/>
  <c r="BD19" i="140"/>
  <c r="BC19" i="140"/>
  <c r="BB19" i="140"/>
  <c r="BA19" i="140"/>
  <c r="AZ19" i="140"/>
  <c r="AY19" i="140"/>
  <c r="AX19" i="140"/>
  <c r="AW19" i="140"/>
  <c r="AV19" i="140"/>
  <c r="AU19" i="140"/>
  <c r="AT19" i="140"/>
  <c r="AS19" i="140"/>
  <c r="AR19" i="140"/>
  <c r="AQ19" i="140"/>
  <c r="AP19" i="140"/>
  <c r="AO19" i="140"/>
  <c r="AN19" i="140"/>
  <c r="BF18" i="140"/>
  <c r="BE18" i="140"/>
  <c r="BD18" i="140"/>
  <c r="BC18" i="140"/>
  <c r="BB18" i="140"/>
  <c r="BA18" i="140"/>
  <c r="AZ18" i="140"/>
  <c r="AY18" i="140"/>
  <c r="AX18" i="140"/>
  <c r="AW18" i="140"/>
  <c r="AV18" i="140"/>
  <c r="AU18" i="140"/>
  <c r="AT18" i="140"/>
  <c r="AS18" i="140"/>
  <c r="AR18" i="140"/>
  <c r="AQ18" i="140"/>
  <c r="AP18" i="140"/>
  <c r="AO18" i="140"/>
  <c r="AN18" i="140"/>
  <c r="BF17" i="140"/>
  <c r="BE17" i="140"/>
  <c r="BD17" i="140"/>
  <c r="BC17" i="140"/>
  <c r="BB17" i="140"/>
  <c r="BA17" i="140"/>
  <c r="AZ17" i="140"/>
  <c r="AY17" i="140"/>
  <c r="AX17" i="140"/>
  <c r="AW17" i="140"/>
  <c r="AV17" i="140"/>
  <c r="AU17" i="140"/>
  <c r="AT17" i="140"/>
  <c r="AS17" i="140"/>
  <c r="AR17" i="140"/>
  <c r="AQ17" i="140"/>
  <c r="AP17" i="140"/>
  <c r="AO17" i="140"/>
  <c r="AN17" i="140"/>
  <c r="BF16" i="140"/>
  <c r="BE16" i="140"/>
  <c r="BD16" i="140"/>
  <c r="BC16" i="140"/>
  <c r="BB16" i="140"/>
  <c r="BA16" i="140"/>
  <c r="AZ16" i="140"/>
  <c r="AY16" i="140"/>
  <c r="AX16" i="140"/>
  <c r="AW16" i="140"/>
  <c r="AV16" i="140"/>
  <c r="AU16" i="140"/>
  <c r="AT16" i="140"/>
  <c r="AS16" i="140"/>
  <c r="AR16" i="140"/>
  <c r="AQ16" i="140"/>
  <c r="AP16" i="140"/>
  <c r="AO16" i="140"/>
  <c r="AN16" i="140"/>
  <c r="BF15" i="140"/>
  <c r="BE15" i="140"/>
  <c r="BD15" i="140"/>
  <c r="BC15" i="140"/>
  <c r="BB15" i="140"/>
  <c r="BA15" i="140"/>
  <c r="AZ15" i="140"/>
  <c r="AY15" i="140"/>
  <c r="AX15" i="140"/>
  <c r="AW15" i="140"/>
  <c r="AV15" i="140"/>
  <c r="AU15" i="140"/>
  <c r="AT15" i="140"/>
  <c r="AS15" i="140"/>
  <c r="AR15" i="140"/>
  <c r="AQ15" i="140"/>
  <c r="AP15" i="140"/>
  <c r="AO15" i="140"/>
  <c r="AN15" i="140"/>
  <c r="BF14" i="140"/>
  <c r="BE14" i="140"/>
  <c r="BD14" i="140"/>
  <c r="BC14" i="140"/>
  <c r="BB14" i="140"/>
  <c r="BA14" i="140"/>
  <c r="AZ14" i="140"/>
  <c r="AY14" i="140"/>
  <c r="AX14" i="140"/>
  <c r="AW14" i="140"/>
  <c r="AV14" i="140"/>
  <c r="AU14" i="140"/>
  <c r="AT14" i="140"/>
  <c r="AS14" i="140"/>
  <c r="AR14" i="140"/>
  <c r="AQ14" i="140"/>
  <c r="AP14" i="140"/>
  <c r="AO14" i="140"/>
  <c r="AN14" i="140"/>
  <c r="AN44" i="140" s="1"/>
  <c r="BF13" i="140"/>
  <c r="BE13" i="140"/>
  <c r="BD13" i="140"/>
  <c r="BC13" i="140"/>
  <c r="BB13" i="140"/>
  <c r="BA13" i="140"/>
  <c r="AZ13" i="140"/>
  <c r="AY13" i="140"/>
  <c r="AX13" i="140"/>
  <c r="AW13" i="140"/>
  <c r="AV13" i="140"/>
  <c r="AU13" i="140"/>
  <c r="AT13" i="140"/>
  <c r="AS13" i="140"/>
  <c r="AR13" i="140"/>
  <c r="BF12" i="140"/>
  <c r="BE12" i="140"/>
  <c r="BD12" i="140"/>
  <c r="BC12" i="140"/>
  <c r="BB12" i="140"/>
  <c r="BA12" i="140"/>
  <c r="AZ12" i="140"/>
  <c r="AY12" i="140"/>
  <c r="AX12" i="140"/>
  <c r="AW12" i="140"/>
  <c r="AV12" i="140"/>
  <c r="AU12" i="140"/>
  <c r="AT12" i="140"/>
  <c r="AS12" i="140"/>
  <c r="AR12" i="140"/>
  <c r="BF11" i="140"/>
  <c r="BE11" i="140"/>
  <c r="BD11" i="140"/>
  <c r="BC11" i="140"/>
  <c r="BB11" i="140"/>
  <c r="BA11" i="140"/>
  <c r="AZ11" i="140"/>
  <c r="AY11" i="140"/>
  <c r="AX11" i="140"/>
  <c r="AW11" i="140"/>
  <c r="AV11" i="140"/>
  <c r="AU11" i="140"/>
  <c r="AT11" i="140"/>
  <c r="AS11" i="140"/>
  <c r="AR11" i="140"/>
  <c r="BF10" i="140"/>
  <c r="BE10" i="140"/>
  <c r="BD10" i="140"/>
  <c r="BC10" i="140"/>
  <c r="BB10" i="140"/>
  <c r="BA10" i="140"/>
  <c r="AZ10" i="140"/>
  <c r="AY10" i="140"/>
  <c r="AX10" i="140"/>
  <c r="AW10" i="140"/>
  <c r="AV10" i="140"/>
  <c r="AU10" i="140"/>
  <c r="AT10" i="140"/>
  <c r="AS10" i="140"/>
  <c r="AR10" i="140"/>
  <c r="BF9" i="140"/>
  <c r="BE9" i="140"/>
  <c r="BD9" i="140"/>
  <c r="BC9" i="140"/>
  <c r="BB9" i="140"/>
  <c r="BA9" i="140"/>
  <c r="AZ9" i="140"/>
  <c r="AY9" i="140"/>
  <c r="AX9" i="140"/>
  <c r="AW9" i="140"/>
  <c r="AV9" i="140"/>
  <c r="AU9" i="140"/>
  <c r="AT9" i="140"/>
  <c r="AS9" i="140"/>
  <c r="AR9" i="140"/>
  <c r="BF8" i="140"/>
  <c r="BE8" i="140"/>
  <c r="BD8" i="140"/>
  <c r="BC8" i="140"/>
  <c r="BB8" i="140"/>
  <c r="BA8" i="140"/>
  <c r="AZ8" i="140"/>
  <c r="AY8" i="140"/>
  <c r="AX8" i="140"/>
  <c r="AW8" i="140"/>
  <c r="AV8" i="140"/>
  <c r="AU8" i="140"/>
  <c r="AT8" i="140"/>
  <c r="AS8" i="140"/>
  <c r="AR8" i="140"/>
  <c r="BF7" i="140"/>
  <c r="BE7" i="140"/>
  <c r="BD7" i="140"/>
  <c r="BC7" i="140"/>
  <c r="BB7" i="140"/>
  <c r="BA7" i="140"/>
  <c r="AZ7" i="140"/>
  <c r="AY7" i="140"/>
  <c r="AX7" i="140"/>
  <c r="AW7" i="140"/>
  <c r="AV7" i="140"/>
  <c r="AU7" i="140"/>
  <c r="AT7" i="140"/>
  <c r="AS7" i="140"/>
  <c r="AR7" i="140"/>
  <c r="BF6" i="140"/>
  <c r="BE6" i="140"/>
  <c r="BD6" i="140"/>
  <c r="BD44" i="140" s="1"/>
  <c r="BC6" i="140"/>
  <c r="BB6" i="140"/>
  <c r="BA6" i="140"/>
  <c r="BA44" i="140" s="1"/>
  <c r="AZ6" i="140"/>
  <c r="AY6" i="140"/>
  <c r="AX6" i="140"/>
  <c r="AW6" i="140"/>
  <c r="AV6" i="140"/>
  <c r="AV44" i="140" s="1"/>
  <c r="AU6" i="140"/>
  <c r="AT6" i="140"/>
  <c r="AS6" i="140"/>
  <c r="AR6" i="140"/>
  <c r="AP45" i="140" l="1"/>
  <c r="AX45" i="140"/>
  <c r="BF45" i="140"/>
  <c r="AR46" i="140"/>
  <c r="AZ44" i="140"/>
  <c r="AQ45" i="140"/>
  <c r="AY45" i="140"/>
  <c r="AS44" i="140"/>
  <c r="AR45" i="140"/>
  <c r="AZ45" i="140"/>
  <c r="AT44" i="140"/>
  <c r="BB44" i="140"/>
  <c r="AS45" i="140"/>
  <c r="BA45" i="140"/>
  <c r="AU44" i="140"/>
  <c r="BC44" i="140"/>
  <c r="AT45" i="140"/>
  <c r="BB45" i="140"/>
  <c r="AV46" i="140"/>
  <c r="BD46" i="140"/>
  <c r="AU45" i="140"/>
  <c r="BC45" i="140"/>
  <c r="AO46" i="140"/>
  <c r="AW46" i="140"/>
  <c r="BE46" i="140"/>
  <c r="AN45" i="140"/>
  <c r="AV45" i="140"/>
  <c r="BD45" i="140"/>
  <c r="AP44" i="140"/>
  <c r="AX46" i="140"/>
  <c r="BF46" i="140"/>
  <c r="AO45" i="140"/>
  <c r="AW45" i="140"/>
  <c r="BE45" i="140"/>
  <c r="AQ44" i="140"/>
  <c r="AY46" i="140"/>
  <c r="AN46" i="140"/>
  <c r="AP46" i="140"/>
  <c r="AZ46" i="140"/>
  <c r="AO44" i="140"/>
  <c r="AQ46" i="140"/>
  <c r="AW44" i="140"/>
  <c r="BE44" i="140"/>
  <c r="AS46" i="140"/>
  <c r="BA46" i="140"/>
  <c r="AR44" i="140"/>
  <c r="AX44" i="140"/>
  <c r="BF44" i="140"/>
  <c r="AT46" i="140"/>
  <c r="BB46" i="140"/>
  <c r="AY44" i="140"/>
  <c r="AU46" i="140"/>
  <c r="BC46" i="140"/>
  <c r="T46" i="139" l="1"/>
  <c r="S46" i="139"/>
  <c r="R46" i="139"/>
  <c r="Q46" i="139"/>
  <c r="P46" i="139"/>
  <c r="O46" i="139"/>
  <c r="N46" i="139"/>
  <c r="M46" i="139"/>
  <c r="L46" i="139"/>
  <c r="K46" i="139"/>
  <c r="J46" i="139"/>
  <c r="I46" i="139"/>
  <c r="H46" i="139"/>
  <c r="G46" i="139"/>
  <c r="T45" i="139"/>
  <c r="S45" i="139"/>
  <c r="R45" i="139"/>
  <c r="Q45" i="139"/>
  <c r="P45" i="139"/>
  <c r="O45" i="139"/>
  <c r="N45" i="139"/>
  <c r="M45" i="139"/>
  <c r="L45" i="139"/>
  <c r="K45" i="139"/>
  <c r="J45" i="139"/>
  <c r="I45" i="139"/>
  <c r="H45" i="139"/>
  <c r="G45" i="139"/>
  <c r="T44" i="139"/>
  <c r="S44" i="139"/>
  <c r="R44" i="139"/>
  <c r="Q44" i="139"/>
  <c r="P44" i="139"/>
  <c r="O44" i="139"/>
  <c r="N44" i="139"/>
  <c r="M44" i="139"/>
  <c r="L44" i="139"/>
  <c r="K44" i="139"/>
  <c r="J44" i="139"/>
  <c r="I44" i="139"/>
  <c r="H44" i="139"/>
  <c r="G44" i="139"/>
  <c r="F46" i="139"/>
  <c r="F45" i="139"/>
  <c r="F44" i="139"/>
  <c r="E46" i="139"/>
  <c r="D46" i="139"/>
  <c r="C46" i="139"/>
  <c r="E45" i="139"/>
  <c r="D45" i="139"/>
  <c r="C45" i="139"/>
  <c r="E44" i="139"/>
  <c r="D44" i="139"/>
  <c r="C44" i="139"/>
  <c r="B46" i="139"/>
  <c r="B45" i="139"/>
  <c r="B44" i="139"/>
  <c r="J52" i="10"/>
  <c r="J51" i="10"/>
  <c r="F56" i="18" l="1"/>
  <c r="D56" i="18"/>
  <c r="F55" i="18"/>
  <c r="D55" i="18"/>
  <c r="F54" i="18"/>
  <c r="D54" i="18"/>
  <c r="B56" i="18"/>
  <c r="B55" i="18"/>
  <c r="B54" i="18"/>
  <c r="G51" i="47"/>
  <c r="G50" i="47"/>
  <c r="G49" i="47"/>
  <c r="S22" i="68" l="1"/>
  <c r="R22" i="68"/>
  <c r="Q22" i="68"/>
  <c r="P22" i="68"/>
  <c r="O22" i="68"/>
  <c r="N22" i="68"/>
  <c r="M22" i="68"/>
  <c r="L22" i="68"/>
  <c r="K22" i="68"/>
  <c r="J22" i="68"/>
  <c r="I22" i="68"/>
  <c r="H22" i="68"/>
  <c r="G22" i="68"/>
  <c r="F22" i="68"/>
  <c r="E22" i="68"/>
  <c r="D22" i="68"/>
  <c r="S21" i="68"/>
  <c r="Q21" i="68"/>
  <c r="O21" i="68"/>
  <c r="M21" i="68"/>
  <c r="K21" i="68"/>
  <c r="I21" i="68"/>
  <c r="G21" i="68"/>
  <c r="E21" i="68"/>
  <c r="C22" i="68"/>
  <c r="C21" i="68"/>
  <c r="B22" i="68"/>
  <c r="E21" i="66"/>
  <c r="D21" i="66"/>
  <c r="E20" i="66"/>
  <c r="C21" i="66"/>
  <c r="C20" i="66"/>
  <c r="B21" i="66"/>
  <c r="I21" i="64"/>
  <c r="H21" i="64"/>
  <c r="G21" i="64"/>
  <c r="F21" i="64"/>
  <c r="E21" i="64"/>
  <c r="D21" i="64"/>
  <c r="I20" i="64"/>
  <c r="G20" i="64"/>
  <c r="E20" i="64"/>
  <c r="C20" i="64"/>
  <c r="C21" i="64"/>
  <c r="B21" i="64"/>
  <c r="E62" i="62"/>
  <c r="D62" i="62"/>
  <c r="C62" i="62"/>
  <c r="B62" i="62"/>
  <c r="E55" i="62"/>
  <c r="D55" i="62"/>
  <c r="C55" i="62"/>
  <c r="B55" i="62"/>
  <c r="E27" i="65"/>
  <c r="D27" i="65"/>
  <c r="C27" i="65"/>
  <c r="B27" i="65"/>
  <c r="E26" i="65"/>
  <c r="C26" i="65"/>
  <c r="E25" i="65"/>
  <c r="D25" i="65"/>
  <c r="C25" i="65"/>
  <c r="B25" i="65"/>
  <c r="E24" i="65"/>
  <c r="C24" i="65"/>
  <c r="S68" i="67" l="1"/>
  <c r="R68" i="67"/>
  <c r="Q68" i="67"/>
  <c r="P68" i="67"/>
  <c r="P87" i="67" s="1"/>
  <c r="O68" i="67"/>
  <c r="N68" i="67"/>
  <c r="M68" i="67"/>
  <c r="L68" i="67"/>
  <c r="L87" i="67" s="1"/>
  <c r="K68" i="67"/>
  <c r="J68" i="67"/>
  <c r="I68" i="67"/>
  <c r="H68" i="67"/>
  <c r="H87" i="67" s="1"/>
  <c r="G68" i="67"/>
  <c r="F68" i="67"/>
  <c r="E68" i="67"/>
  <c r="D68" i="67"/>
  <c r="D87" i="67" s="1"/>
  <c r="C68" i="67"/>
  <c r="C87" i="67" s="1"/>
  <c r="S87" i="67" s="1"/>
  <c r="B68" i="67"/>
  <c r="B87" i="67" s="1"/>
  <c r="R87" i="67" s="1"/>
  <c r="S67" i="67"/>
  <c r="R67" i="67"/>
  <c r="Q67" i="67"/>
  <c r="P67" i="67"/>
  <c r="O67" i="67"/>
  <c r="N67" i="67"/>
  <c r="M67" i="67"/>
  <c r="L67" i="67"/>
  <c r="K67" i="67"/>
  <c r="J67" i="67"/>
  <c r="I67" i="67"/>
  <c r="I86" i="67" s="1"/>
  <c r="H67" i="67"/>
  <c r="G67" i="67"/>
  <c r="F67" i="67"/>
  <c r="E67" i="67"/>
  <c r="E86" i="67" s="1"/>
  <c r="D67" i="67"/>
  <c r="C67" i="67"/>
  <c r="C86" i="67" s="1"/>
  <c r="S86" i="67" s="1"/>
  <c r="B67" i="67"/>
  <c r="B86" i="67" s="1"/>
  <c r="L86" i="67" s="1"/>
  <c r="S66" i="67"/>
  <c r="R66" i="67"/>
  <c r="Q66" i="67"/>
  <c r="P66" i="67"/>
  <c r="P85" i="67" s="1"/>
  <c r="O66" i="67"/>
  <c r="N66" i="67"/>
  <c r="M66" i="67"/>
  <c r="L66" i="67"/>
  <c r="L85" i="67" s="1"/>
  <c r="K66" i="67"/>
  <c r="J66" i="67"/>
  <c r="I66" i="67"/>
  <c r="H66" i="67"/>
  <c r="H85" i="67" s="1"/>
  <c r="G66" i="67"/>
  <c r="F66" i="67"/>
  <c r="E66" i="67"/>
  <c r="D66" i="67"/>
  <c r="D85" i="67" s="1"/>
  <c r="C66" i="67"/>
  <c r="C85" i="67" s="1"/>
  <c r="O85" i="67" s="1"/>
  <c r="B66" i="67"/>
  <c r="B85" i="67" s="1"/>
  <c r="N85" i="67" s="1"/>
  <c r="S65" i="67"/>
  <c r="R65" i="67"/>
  <c r="Q65" i="67"/>
  <c r="P65" i="67"/>
  <c r="O65" i="67"/>
  <c r="N65" i="67"/>
  <c r="M65" i="67"/>
  <c r="M84" i="67" s="1"/>
  <c r="L65" i="67"/>
  <c r="K65" i="67"/>
  <c r="J65" i="67"/>
  <c r="I65" i="67"/>
  <c r="I84" i="67" s="1"/>
  <c r="H65" i="67"/>
  <c r="G65" i="67"/>
  <c r="F65" i="67"/>
  <c r="E65" i="67"/>
  <c r="E84" i="67" s="1"/>
  <c r="D65" i="67"/>
  <c r="C65" i="67"/>
  <c r="C84" i="67" s="1"/>
  <c r="B65" i="67"/>
  <c r="B84" i="67" s="1"/>
  <c r="P84" i="67" s="1"/>
  <c r="S64" i="67"/>
  <c r="R64" i="67"/>
  <c r="Q64" i="67"/>
  <c r="P64" i="67"/>
  <c r="P83" i="67" s="1"/>
  <c r="O64" i="67"/>
  <c r="N64" i="67"/>
  <c r="M64" i="67"/>
  <c r="L64" i="67"/>
  <c r="L83" i="67" s="1"/>
  <c r="K64" i="67"/>
  <c r="J64" i="67"/>
  <c r="I64" i="67"/>
  <c r="H64" i="67"/>
  <c r="H83" i="67" s="1"/>
  <c r="G64" i="67"/>
  <c r="F64" i="67"/>
  <c r="E64" i="67"/>
  <c r="D83" i="67"/>
  <c r="C64" i="67"/>
  <c r="C83" i="67" s="1"/>
  <c r="S83" i="67" s="1"/>
  <c r="B64" i="67"/>
  <c r="B83" i="67" s="1"/>
  <c r="R83" i="67" s="1"/>
  <c r="S63" i="67"/>
  <c r="Q63" i="67"/>
  <c r="Q82" i="67" s="1"/>
  <c r="O63" i="67"/>
  <c r="O82" i="67" s="1"/>
  <c r="M63" i="67"/>
  <c r="K63" i="67"/>
  <c r="I63" i="67"/>
  <c r="I82" i="67" s="1"/>
  <c r="G63" i="67"/>
  <c r="G82" i="67" s="1"/>
  <c r="E63" i="67"/>
  <c r="C63" i="67"/>
  <c r="C82" i="67" s="1"/>
  <c r="S82" i="67" s="1"/>
  <c r="S62" i="67"/>
  <c r="Q62" i="67"/>
  <c r="O62" i="67"/>
  <c r="M62" i="67"/>
  <c r="K62" i="67"/>
  <c r="I62" i="67"/>
  <c r="G62" i="67"/>
  <c r="E62" i="67"/>
  <c r="C62" i="67"/>
  <c r="C81" i="67" s="1"/>
  <c r="S61" i="67"/>
  <c r="Q61" i="67"/>
  <c r="O61" i="67"/>
  <c r="M61" i="67"/>
  <c r="K61" i="67"/>
  <c r="I61" i="67"/>
  <c r="G61" i="67"/>
  <c r="E61" i="67"/>
  <c r="C61" i="67"/>
  <c r="C80" i="67" s="1"/>
  <c r="K80" i="67" s="1"/>
  <c r="S60" i="67"/>
  <c r="Q60" i="67"/>
  <c r="O60" i="67"/>
  <c r="O79" i="67" s="1"/>
  <c r="M60" i="67"/>
  <c r="K60" i="67"/>
  <c r="I60" i="67"/>
  <c r="G60" i="67"/>
  <c r="G79" i="67" s="1"/>
  <c r="E60" i="67"/>
  <c r="E79" i="67" s="1"/>
  <c r="C60" i="67"/>
  <c r="C79" i="67" s="1"/>
  <c r="S59" i="67"/>
  <c r="Q59" i="67"/>
  <c r="Q78" i="67" s="1"/>
  <c r="O59" i="67"/>
  <c r="M59" i="67"/>
  <c r="K59" i="67"/>
  <c r="I59" i="67"/>
  <c r="I78" i="67" s="1"/>
  <c r="G59" i="67"/>
  <c r="G78" i="67" s="1"/>
  <c r="E59" i="67"/>
  <c r="C59" i="67"/>
  <c r="C78" i="67" s="1"/>
  <c r="S58" i="67"/>
  <c r="Q58" i="67"/>
  <c r="O58" i="67"/>
  <c r="M58" i="67"/>
  <c r="K58" i="67"/>
  <c r="I58" i="67"/>
  <c r="G58" i="67"/>
  <c r="E58" i="67"/>
  <c r="C58" i="67"/>
  <c r="C77" i="67" s="1"/>
  <c r="S57" i="67"/>
  <c r="Q57" i="67"/>
  <c r="O57" i="67"/>
  <c r="M57" i="67"/>
  <c r="K57" i="67"/>
  <c r="I57" i="67"/>
  <c r="G57" i="67"/>
  <c r="E57" i="67"/>
  <c r="C57" i="67"/>
  <c r="C76" i="67" s="1"/>
  <c r="S76" i="67" s="1"/>
  <c r="S56" i="67"/>
  <c r="Q56" i="67"/>
  <c r="O56" i="67"/>
  <c r="O75" i="67" s="1"/>
  <c r="M56" i="67"/>
  <c r="M75" i="67" s="1"/>
  <c r="K56" i="67"/>
  <c r="I56" i="67"/>
  <c r="G56" i="67"/>
  <c r="G75" i="67" s="1"/>
  <c r="E56" i="67"/>
  <c r="E75" i="67" s="1"/>
  <c r="C56" i="67"/>
  <c r="C75" i="67" s="1"/>
  <c r="S75" i="67" s="1"/>
  <c r="S55" i="67"/>
  <c r="Q55" i="67"/>
  <c r="Q74" i="67" s="1"/>
  <c r="O55" i="67"/>
  <c r="O74" i="67" s="1"/>
  <c r="M55" i="67"/>
  <c r="K55" i="67"/>
  <c r="I55" i="67"/>
  <c r="I74" i="67" s="1"/>
  <c r="G55" i="67"/>
  <c r="G74" i="67" s="1"/>
  <c r="E55" i="67"/>
  <c r="C55" i="67"/>
  <c r="C74" i="67" s="1"/>
  <c r="I77" i="67" l="1"/>
  <c r="Q81" i="67"/>
  <c r="M86" i="67"/>
  <c r="K76" i="67"/>
  <c r="M74" i="67"/>
  <c r="E78" i="67"/>
  <c r="M78" i="67"/>
  <c r="E82" i="67"/>
  <c r="M82" i="67"/>
  <c r="Q86" i="67"/>
  <c r="S80" i="67"/>
  <c r="G83" i="67"/>
  <c r="G85" i="67"/>
  <c r="S85" i="67"/>
  <c r="G87" i="67"/>
  <c r="Q77" i="67"/>
  <c r="S77" i="67"/>
  <c r="I81" i="67"/>
  <c r="F84" i="67"/>
  <c r="N84" i="67"/>
  <c r="F86" i="67"/>
  <c r="J86" i="67"/>
  <c r="N86" i="67"/>
  <c r="R86" i="67"/>
  <c r="E74" i="67"/>
  <c r="K74" i="67"/>
  <c r="S74" i="67"/>
  <c r="I75" i="67"/>
  <c r="Q75" i="67"/>
  <c r="G76" i="67"/>
  <c r="O76" i="67"/>
  <c r="E77" i="67"/>
  <c r="M77" i="67"/>
  <c r="O78" i="67"/>
  <c r="K78" i="67"/>
  <c r="S78" i="67"/>
  <c r="I79" i="67"/>
  <c r="Q79" i="67"/>
  <c r="G80" i="67"/>
  <c r="O80" i="67"/>
  <c r="E81" i="67"/>
  <c r="M81" i="67"/>
  <c r="K82" i="67"/>
  <c r="E83" i="67"/>
  <c r="I83" i="67"/>
  <c r="M83" i="67"/>
  <c r="Q83" i="67"/>
  <c r="Q84" i="67"/>
  <c r="G84" i="67"/>
  <c r="K84" i="67"/>
  <c r="O84" i="67"/>
  <c r="S84" i="67"/>
  <c r="E85" i="67"/>
  <c r="I85" i="67"/>
  <c r="M85" i="67"/>
  <c r="Q85" i="67"/>
  <c r="G86" i="67"/>
  <c r="K86" i="67"/>
  <c r="O86" i="67"/>
  <c r="E87" i="67"/>
  <c r="I87" i="67"/>
  <c r="M87" i="67"/>
  <c r="Q87" i="67"/>
  <c r="O83" i="67"/>
  <c r="K85" i="67"/>
  <c r="K87" i="67"/>
  <c r="E76" i="67"/>
  <c r="M76" i="67"/>
  <c r="K77" i="67"/>
  <c r="E80" i="67"/>
  <c r="M80" i="67"/>
  <c r="K81" i="67"/>
  <c r="S81" i="67"/>
  <c r="J84" i="67"/>
  <c r="R84" i="67"/>
  <c r="K75" i="67"/>
  <c r="I76" i="67"/>
  <c r="Q76" i="67"/>
  <c r="G77" i="67"/>
  <c r="O77" i="67"/>
  <c r="M79" i="67"/>
  <c r="K79" i="67"/>
  <c r="S79" i="67"/>
  <c r="I80" i="67"/>
  <c r="Q80" i="67"/>
  <c r="G81" i="67"/>
  <c r="O81" i="67"/>
  <c r="F83" i="67"/>
  <c r="J83" i="67"/>
  <c r="N83" i="67"/>
  <c r="D84" i="67"/>
  <c r="H84" i="67"/>
  <c r="L84" i="67"/>
  <c r="F85" i="67"/>
  <c r="J85" i="67"/>
  <c r="R85" i="67"/>
  <c r="D86" i="67"/>
  <c r="H86" i="67"/>
  <c r="P86" i="67"/>
  <c r="F87" i="67"/>
  <c r="J87" i="67"/>
  <c r="N87" i="67"/>
  <c r="K83" i="67"/>
  <c r="O87" i="67"/>
  <c r="G28" i="63"/>
  <c r="F28" i="63"/>
  <c r="E28" i="63"/>
  <c r="D28" i="63"/>
  <c r="C28" i="63"/>
  <c r="B28" i="63"/>
  <c r="G27" i="63"/>
  <c r="E27" i="63"/>
  <c r="C27" i="63"/>
  <c r="G26" i="63"/>
  <c r="F26" i="63"/>
  <c r="E26" i="63"/>
  <c r="D26" i="63"/>
  <c r="C26" i="63"/>
  <c r="B26" i="63"/>
  <c r="G25" i="63"/>
  <c r="E25" i="63"/>
  <c r="C25" i="63"/>
  <c r="E62" i="61" l="1"/>
  <c r="D62" i="61"/>
  <c r="C62" i="61"/>
  <c r="B62" i="61"/>
  <c r="E55" i="61"/>
  <c r="D55" i="61"/>
  <c r="C55" i="61"/>
  <c r="B55" i="61"/>
  <c r="K69" i="51" l="1"/>
  <c r="J69" i="51"/>
  <c r="K68" i="51"/>
  <c r="J68" i="51"/>
  <c r="L69" i="51"/>
  <c r="L68" i="51"/>
  <c r="L67" i="51"/>
  <c r="H69" i="51"/>
  <c r="G69" i="51"/>
  <c r="H68" i="51"/>
  <c r="G68" i="51"/>
  <c r="H67" i="51"/>
  <c r="G67" i="51"/>
  <c r="D70" i="51"/>
  <c r="D69" i="51"/>
  <c r="D66" i="51"/>
  <c r="C69" i="51"/>
  <c r="D68" i="51"/>
  <c r="C68" i="51"/>
  <c r="D67" i="51"/>
  <c r="C67" i="51"/>
  <c r="B69" i="51"/>
  <c r="B68" i="51"/>
  <c r="B67" i="51"/>
  <c r="D46" i="50"/>
  <c r="C46" i="50"/>
  <c r="D45" i="50"/>
  <c r="C45" i="50"/>
  <c r="B47" i="50"/>
  <c r="B46" i="50"/>
  <c r="B45" i="50"/>
  <c r="B44" i="50"/>
  <c r="F30" i="49"/>
  <c r="E30" i="49"/>
  <c r="H29" i="49"/>
  <c r="H30" i="49" s="1"/>
  <c r="G29" i="49"/>
  <c r="G30" i="49" s="1"/>
  <c r="H28" i="49"/>
  <c r="G28" i="49"/>
  <c r="D29" i="49"/>
  <c r="D30" i="49" s="1"/>
  <c r="C29" i="49"/>
  <c r="C30" i="49" s="1"/>
  <c r="D28" i="49"/>
  <c r="C28" i="49"/>
  <c r="B30" i="49"/>
  <c r="B29" i="49"/>
  <c r="B28" i="49"/>
  <c r="H32" i="55"/>
  <c r="G32" i="55"/>
  <c r="F32" i="55"/>
  <c r="E32" i="55"/>
  <c r="D32" i="55"/>
  <c r="C32" i="55"/>
  <c r="H31" i="55"/>
  <c r="G31" i="55"/>
  <c r="F31" i="55"/>
  <c r="E31" i="55"/>
  <c r="D31" i="55"/>
  <c r="C31" i="55"/>
  <c r="H30" i="55"/>
  <c r="G30" i="55"/>
  <c r="F30" i="55"/>
  <c r="E30" i="55"/>
  <c r="D30" i="55"/>
  <c r="C30" i="55"/>
  <c r="B32" i="55"/>
  <c r="B31" i="55"/>
  <c r="B30" i="55"/>
  <c r="M47" i="38"/>
  <c r="M46" i="38"/>
  <c r="D42" i="24"/>
  <c r="D41" i="24"/>
  <c r="D40" i="24"/>
  <c r="N46" i="48"/>
  <c r="M46" i="48"/>
  <c r="L46" i="48"/>
  <c r="K46" i="48"/>
  <c r="J46" i="48"/>
  <c r="I46" i="48"/>
  <c r="H46" i="48"/>
  <c r="G46" i="48"/>
  <c r="F46" i="48"/>
  <c r="E46" i="48"/>
  <c r="D46" i="48"/>
  <c r="C46" i="48"/>
  <c r="N45" i="48"/>
  <c r="M45" i="48"/>
  <c r="L45" i="48"/>
  <c r="K45" i="48"/>
  <c r="J45" i="48"/>
  <c r="I45" i="48"/>
  <c r="H45" i="48"/>
  <c r="G45" i="48"/>
  <c r="F45" i="48"/>
  <c r="E45" i="48"/>
  <c r="D45" i="48"/>
  <c r="C45" i="48"/>
  <c r="N44" i="48"/>
  <c r="M44" i="48"/>
  <c r="L44" i="48"/>
  <c r="K44" i="48"/>
  <c r="J44" i="48"/>
  <c r="I44" i="48"/>
  <c r="H44" i="48"/>
  <c r="G44" i="48"/>
  <c r="F44" i="48"/>
  <c r="E44" i="48"/>
  <c r="D44" i="48"/>
  <c r="C44" i="48"/>
  <c r="B46" i="48"/>
  <c r="B45" i="48"/>
  <c r="B44" i="48"/>
  <c r="B30" i="37"/>
  <c r="B29" i="37"/>
  <c r="B28" i="37"/>
  <c r="F51" i="47" l="1"/>
  <c r="E51" i="47"/>
  <c r="D51" i="47"/>
  <c r="C51" i="47"/>
  <c r="F50" i="47"/>
  <c r="E50" i="47"/>
  <c r="D50" i="47"/>
  <c r="C50" i="47"/>
  <c r="F49" i="47"/>
  <c r="E49" i="47"/>
  <c r="D49" i="47"/>
  <c r="C49" i="47"/>
  <c r="B51" i="47"/>
  <c r="B50" i="47"/>
  <c r="B49" i="47"/>
  <c r="F50" i="35"/>
  <c r="E50" i="35"/>
  <c r="D50" i="35"/>
  <c r="C50" i="35"/>
  <c r="F49" i="35"/>
  <c r="E49" i="35"/>
  <c r="D49" i="35"/>
  <c r="C49" i="35"/>
  <c r="F48" i="35"/>
  <c r="E48" i="35"/>
  <c r="D48" i="35"/>
  <c r="C48" i="35"/>
  <c r="B50" i="35"/>
  <c r="B49" i="35"/>
  <c r="B48" i="35"/>
  <c r="F52" i="46"/>
  <c r="F51" i="46"/>
  <c r="F50" i="46"/>
  <c r="E52" i="46"/>
  <c r="D52" i="46"/>
  <c r="C52" i="46"/>
  <c r="B52" i="46"/>
  <c r="E51" i="46"/>
  <c r="D51" i="46"/>
  <c r="C51" i="46"/>
  <c r="B51" i="46"/>
  <c r="E50" i="46"/>
  <c r="D50" i="46"/>
  <c r="C50" i="46"/>
  <c r="B50" i="46"/>
  <c r="L52" i="43"/>
  <c r="K52" i="43"/>
  <c r="J52" i="43"/>
  <c r="I52" i="43"/>
  <c r="L51" i="43"/>
  <c r="K51" i="43"/>
  <c r="J51" i="43"/>
  <c r="I51" i="43"/>
  <c r="L50" i="43"/>
  <c r="K50" i="43"/>
  <c r="J50" i="43"/>
  <c r="I50" i="43"/>
  <c r="H52" i="43"/>
  <c r="H51" i="43"/>
  <c r="H50" i="43"/>
  <c r="F52" i="43"/>
  <c r="E52" i="43"/>
  <c r="D52" i="43"/>
  <c r="C52" i="43"/>
  <c r="F51" i="43"/>
  <c r="E51" i="43"/>
  <c r="D51" i="43"/>
  <c r="C51" i="43"/>
  <c r="F50" i="43"/>
  <c r="E50" i="43"/>
  <c r="D50" i="43"/>
  <c r="C50" i="43"/>
  <c r="B52" i="43"/>
  <c r="B51" i="43"/>
  <c r="B50" i="43"/>
  <c r="M52" i="33"/>
  <c r="L52" i="33"/>
  <c r="K52" i="33"/>
  <c r="J52" i="33"/>
  <c r="I52" i="33"/>
  <c r="H52" i="33"/>
  <c r="G52" i="33"/>
  <c r="F52" i="33"/>
  <c r="E52" i="33"/>
  <c r="D52" i="33"/>
  <c r="C52" i="33"/>
  <c r="B52" i="33"/>
  <c r="M51" i="33"/>
  <c r="L51" i="33"/>
  <c r="K51" i="33"/>
  <c r="J51" i="33"/>
  <c r="I51" i="33"/>
  <c r="H51" i="33"/>
  <c r="F51" i="33"/>
  <c r="E51" i="33"/>
  <c r="D51" i="33"/>
  <c r="C51" i="33"/>
  <c r="B51" i="33"/>
  <c r="M50" i="33"/>
  <c r="L50" i="33"/>
  <c r="K50" i="33"/>
  <c r="J50" i="33"/>
  <c r="I50" i="33"/>
  <c r="H50" i="33"/>
  <c r="F50" i="33"/>
  <c r="E50" i="33"/>
  <c r="D50" i="33"/>
  <c r="C50" i="33"/>
  <c r="B50" i="33"/>
  <c r="M52" i="32"/>
  <c r="L52" i="32"/>
  <c r="K52" i="32"/>
  <c r="J52" i="32"/>
  <c r="I52" i="32"/>
  <c r="H52" i="32"/>
  <c r="M51" i="32"/>
  <c r="L51" i="32"/>
  <c r="K51" i="32"/>
  <c r="J51" i="32"/>
  <c r="I51" i="32"/>
  <c r="H51" i="32"/>
  <c r="M50" i="32"/>
  <c r="L50" i="32"/>
  <c r="K50" i="32"/>
  <c r="J50" i="32"/>
  <c r="I50" i="32"/>
  <c r="H50" i="32"/>
  <c r="G52" i="32"/>
  <c r="F52" i="32"/>
  <c r="E52" i="32"/>
  <c r="D52" i="32"/>
  <c r="C52" i="32"/>
  <c r="B52" i="32"/>
  <c r="G51" i="32"/>
  <c r="F51" i="32"/>
  <c r="E51" i="32"/>
  <c r="D51" i="32"/>
  <c r="C51" i="32"/>
  <c r="B51" i="32"/>
  <c r="G50" i="32"/>
  <c r="F50" i="32"/>
  <c r="E50" i="32"/>
  <c r="D50" i="32"/>
  <c r="C50" i="32"/>
  <c r="B50" i="32"/>
  <c r="H52" i="31"/>
  <c r="G52" i="31"/>
  <c r="F52" i="31"/>
  <c r="D52" i="31"/>
  <c r="C52" i="31"/>
  <c r="H51" i="31"/>
  <c r="G51" i="31"/>
  <c r="F51" i="31"/>
  <c r="D51" i="31"/>
  <c r="C51" i="31"/>
  <c r="H50" i="31"/>
  <c r="G50" i="31"/>
  <c r="F50" i="31"/>
  <c r="D50" i="31"/>
  <c r="C50" i="31"/>
  <c r="B52" i="31"/>
  <c r="B51" i="31"/>
  <c r="B50" i="31"/>
  <c r="B52" i="106"/>
  <c r="B51" i="106"/>
  <c r="B50" i="106"/>
  <c r="G52" i="45"/>
  <c r="F52" i="45"/>
  <c r="E52" i="45"/>
  <c r="D52" i="45"/>
  <c r="C52" i="45"/>
  <c r="G51" i="45"/>
  <c r="F51" i="45"/>
  <c r="E51" i="45"/>
  <c r="D51" i="45"/>
  <c r="C51" i="45"/>
  <c r="G50" i="45"/>
  <c r="F50" i="45"/>
  <c r="E50" i="45"/>
  <c r="D50" i="45"/>
  <c r="C50" i="45"/>
  <c r="B52" i="45"/>
  <c r="B51" i="45"/>
  <c r="B50" i="45"/>
  <c r="J53" i="7"/>
  <c r="H53" i="7"/>
  <c r="G53" i="7"/>
  <c r="E53" i="7"/>
  <c r="C53" i="7"/>
  <c r="B53" i="7"/>
  <c r="J52" i="7"/>
  <c r="H52" i="7"/>
  <c r="G52" i="7"/>
  <c r="E52" i="7"/>
  <c r="C52" i="7"/>
  <c r="B52" i="7"/>
  <c r="J51" i="7"/>
  <c r="H51" i="7"/>
  <c r="G51" i="7"/>
  <c r="E51" i="7"/>
  <c r="C51" i="7"/>
  <c r="B51" i="7"/>
  <c r="F51" i="29"/>
  <c r="E51" i="29"/>
  <c r="D51" i="29"/>
  <c r="C51" i="29"/>
  <c r="B51" i="29"/>
  <c r="F50" i="29"/>
  <c r="E50" i="29"/>
  <c r="D50" i="29"/>
  <c r="C50" i="29"/>
  <c r="B50" i="29"/>
  <c r="F49" i="29"/>
  <c r="E49" i="29"/>
  <c r="D49" i="29"/>
  <c r="C49" i="29"/>
  <c r="B49" i="29"/>
  <c r="F51" i="26"/>
  <c r="E51" i="26"/>
  <c r="D51" i="26"/>
  <c r="C51" i="26"/>
  <c r="F50" i="26"/>
  <c r="E50" i="26"/>
  <c r="D50" i="26"/>
  <c r="C50" i="26"/>
  <c r="F49" i="26"/>
  <c r="E49" i="26"/>
  <c r="D49" i="26"/>
  <c r="C49" i="26"/>
  <c r="B51" i="26"/>
  <c r="B50" i="26"/>
  <c r="B49" i="26"/>
  <c r="G15" i="103" l="1"/>
  <c r="F15" i="103"/>
  <c r="E15" i="103"/>
  <c r="D15" i="103"/>
  <c r="C15" i="103"/>
  <c r="B15" i="103"/>
  <c r="G14" i="103"/>
  <c r="F14" i="103"/>
  <c r="D14" i="103"/>
  <c r="B14" i="103"/>
  <c r="G13" i="103"/>
  <c r="F13" i="103"/>
  <c r="D13" i="103"/>
  <c r="B13" i="103"/>
  <c r="G12" i="103"/>
  <c r="F12" i="103"/>
  <c r="E12" i="103"/>
  <c r="D12" i="103"/>
  <c r="C12" i="103"/>
  <c r="B12" i="103"/>
  <c r="G15" i="101"/>
  <c r="F15" i="101"/>
  <c r="E15" i="101"/>
  <c r="D15" i="101"/>
  <c r="C15" i="101"/>
  <c r="B15" i="101"/>
  <c r="G14" i="101"/>
  <c r="F14" i="101"/>
  <c r="D14" i="101"/>
  <c r="B14" i="101"/>
  <c r="G13" i="101"/>
  <c r="F13" i="101"/>
  <c r="D13" i="101"/>
  <c r="B13" i="101"/>
  <c r="G12" i="101"/>
  <c r="F12" i="101"/>
  <c r="E12" i="101"/>
  <c r="D12" i="101"/>
  <c r="C12" i="101"/>
  <c r="B12" i="101"/>
  <c r="G15" i="99"/>
  <c r="F15" i="99"/>
  <c r="E15" i="99"/>
  <c r="D15" i="99"/>
  <c r="C15" i="99"/>
  <c r="B15" i="99"/>
  <c r="G14" i="99"/>
  <c r="F14" i="99"/>
  <c r="D14" i="99"/>
  <c r="B14" i="99"/>
  <c r="G13" i="99"/>
  <c r="F13" i="99"/>
  <c r="D13" i="99"/>
  <c r="B13" i="99"/>
  <c r="G12" i="99"/>
  <c r="F12" i="99"/>
  <c r="E12" i="99"/>
  <c r="D12" i="99"/>
  <c r="C12" i="99"/>
  <c r="B12" i="99"/>
  <c r="G15" i="97"/>
  <c r="F15" i="97"/>
  <c r="E15" i="97"/>
  <c r="D15" i="97"/>
  <c r="C15" i="97"/>
  <c r="G14" i="97"/>
  <c r="F14" i="97"/>
  <c r="E14" i="97"/>
  <c r="D14" i="97"/>
  <c r="G13" i="97"/>
  <c r="F13" i="97"/>
  <c r="E13" i="97"/>
  <c r="D13" i="97"/>
  <c r="G12" i="97"/>
  <c r="F12" i="97"/>
  <c r="E12" i="97"/>
  <c r="D12" i="97"/>
  <c r="C12" i="97"/>
  <c r="B15" i="97"/>
  <c r="B14" i="97"/>
  <c r="B13" i="97"/>
  <c r="B12" i="97"/>
  <c r="F15" i="95"/>
  <c r="E15" i="95"/>
  <c r="D15" i="95"/>
  <c r="C15" i="95"/>
  <c r="B15" i="95"/>
  <c r="F14" i="95"/>
  <c r="E14" i="95"/>
  <c r="D14" i="95"/>
  <c r="C14" i="95"/>
  <c r="B14" i="95"/>
  <c r="F13" i="95"/>
  <c r="E13" i="95"/>
  <c r="D13" i="95"/>
  <c r="C13" i="95"/>
  <c r="B13" i="95"/>
  <c r="F12" i="95"/>
  <c r="E12" i="95"/>
  <c r="D12" i="95"/>
  <c r="C12" i="95"/>
  <c r="B12" i="95"/>
  <c r="G15" i="93"/>
  <c r="F15" i="93"/>
  <c r="E15" i="93"/>
  <c r="D15" i="93"/>
  <c r="C15" i="93"/>
  <c r="G14" i="93"/>
  <c r="F14" i="93"/>
  <c r="E14" i="93"/>
  <c r="D14" i="93"/>
  <c r="G13" i="93"/>
  <c r="F13" i="93"/>
  <c r="E13" i="93"/>
  <c r="D13" i="93"/>
  <c r="G12" i="93"/>
  <c r="F12" i="93"/>
  <c r="E12" i="93"/>
  <c r="D12" i="93"/>
  <c r="C12" i="93"/>
  <c r="B15" i="93"/>
  <c r="B14" i="93"/>
  <c r="B13" i="93"/>
  <c r="B12" i="93"/>
  <c r="J16" i="83"/>
  <c r="I16" i="83"/>
  <c r="H16" i="83"/>
  <c r="F16" i="83"/>
  <c r="E16" i="83"/>
  <c r="D16" i="83"/>
  <c r="C16" i="83"/>
  <c r="B16" i="83"/>
  <c r="I15" i="83"/>
  <c r="H15" i="83"/>
  <c r="F15" i="83"/>
  <c r="E15" i="83"/>
  <c r="C15" i="83"/>
  <c r="B15" i="83"/>
  <c r="I14" i="83"/>
  <c r="H14" i="83"/>
  <c r="F14" i="83"/>
  <c r="E14" i="83"/>
  <c r="C14" i="83"/>
  <c r="B14" i="83"/>
  <c r="J13" i="83"/>
  <c r="I13" i="83"/>
  <c r="H13" i="83"/>
  <c r="G13" i="83"/>
  <c r="F13" i="83"/>
  <c r="E13" i="83"/>
  <c r="D13" i="83"/>
  <c r="C13" i="83"/>
  <c r="B13" i="83"/>
  <c r="G13" i="81"/>
  <c r="J16" i="81"/>
  <c r="I16" i="81"/>
  <c r="H16" i="81"/>
  <c r="F16" i="81"/>
  <c r="E16" i="81"/>
  <c r="D16" i="81"/>
  <c r="C16" i="81"/>
  <c r="B16" i="81"/>
  <c r="I15" i="81"/>
  <c r="H15" i="81"/>
  <c r="F15" i="81"/>
  <c r="E15" i="81"/>
  <c r="C15" i="81"/>
  <c r="B15" i="81"/>
  <c r="I14" i="81"/>
  <c r="H14" i="81"/>
  <c r="F14" i="81"/>
  <c r="E14" i="81"/>
  <c r="C14" i="81"/>
  <c r="B14" i="81"/>
  <c r="J13" i="81"/>
  <c r="I13" i="81"/>
  <c r="H13" i="81"/>
  <c r="F13" i="81"/>
  <c r="E13" i="81"/>
  <c r="D13" i="81"/>
  <c r="C13" i="81"/>
  <c r="B13" i="81"/>
  <c r="O16" i="87"/>
  <c r="N16" i="87"/>
  <c r="M16" i="87"/>
  <c r="L16" i="87"/>
  <c r="K16" i="87"/>
  <c r="J16" i="87"/>
  <c r="I16" i="87"/>
  <c r="H16" i="87"/>
  <c r="G16" i="87"/>
  <c r="F16" i="87"/>
  <c r="E16" i="87"/>
  <c r="D16" i="87"/>
  <c r="C16" i="87"/>
  <c r="B16" i="87"/>
  <c r="O15" i="87"/>
  <c r="N15" i="87"/>
  <c r="M15" i="87"/>
  <c r="L15" i="87"/>
  <c r="K15" i="87"/>
  <c r="J15" i="87"/>
  <c r="I15" i="87"/>
  <c r="H15" i="87"/>
  <c r="F15" i="87"/>
  <c r="E15" i="87"/>
  <c r="D15" i="87"/>
  <c r="C15" i="87"/>
  <c r="B15" i="87"/>
  <c r="O14" i="87"/>
  <c r="N14" i="87"/>
  <c r="M14" i="87"/>
  <c r="L14" i="87"/>
  <c r="K14" i="87"/>
  <c r="J14" i="87"/>
  <c r="I14" i="87"/>
  <c r="H14" i="87"/>
  <c r="F14" i="87"/>
  <c r="E14" i="87"/>
  <c r="D14" i="87"/>
  <c r="C14" i="87"/>
  <c r="B14" i="87"/>
  <c r="O13" i="87"/>
  <c r="N13" i="87"/>
  <c r="M13" i="87"/>
  <c r="L13" i="87"/>
  <c r="K13" i="87"/>
  <c r="J13" i="87"/>
  <c r="I13" i="87"/>
  <c r="H13" i="87"/>
  <c r="G13" i="87"/>
  <c r="F13" i="87"/>
  <c r="E13" i="87"/>
  <c r="D13" i="87"/>
  <c r="C13" i="87"/>
  <c r="B13" i="87"/>
  <c r="O16" i="85"/>
  <c r="N16" i="85"/>
  <c r="M16" i="85"/>
  <c r="L16" i="85"/>
  <c r="K16" i="85"/>
  <c r="J16" i="85"/>
  <c r="I16" i="85"/>
  <c r="H16" i="85"/>
  <c r="G16" i="85"/>
  <c r="F16" i="85"/>
  <c r="E16" i="85"/>
  <c r="D16" i="85"/>
  <c r="C16" i="85"/>
  <c r="B16" i="85"/>
  <c r="O15" i="85"/>
  <c r="N15" i="85"/>
  <c r="M15" i="85"/>
  <c r="L15" i="85"/>
  <c r="K15" i="85"/>
  <c r="J15" i="85"/>
  <c r="I15" i="85"/>
  <c r="H15" i="85"/>
  <c r="F15" i="85"/>
  <c r="E15" i="85"/>
  <c r="D15" i="85"/>
  <c r="C15" i="85"/>
  <c r="B15" i="85"/>
  <c r="O14" i="85"/>
  <c r="N14" i="85"/>
  <c r="M14" i="85"/>
  <c r="L14" i="85"/>
  <c r="K14" i="85"/>
  <c r="J14" i="85"/>
  <c r="I14" i="85"/>
  <c r="H14" i="85"/>
  <c r="F14" i="85"/>
  <c r="E14" i="85"/>
  <c r="D14" i="85"/>
  <c r="C14" i="85"/>
  <c r="B14" i="85"/>
  <c r="O13" i="85"/>
  <c r="N13" i="85"/>
  <c r="M13" i="85"/>
  <c r="L13" i="85"/>
  <c r="K13" i="85"/>
  <c r="J13" i="85"/>
  <c r="I13" i="85"/>
  <c r="H13" i="85"/>
  <c r="G13" i="85"/>
  <c r="F13" i="85"/>
  <c r="E13" i="85"/>
  <c r="D13" i="85"/>
  <c r="C13" i="85"/>
  <c r="B13" i="85"/>
  <c r="G13" i="79"/>
  <c r="J16" i="79"/>
  <c r="I16" i="79"/>
  <c r="H16" i="79"/>
  <c r="F16" i="79"/>
  <c r="E16" i="79"/>
  <c r="D16" i="79"/>
  <c r="C16" i="79"/>
  <c r="B16" i="79"/>
  <c r="I15" i="79"/>
  <c r="H15" i="79"/>
  <c r="F15" i="79"/>
  <c r="E15" i="79"/>
  <c r="C15" i="79"/>
  <c r="B15" i="79"/>
  <c r="I14" i="79"/>
  <c r="H14" i="79"/>
  <c r="F14" i="79"/>
  <c r="E14" i="79"/>
  <c r="C14" i="79"/>
  <c r="B14" i="79"/>
  <c r="J13" i="79"/>
  <c r="I13" i="79"/>
  <c r="H13" i="79"/>
  <c r="F13" i="79"/>
  <c r="E13" i="79"/>
  <c r="D13" i="79"/>
  <c r="C13" i="79"/>
  <c r="B13" i="79"/>
  <c r="O16" i="77"/>
  <c r="N16" i="77"/>
  <c r="M16" i="77"/>
  <c r="L16" i="77"/>
  <c r="K16" i="77"/>
  <c r="J16" i="77"/>
  <c r="I16" i="77"/>
  <c r="H16" i="77"/>
  <c r="G16" i="77"/>
  <c r="F16" i="77"/>
  <c r="E16" i="77"/>
  <c r="D16" i="77"/>
  <c r="C16" i="77"/>
  <c r="O15" i="77"/>
  <c r="N15" i="77"/>
  <c r="M15" i="77"/>
  <c r="L15" i="77"/>
  <c r="K15" i="77"/>
  <c r="J15" i="77"/>
  <c r="I15" i="77"/>
  <c r="H15" i="77"/>
  <c r="F15" i="77"/>
  <c r="E15" i="77"/>
  <c r="D15" i="77"/>
  <c r="C15" i="77"/>
  <c r="O14" i="77"/>
  <c r="N14" i="77"/>
  <c r="M14" i="77"/>
  <c r="L14" i="77"/>
  <c r="K14" i="77"/>
  <c r="J14" i="77"/>
  <c r="I14" i="77"/>
  <c r="H14" i="77"/>
  <c r="F14" i="77"/>
  <c r="E14" i="77"/>
  <c r="D14" i="77"/>
  <c r="C14" i="77"/>
  <c r="O13" i="77"/>
  <c r="N13" i="77"/>
  <c r="M13" i="77"/>
  <c r="L13" i="77"/>
  <c r="K13" i="77"/>
  <c r="J13" i="77"/>
  <c r="I13" i="77"/>
  <c r="H13" i="77"/>
  <c r="G13" i="77"/>
  <c r="F13" i="77"/>
  <c r="E13" i="77"/>
  <c r="D13" i="77"/>
  <c r="C13" i="77"/>
  <c r="B16" i="77"/>
  <c r="B15" i="77"/>
  <c r="B14" i="77"/>
  <c r="B13" i="77"/>
  <c r="Q16" i="91"/>
  <c r="P16" i="91"/>
  <c r="O16" i="91"/>
  <c r="M16" i="91"/>
  <c r="L16" i="91"/>
  <c r="K16" i="91"/>
  <c r="J16" i="91"/>
  <c r="I16" i="91"/>
  <c r="H16" i="91"/>
  <c r="F16" i="91"/>
  <c r="E16" i="91"/>
  <c r="D16" i="91"/>
  <c r="C16" i="91"/>
  <c r="B16" i="91"/>
  <c r="O15" i="91"/>
  <c r="M15" i="91"/>
  <c r="L15" i="91"/>
  <c r="K15" i="91"/>
  <c r="J15" i="91"/>
  <c r="I15" i="91"/>
  <c r="H15" i="91"/>
  <c r="E15" i="91"/>
  <c r="D15" i="91"/>
  <c r="C15" i="91"/>
  <c r="B15" i="91"/>
  <c r="O14" i="91"/>
  <c r="M14" i="91"/>
  <c r="L14" i="91"/>
  <c r="K14" i="91"/>
  <c r="J14" i="91"/>
  <c r="I14" i="91"/>
  <c r="H14" i="91"/>
  <c r="E14" i="91"/>
  <c r="D14" i="91"/>
  <c r="C14" i="91"/>
  <c r="B14" i="91"/>
  <c r="Q13" i="91"/>
  <c r="P13" i="91"/>
  <c r="O13" i="91"/>
  <c r="N13" i="91"/>
  <c r="M13" i="91"/>
  <c r="L13" i="91"/>
  <c r="K13" i="91"/>
  <c r="J13" i="91"/>
  <c r="I13" i="91"/>
  <c r="H13" i="91"/>
  <c r="F13" i="91"/>
  <c r="E13" i="91"/>
  <c r="D13" i="91"/>
  <c r="C13" i="91"/>
  <c r="B13" i="91"/>
  <c r="Q16" i="89"/>
  <c r="P16" i="89"/>
  <c r="O16" i="89"/>
  <c r="M16" i="89"/>
  <c r="L16" i="89"/>
  <c r="K16" i="89"/>
  <c r="J16" i="89"/>
  <c r="I16" i="89"/>
  <c r="H16" i="89"/>
  <c r="F16" i="89"/>
  <c r="E16" i="89"/>
  <c r="D16" i="89"/>
  <c r="C16" i="89"/>
  <c r="B16" i="89"/>
  <c r="O15" i="89"/>
  <c r="M15" i="89"/>
  <c r="L15" i="89"/>
  <c r="K15" i="89"/>
  <c r="J15" i="89"/>
  <c r="I15" i="89"/>
  <c r="H15" i="89"/>
  <c r="E15" i="89"/>
  <c r="D15" i="89"/>
  <c r="C15" i="89"/>
  <c r="B15" i="89"/>
  <c r="O14" i="89"/>
  <c r="M14" i="89"/>
  <c r="L14" i="89"/>
  <c r="K14" i="89"/>
  <c r="J14" i="89"/>
  <c r="I14" i="89"/>
  <c r="H14" i="89"/>
  <c r="E14" i="89"/>
  <c r="D14" i="89"/>
  <c r="C14" i="89"/>
  <c r="B14" i="89"/>
  <c r="Q13" i="89"/>
  <c r="P13" i="89"/>
  <c r="O13" i="89"/>
  <c r="N13" i="89"/>
  <c r="M13" i="89"/>
  <c r="L13" i="89"/>
  <c r="K13" i="89"/>
  <c r="J13" i="89"/>
  <c r="I13" i="89"/>
  <c r="H13" i="89"/>
  <c r="F13" i="89"/>
  <c r="E13" i="89"/>
  <c r="D13" i="89"/>
  <c r="C13" i="89"/>
  <c r="B13" i="89"/>
  <c r="C13" i="88"/>
  <c r="D13" i="88"/>
  <c r="E13" i="88"/>
  <c r="F13" i="88"/>
  <c r="H13" i="88"/>
  <c r="I13" i="88"/>
  <c r="J13" i="88"/>
  <c r="K13" i="88"/>
  <c r="L13" i="88"/>
  <c r="M13" i="88"/>
  <c r="N13" i="88"/>
  <c r="O13" i="88"/>
  <c r="P13" i="88"/>
  <c r="Q13" i="88"/>
  <c r="C14" i="88"/>
  <c r="D14" i="88"/>
  <c r="E14" i="88"/>
  <c r="H14" i="88"/>
  <c r="I14" i="88"/>
  <c r="J14" i="88"/>
  <c r="K14" i="88"/>
  <c r="L14" i="88"/>
  <c r="M14" i="88"/>
  <c r="O14" i="88"/>
  <c r="C15" i="88"/>
  <c r="D15" i="88"/>
  <c r="E15" i="88"/>
  <c r="H15" i="88"/>
  <c r="I15" i="88"/>
  <c r="J15" i="88"/>
  <c r="K15" i="88"/>
  <c r="L15" i="88"/>
  <c r="M15" i="88"/>
  <c r="O15" i="88"/>
  <c r="C16" i="88"/>
  <c r="D16" i="88"/>
  <c r="E16" i="88"/>
  <c r="F16" i="88"/>
  <c r="H16" i="88"/>
  <c r="I16" i="88"/>
  <c r="J16" i="88"/>
  <c r="K16" i="88"/>
  <c r="L16" i="88"/>
  <c r="M16" i="88"/>
  <c r="O16" i="88"/>
  <c r="P16" i="88"/>
  <c r="Q16" i="88"/>
  <c r="N12" i="75"/>
  <c r="Q15" i="75"/>
  <c r="P15" i="75"/>
  <c r="O15" i="75"/>
  <c r="M15" i="75"/>
  <c r="L15" i="75"/>
  <c r="K15" i="75"/>
  <c r="J15" i="75"/>
  <c r="I15" i="75"/>
  <c r="H15" i="75"/>
  <c r="F15" i="75"/>
  <c r="E15" i="75"/>
  <c r="D15" i="75"/>
  <c r="C15" i="75"/>
  <c r="O14" i="75"/>
  <c r="M14" i="75"/>
  <c r="L14" i="75"/>
  <c r="K14" i="75"/>
  <c r="J14" i="75"/>
  <c r="I14" i="75"/>
  <c r="H14" i="75"/>
  <c r="E14" i="75"/>
  <c r="D14" i="75"/>
  <c r="C14" i="75"/>
  <c r="O13" i="75"/>
  <c r="M13" i="75"/>
  <c r="L13" i="75"/>
  <c r="K13" i="75"/>
  <c r="J13" i="75"/>
  <c r="I13" i="75"/>
  <c r="H13" i="75"/>
  <c r="E13" i="75"/>
  <c r="D13" i="75"/>
  <c r="C13" i="75"/>
  <c r="Q12" i="75"/>
  <c r="P12" i="75"/>
  <c r="O12" i="75"/>
  <c r="M12" i="75"/>
  <c r="L12" i="75"/>
  <c r="K12" i="75"/>
  <c r="J12" i="75"/>
  <c r="I12" i="75"/>
  <c r="H12" i="75"/>
  <c r="F12" i="75"/>
  <c r="E12" i="75"/>
  <c r="D12" i="75"/>
  <c r="C12" i="75"/>
  <c r="B15" i="75"/>
  <c r="B14" i="75"/>
  <c r="B13" i="75"/>
  <c r="B12" i="75"/>
  <c r="M15" i="56"/>
  <c r="L15" i="56"/>
  <c r="K15" i="56"/>
  <c r="J15" i="56"/>
  <c r="I15" i="56"/>
  <c r="H15" i="56"/>
  <c r="G15" i="56"/>
  <c r="F15" i="56"/>
  <c r="E15" i="56"/>
  <c r="D15" i="56"/>
  <c r="C15" i="56"/>
  <c r="B15" i="56"/>
  <c r="M14" i="56"/>
  <c r="L14" i="56"/>
  <c r="K14" i="56"/>
  <c r="J14" i="56"/>
  <c r="I14" i="56"/>
  <c r="H14" i="56"/>
  <c r="G14" i="56"/>
  <c r="F14" i="56"/>
  <c r="E14" i="56"/>
  <c r="D14" i="56"/>
  <c r="C14" i="56"/>
  <c r="B14" i="56"/>
  <c r="M13" i="56"/>
  <c r="L13" i="56"/>
  <c r="K13" i="56"/>
  <c r="J13" i="56"/>
  <c r="I13" i="56"/>
  <c r="H13" i="56"/>
  <c r="G13" i="56"/>
  <c r="F13" i="56"/>
  <c r="E13" i="56"/>
  <c r="D13" i="56"/>
  <c r="C13" i="56"/>
  <c r="B13" i="56"/>
  <c r="M12" i="56"/>
  <c r="L12" i="56"/>
  <c r="K12" i="56"/>
  <c r="J12" i="56"/>
  <c r="I12" i="56"/>
  <c r="H12" i="56"/>
  <c r="G12" i="56"/>
  <c r="F12" i="56"/>
  <c r="E12" i="56"/>
  <c r="D12" i="56"/>
  <c r="C12" i="56"/>
  <c r="B12" i="56"/>
  <c r="F51" i="113"/>
  <c r="E51" i="113"/>
  <c r="F50" i="113"/>
  <c r="E50" i="113"/>
  <c r="F49" i="113"/>
  <c r="E49" i="113"/>
  <c r="F48" i="113"/>
  <c r="E48" i="113"/>
  <c r="F47" i="113"/>
  <c r="E47" i="113"/>
  <c r="F46" i="113"/>
  <c r="E46" i="113"/>
  <c r="F45" i="113"/>
  <c r="E45" i="113"/>
  <c r="F44" i="113"/>
  <c r="E44" i="113"/>
  <c r="F43" i="113"/>
  <c r="E43" i="113"/>
  <c r="F42" i="113"/>
  <c r="E42" i="113"/>
  <c r="F41" i="113"/>
  <c r="E41" i="113"/>
  <c r="F40" i="113"/>
  <c r="E40" i="113"/>
  <c r="F39" i="113"/>
  <c r="E39" i="113"/>
  <c r="F38" i="113"/>
  <c r="E38" i="113"/>
  <c r="F37" i="113"/>
  <c r="E37" i="113"/>
  <c r="F36" i="113"/>
  <c r="E36" i="113"/>
  <c r="F35" i="113"/>
  <c r="E35" i="113"/>
  <c r="F34" i="113"/>
  <c r="E34" i="113"/>
  <c r="F33" i="113"/>
  <c r="E33" i="113"/>
  <c r="D61" i="62"/>
  <c r="C61" i="62"/>
  <c r="B61" i="62"/>
  <c r="C60" i="62"/>
  <c r="B60" i="62"/>
  <c r="C59" i="62"/>
  <c r="B59" i="62"/>
  <c r="C58" i="62"/>
  <c r="B58" i="62"/>
  <c r="D54" i="62"/>
  <c r="C54" i="62"/>
  <c r="B54" i="62"/>
  <c r="C53" i="62"/>
  <c r="B53" i="62"/>
  <c r="C52" i="62"/>
  <c r="B52" i="62"/>
  <c r="C51" i="62"/>
  <c r="B51" i="62"/>
  <c r="N47" i="109" l="1"/>
  <c r="M47" i="109"/>
  <c r="L47" i="109"/>
  <c r="K47" i="109"/>
  <c r="J47" i="109"/>
  <c r="I47" i="109"/>
  <c r="H47" i="109"/>
  <c r="G47" i="109"/>
  <c r="F47" i="109"/>
  <c r="E47" i="109"/>
  <c r="D47" i="109"/>
  <c r="C47" i="109"/>
  <c r="B47" i="109"/>
  <c r="N46" i="109"/>
  <c r="M46" i="109"/>
  <c r="L46" i="109"/>
  <c r="K46" i="109"/>
  <c r="J46" i="109"/>
  <c r="I46" i="109"/>
  <c r="H46" i="109"/>
  <c r="G46" i="109"/>
  <c r="F46" i="109"/>
  <c r="E46" i="109"/>
  <c r="D46" i="109"/>
  <c r="C46" i="109"/>
  <c r="B46" i="109"/>
  <c r="N45" i="109"/>
  <c r="M45" i="109"/>
  <c r="L45" i="109"/>
  <c r="K45" i="109"/>
  <c r="J45" i="109"/>
  <c r="I45" i="109"/>
  <c r="H45" i="109"/>
  <c r="G45" i="109"/>
  <c r="F45" i="109"/>
  <c r="E45" i="109"/>
  <c r="D45" i="109"/>
  <c r="C45" i="109"/>
  <c r="B45" i="109"/>
  <c r="E29" i="107" l="1"/>
  <c r="D29" i="107"/>
  <c r="C29" i="107"/>
  <c r="E28" i="107"/>
  <c r="D28" i="107"/>
  <c r="C28" i="107"/>
  <c r="E27" i="107"/>
  <c r="D27" i="107"/>
  <c r="C27" i="107"/>
  <c r="B29" i="107"/>
  <c r="B28" i="107"/>
  <c r="B27" i="107"/>
  <c r="B50" i="105" l="1"/>
  <c r="C50" i="105"/>
  <c r="B51" i="105"/>
  <c r="C51" i="105"/>
  <c r="B52" i="105"/>
  <c r="C52" i="105"/>
  <c r="D48" i="105"/>
  <c r="D52" i="105" s="1"/>
  <c r="D47" i="105"/>
  <c r="D46" i="105"/>
  <c r="D45" i="105"/>
  <c r="D44" i="105"/>
  <c r="D43" i="105"/>
  <c r="D42" i="105"/>
  <c r="D41" i="105"/>
  <c r="D40" i="105"/>
  <c r="D39" i="105"/>
  <c r="D38" i="105"/>
  <c r="D37" i="105"/>
  <c r="D36" i="105"/>
  <c r="D35" i="105"/>
  <c r="D34" i="105"/>
  <c r="D33" i="105"/>
  <c r="D32" i="105"/>
  <c r="D31" i="105"/>
  <c r="D30" i="105"/>
  <c r="D29" i="105"/>
  <c r="D28" i="105"/>
  <c r="D27" i="105"/>
  <c r="D26" i="105"/>
  <c r="D25" i="105"/>
  <c r="D24" i="105"/>
  <c r="D23" i="105"/>
  <c r="D22" i="105"/>
  <c r="D21" i="105"/>
  <c r="D20" i="105"/>
  <c r="D19" i="105"/>
  <c r="D18" i="105"/>
  <c r="D17" i="105"/>
  <c r="D16" i="105"/>
  <c r="D15" i="105"/>
  <c r="D14" i="105"/>
  <c r="D13" i="105"/>
  <c r="D12" i="105"/>
  <c r="D11" i="105"/>
  <c r="D10" i="105"/>
  <c r="D9" i="105"/>
  <c r="D8" i="105"/>
  <c r="D7" i="105"/>
  <c r="D6" i="105"/>
  <c r="D5" i="105"/>
  <c r="D51" i="105" l="1"/>
  <c r="D50" i="105"/>
  <c r="K48" i="7" l="1"/>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K9" i="7"/>
  <c r="K8" i="7"/>
  <c r="K7" i="7"/>
  <c r="K6" i="7"/>
  <c r="K5"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G61" i="3"/>
  <c r="G60" i="3"/>
  <c r="G59" i="3"/>
  <c r="G58" i="3"/>
  <c r="G57" i="3"/>
  <c r="E61" i="3"/>
  <c r="E60" i="3"/>
  <c r="E59" i="3"/>
  <c r="E58" i="3"/>
  <c r="E57" i="3"/>
  <c r="C61" i="3"/>
  <c r="C60" i="3"/>
  <c r="C59" i="3"/>
  <c r="C58" i="3"/>
  <c r="C57" i="3"/>
  <c r="F52" i="3"/>
  <c r="E52" i="3"/>
  <c r="D52" i="3"/>
  <c r="C52" i="3"/>
  <c r="B52" i="3"/>
  <c r="E51" i="3"/>
  <c r="D51" i="3"/>
  <c r="C51" i="3"/>
  <c r="B51" i="3"/>
  <c r="F50" i="3"/>
  <c r="E50" i="3"/>
  <c r="D50" i="3"/>
  <c r="C50" i="3"/>
  <c r="B50" i="3"/>
  <c r="D52" i="7" l="1"/>
  <c r="I52" i="7"/>
  <c r="D51" i="7"/>
  <c r="D53" i="7"/>
  <c r="I53" i="7"/>
  <c r="I51" i="7"/>
  <c r="F52" i="7"/>
  <c r="K52" i="7"/>
  <c r="F51" i="7"/>
  <c r="F53" i="7"/>
  <c r="K53" i="7"/>
  <c r="K51" i="7"/>
  <c r="G16" i="102"/>
  <c r="F16" i="102"/>
  <c r="E16" i="102"/>
  <c r="D16" i="102"/>
  <c r="C16" i="102"/>
  <c r="B16" i="102"/>
  <c r="G15" i="102"/>
  <c r="F15" i="102"/>
  <c r="D15" i="102"/>
  <c r="B15" i="102"/>
  <c r="G14" i="102"/>
  <c r="F14" i="102"/>
  <c r="D14" i="102"/>
  <c r="B14" i="102"/>
  <c r="G13" i="102"/>
  <c r="F13" i="102"/>
  <c r="E13" i="102"/>
  <c r="D13" i="102"/>
  <c r="C13" i="102"/>
  <c r="B13" i="102"/>
  <c r="G16" i="100"/>
  <c r="F16" i="100"/>
  <c r="E16" i="100"/>
  <c r="D16" i="100"/>
  <c r="C16" i="100"/>
  <c r="B16" i="100"/>
  <c r="G15" i="100"/>
  <c r="F15" i="100"/>
  <c r="D15" i="100"/>
  <c r="B15" i="100"/>
  <c r="G14" i="100"/>
  <c r="F14" i="100"/>
  <c r="D14" i="100"/>
  <c r="B14" i="100"/>
  <c r="G13" i="100"/>
  <c r="F13" i="100"/>
  <c r="E13" i="100"/>
  <c r="D13" i="100"/>
  <c r="C13" i="100"/>
  <c r="B13" i="100"/>
  <c r="G16" i="98"/>
  <c r="F16" i="98"/>
  <c r="E16" i="98"/>
  <c r="D16" i="98"/>
  <c r="C16" i="98"/>
  <c r="B16" i="98"/>
  <c r="G15" i="98"/>
  <c r="F15" i="98"/>
  <c r="D15" i="98"/>
  <c r="B15" i="98"/>
  <c r="G14" i="98"/>
  <c r="F14" i="98"/>
  <c r="D14" i="98"/>
  <c r="B14" i="98"/>
  <c r="G13" i="98"/>
  <c r="F13" i="98"/>
  <c r="E13" i="98"/>
  <c r="D13" i="98"/>
  <c r="C13" i="98"/>
  <c r="B13" i="98"/>
  <c r="G16" i="96"/>
  <c r="F16" i="96"/>
  <c r="E16" i="96"/>
  <c r="D16" i="96"/>
  <c r="C16" i="96"/>
  <c r="B16" i="96"/>
  <c r="G15" i="96"/>
  <c r="F15" i="96"/>
  <c r="E15" i="96"/>
  <c r="D15" i="96"/>
  <c r="B15" i="96"/>
  <c r="G14" i="96"/>
  <c r="F14" i="96"/>
  <c r="E14" i="96"/>
  <c r="D14" i="96"/>
  <c r="B14" i="96"/>
  <c r="G13" i="96"/>
  <c r="F13" i="96"/>
  <c r="E13" i="96"/>
  <c r="D13" i="96"/>
  <c r="C13" i="96"/>
  <c r="B13" i="96"/>
  <c r="G16" i="94"/>
  <c r="F16" i="94"/>
  <c r="E16" i="94"/>
  <c r="D16" i="94"/>
  <c r="B16" i="94"/>
  <c r="G15" i="94"/>
  <c r="F15" i="94"/>
  <c r="E15" i="94"/>
  <c r="D15" i="94"/>
  <c r="B15" i="94"/>
  <c r="G14" i="94"/>
  <c r="F14" i="94"/>
  <c r="E14" i="94"/>
  <c r="D14" i="94"/>
  <c r="B14" i="94"/>
  <c r="G13" i="94"/>
  <c r="F13" i="94"/>
  <c r="E13" i="94"/>
  <c r="D13" i="94"/>
  <c r="B13" i="94"/>
  <c r="G16" i="92"/>
  <c r="F16" i="92"/>
  <c r="E16" i="92"/>
  <c r="D16" i="92"/>
  <c r="C16" i="92"/>
  <c r="B16" i="92"/>
  <c r="G15" i="92"/>
  <c r="F15" i="92"/>
  <c r="E15" i="92"/>
  <c r="D15" i="92"/>
  <c r="B15" i="92"/>
  <c r="G14" i="92"/>
  <c r="F14" i="92"/>
  <c r="E14" i="92"/>
  <c r="D14" i="92"/>
  <c r="B14" i="92"/>
  <c r="G13" i="92"/>
  <c r="F13" i="92"/>
  <c r="E13" i="92"/>
  <c r="D13" i="92"/>
  <c r="B13" i="92"/>
  <c r="Q16" i="90"/>
  <c r="P16" i="90"/>
  <c r="O16" i="90"/>
  <c r="M16" i="90"/>
  <c r="L16" i="90"/>
  <c r="K16" i="90"/>
  <c r="J16" i="90"/>
  <c r="I16" i="90"/>
  <c r="H16" i="90"/>
  <c r="F16" i="90"/>
  <c r="E16" i="90"/>
  <c r="D16" i="90"/>
  <c r="C16" i="90"/>
  <c r="B16" i="90"/>
  <c r="O15" i="90"/>
  <c r="M15" i="90"/>
  <c r="L15" i="90"/>
  <c r="K15" i="90"/>
  <c r="J15" i="90"/>
  <c r="I15" i="90"/>
  <c r="H15" i="90"/>
  <c r="E15" i="90"/>
  <c r="D15" i="90"/>
  <c r="C15" i="90"/>
  <c r="B15" i="90"/>
  <c r="O14" i="90"/>
  <c r="M14" i="90"/>
  <c r="L14" i="90"/>
  <c r="K14" i="90"/>
  <c r="J14" i="90"/>
  <c r="I14" i="90"/>
  <c r="H14" i="90"/>
  <c r="E14" i="90"/>
  <c r="D14" i="90"/>
  <c r="C14" i="90"/>
  <c r="B14" i="90"/>
  <c r="Q13" i="90"/>
  <c r="P13" i="90"/>
  <c r="O13" i="90"/>
  <c r="N13" i="90"/>
  <c r="M13" i="90"/>
  <c r="L13" i="90"/>
  <c r="K13" i="90"/>
  <c r="J13" i="90"/>
  <c r="I13" i="90"/>
  <c r="H13" i="90"/>
  <c r="F13" i="90"/>
  <c r="E13" i="90"/>
  <c r="D13" i="90"/>
  <c r="C13" i="90"/>
  <c r="B13" i="90"/>
  <c r="Q16" i="74"/>
  <c r="P16" i="74"/>
  <c r="O16" i="74"/>
  <c r="M16" i="74"/>
  <c r="L16" i="74"/>
  <c r="K16" i="74"/>
  <c r="J16" i="74"/>
  <c r="I16" i="74"/>
  <c r="H16" i="74"/>
  <c r="F16" i="74"/>
  <c r="E16" i="74"/>
  <c r="D16" i="74"/>
  <c r="C16" i="74"/>
  <c r="B16" i="74"/>
  <c r="O15" i="74"/>
  <c r="M15" i="74"/>
  <c r="L15" i="74"/>
  <c r="K15" i="74"/>
  <c r="J15" i="74"/>
  <c r="I15" i="74"/>
  <c r="H15" i="74"/>
  <c r="E15" i="74"/>
  <c r="D15" i="74"/>
  <c r="C15" i="74"/>
  <c r="B15" i="74"/>
  <c r="O14" i="74"/>
  <c r="M14" i="74"/>
  <c r="L14" i="74"/>
  <c r="K14" i="74"/>
  <c r="J14" i="74"/>
  <c r="I14" i="74"/>
  <c r="H14" i="74"/>
  <c r="E14" i="74"/>
  <c r="D14" i="74"/>
  <c r="C14" i="74"/>
  <c r="B14" i="74"/>
  <c r="Q13" i="74"/>
  <c r="P13" i="74"/>
  <c r="O13" i="74"/>
  <c r="N13" i="74"/>
  <c r="M13" i="74"/>
  <c r="L13" i="74"/>
  <c r="K13" i="74"/>
  <c r="J13" i="74"/>
  <c r="I13" i="74"/>
  <c r="H13" i="74"/>
  <c r="F13" i="74"/>
  <c r="E13" i="74"/>
  <c r="D13" i="74"/>
  <c r="C13" i="74"/>
  <c r="B13" i="74"/>
  <c r="O16" i="86"/>
  <c r="N16" i="86"/>
  <c r="M16" i="86"/>
  <c r="L16" i="86"/>
  <c r="K16" i="86"/>
  <c r="J16" i="86"/>
  <c r="I16" i="86"/>
  <c r="H16" i="86"/>
  <c r="G16" i="86"/>
  <c r="F16" i="86"/>
  <c r="E16" i="86"/>
  <c r="D16" i="86"/>
  <c r="C16" i="86"/>
  <c r="B16" i="86"/>
  <c r="O15" i="86"/>
  <c r="N15" i="86"/>
  <c r="M15" i="86"/>
  <c r="L15" i="86"/>
  <c r="K15" i="86"/>
  <c r="I15" i="86"/>
  <c r="H15" i="86"/>
  <c r="F15" i="86"/>
  <c r="E15" i="86"/>
  <c r="D15" i="86"/>
  <c r="C15" i="86"/>
  <c r="B15" i="86"/>
  <c r="O14" i="86"/>
  <c r="N14" i="86"/>
  <c r="M14" i="86"/>
  <c r="L14" i="86"/>
  <c r="K14" i="86"/>
  <c r="I14" i="86"/>
  <c r="H14" i="86"/>
  <c r="F14" i="86"/>
  <c r="E14" i="86"/>
  <c r="D14" i="86"/>
  <c r="C14" i="86"/>
  <c r="B14" i="86"/>
  <c r="O13" i="86"/>
  <c r="N13" i="86"/>
  <c r="M13" i="86"/>
  <c r="L13" i="86"/>
  <c r="K13" i="86"/>
  <c r="J13" i="86"/>
  <c r="I13" i="86"/>
  <c r="H13" i="86"/>
  <c r="G13" i="86"/>
  <c r="F13" i="86"/>
  <c r="E13" i="86"/>
  <c r="D13" i="86"/>
  <c r="C13" i="86"/>
  <c r="B13" i="86"/>
  <c r="O16" i="84"/>
  <c r="N16" i="84"/>
  <c r="M16" i="84"/>
  <c r="L16" i="84"/>
  <c r="K16" i="84"/>
  <c r="J16" i="84"/>
  <c r="I16" i="84"/>
  <c r="H16" i="84"/>
  <c r="G16" i="84"/>
  <c r="F16" i="84"/>
  <c r="E16" i="84"/>
  <c r="D16" i="84"/>
  <c r="C16" i="84"/>
  <c r="B16" i="84"/>
  <c r="O15" i="84"/>
  <c r="N15" i="84"/>
  <c r="M15" i="84"/>
  <c r="L15" i="84"/>
  <c r="K15" i="84"/>
  <c r="J15" i="84"/>
  <c r="I15" i="84"/>
  <c r="H15" i="84"/>
  <c r="F15" i="84"/>
  <c r="E15" i="84"/>
  <c r="D15" i="84"/>
  <c r="C15" i="84"/>
  <c r="B15" i="84"/>
  <c r="O14" i="84"/>
  <c r="N14" i="84"/>
  <c r="M14" i="84"/>
  <c r="L14" i="84"/>
  <c r="K14" i="84"/>
  <c r="J14" i="84"/>
  <c r="I14" i="84"/>
  <c r="H14" i="84"/>
  <c r="F14" i="84"/>
  <c r="E14" i="84"/>
  <c r="D14" i="84"/>
  <c r="C14" i="84"/>
  <c r="B14" i="84"/>
  <c r="O13" i="84"/>
  <c r="N13" i="84"/>
  <c r="M13" i="84"/>
  <c r="L13" i="84"/>
  <c r="K13" i="84"/>
  <c r="J13" i="84"/>
  <c r="I13" i="84"/>
  <c r="H13" i="84"/>
  <c r="G13" i="84"/>
  <c r="F13" i="84"/>
  <c r="E13" i="84"/>
  <c r="D13" i="84"/>
  <c r="C13" i="84"/>
  <c r="B13" i="84"/>
  <c r="J16" i="82"/>
  <c r="I16" i="82"/>
  <c r="H16" i="82"/>
  <c r="F16" i="82"/>
  <c r="E16" i="82"/>
  <c r="D16" i="82"/>
  <c r="C16" i="82"/>
  <c r="B16" i="82"/>
  <c r="I15" i="82"/>
  <c r="H15" i="82"/>
  <c r="F15" i="82"/>
  <c r="E15" i="82"/>
  <c r="C15" i="82"/>
  <c r="B15" i="82"/>
  <c r="I14" i="82"/>
  <c r="H14" i="82"/>
  <c r="F14" i="82"/>
  <c r="E14" i="82"/>
  <c r="C14" i="82"/>
  <c r="B14" i="82"/>
  <c r="J13" i="82"/>
  <c r="I13" i="82"/>
  <c r="H13" i="82"/>
  <c r="G13" i="82"/>
  <c r="F13" i="82"/>
  <c r="E13" i="82"/>
  <c r="D13" i="82"/>
  <c r="C13" i="82"/>
  <c r="B13" i="82"/>
  <c r="G13" i="80"/>
  <c r="J16" i="80"/>
  <c r="I16" i="80"/>
  <c r="H16" i="80"/>
  <c r="F16" i="80"/>
  <c r="E16" i="80"/>
  <c r="D16" i="80"/>
  <c r="C16" i="80"/>
  <c r="B16" i="80"/>
  <c r="I15" i="80"/>
  <c r="H15" i="80"/>
  <c r="F15" i="80"/>
  <c r="E15" i="80"/>
  <c r="C15" i="80"/>
  <c r="B15" i="80"/>
  <c r="I14" i="80"/>
  <c r="H14" i="80"/>
  <c r="F14" i="80"/>
  <c r="E14" i="80"/>
  <c r="C14" i="80"/>
  <c r="B14" i="80"/>
  <c r="J13" i="80"/>
  <c r="I13" i="80"/>
  <c r="H13" i="80"/>
  <c r="F13" i="80"/>
  <c r="E13" i="80"/>
  <c r="D13" i="80"/>
  <c r="C13" i="80"/>
  <c r="B13" i="80"/>
  <c r="G13" i="78" l="1"/>
  <c r="J16" i="78"/>
  <c r="I16" i="78"/>
  <c r="H16" i="78"/>
  <c r="F16" i="78"/>
  <c r="E16" i="78"/>
  <c r="D16" i="78"/>
  <c r="C16" i="78"/>
  <c r="B16" i="78"/>
  <c r="I15" i="78"/>
  <c r="H15" i="78"/>
  <c r="F15" i="78"/>
  <c r="E15" i="78"/>
  <c r="C15" i="78"/>
  <c r="B15" i="78"/>
  <c r="I14" i="78"/>
  <c r="H14" i="78"/>
  <c r="F14" i="78"/>
  <c r="E14" i="78"/>
  <c r="C14" i="78"/>
  <c r="B14" i="78"/>
  <c r="J13" i="78"/>
  <c r="I13" i="78"/>
  <c r="H13" i="78"/>
  <c r="F13" i="78"/>
  <c r="E13" i="78"/>
  <c r="D13" i="78"/>
  <c r="C13" i="78"/>
  <c r="B13" i="78"/>
  <c r="O16" i="76"/>
  <c r="N16" i="76"/>
  <c r="M16" i="76"/>
  <c r="L16" i="76"/>
  <c r="K16" i="76"/>
  <c r="J16" i="76"/>
  <c r="I16" i="76"/>
  <c r="H16" i="76"/>
  <c r="G16" i="76"/>
  <c r="F16" i="76"/>
  <c r="E16" i="76"/>
  <c r="D16" i="76"/>
  <c r="C16" i="76"/>
  <c r="B16" i="76"/>
  <c r="O15" i="76"/>
  <c r="N15" i="76"/>
  <c r="M15" i="76"/>
  <c r="L15" i="76"/>
  <c r="K15" i="76"/>
  <c r="J15" i="76"/>
  <c r="I15" i="76"/>
  <c r="H15" i="76"/>
  <c r="F15" i="76"/>
  <c r="E15" i="76"/>
  <c r="D15" i="76"/>
  <c r="C15" i="76"/>
  <c r="B15" i="76"/>
  <c r="O14" i="76"/>
  <c r="N14" i="76"/>
  <c r="M14" i="76"/>
  <c r="L14" i="76"/>
  <c r="K14" i="76"/>
  <c r="J14" i="76"/>
  <c r="I14" i="76"/>
  <c r="H14" i="76"/>
  <c r="F14" i="76"/>
  <c r="E14" i="76"/>
  <c r="D14" i="76"/>
  <c r="C14" i="76"/>
  <c r="B14" i="76"/>
  <c r="O13" i="76"/>
  <c r="N13" i="76"/>
  <c r="M13" i="76"/>
  <c r="L13" i="76"/>
  <c r="K13" i="76"/>
  <c r="J13" i="76"/>
  <c r="I13" i="76"/>
  <c r="H13" i="76"/>
  <c r="G13" i="76"/>
  <c r="F13" i="76"/>
  <c r="E13" i="76"/>
  <c r="D13" i="76"/>
  <c r="C13" i="76"/>
  <c r="B13" i="76"/>
  <c r="C39" i="71" l="1"/>
  <c r="C38" i="71"/>
  <c r="E40" i="71"/>
  <c r="D40" i="71"/>
  <c r="C40" i="71"/>
  <c r="E39" i="71"/>
  <c r="D39" i="71"/>
  <c r="E38" i="71"/>
  <c r="D38" i="71"/>
  <c r="B38" i="71"/>
  <c r="B40" i="71"/>
  <c r="B39" i="71"/>
  <c r="D63" i="61" l="1"/>
  <c r="C63" i="61"/>
  <c r="B63" i="61"/>
  <c r="C61" i="61"/>
  <c r="B61" i="61"/>
  <c r="C60" i="61"/>
  <c r="B60" i="61"/>
  <c r="C59" i="61"/>
  <c r="B59" i="61"/>
  <c r="D56" i="61"/>
  <c r="C56" i="61"/>
  <c r="B56" i="61"/>
  <c r="C54" i="61"/>
  <c r="B54" i="61"/>
  <c r="C53" i="61"/>
  <c r="B53" i="61"/>
  <c r="C52" i="61"/>
  <c r="B52" i="61"/>
  <c r="E5" i="18" l="1"/>
  <c r="K47" i="38"/>
  <c r="J47" i="38"/>
  <c r="I47" i="38"/>
  <c r="H47" i="38"/>
  <c r="G47" i="38"/>
  <c r="F47" i="38"/>
  <c r="E47" i="38"/>
  <c r="D47" i="38"/>
  <c r="C47" i="38"/>
  <c r="K46" i="38"/>
  <c r="J46" i="38"/>
  <c r="I46" i="38"/>
  <c r="H46" i="38"/>
  <c r="G46" i="38"/>
  <c r="F46" i="38"/>
  <c r="E46" i="38"/>
  <c r="D46" i="38"/>
  <c r="C46" i="38"/>
  <c r="J45" i="38"/>
  <c r="I45" i="38"/>
  <c r="F45" i="38"/>
  <c r="J44" i="38"/>
  <c r="I44" i="38"/>
  <c r="F44" i="38"/>
  <c r="B47" i="38"/>
  <c r="B46" i="38"/>
  <c r="I70" i="51" l="1"/>
  <c r="I69" i="51"/>
  <c r="F69" i="51"/>
  <c r="E69" i="51"/>
  <c r="I68" i="51"/>
  <c r="F68" i="51"/>
  <c r="E68" i="51"/>
  <c r="I67" i="51"/>
  <c r="F67" i="51"/>
  <c r="E67" i="51"/>
  <c r="E46" i="40"/>
  <c r="C46" i="40"/>
  <c r="B46" i="40"/>
  <c r="B48" i="40"/>
  <c r="E47" i="40"/>
  <c r="C47" i="40"/>
  <c r="B47" i="40"/>
  <c r="B45" i="40"/>
  <c r="F48" i="27"/>
  <c r="E48" i="27"/>
  <c r="H48" i="27"/>
  <c r="G48" i="27"/>
  <c r="C48" i="27"/>
  <c r="B48" i="27"/>
  <c r="H47" i="27"/>
  <c r="G47" i="27"/>
  <c r="C47" i="27"/>
  <c r="B47" i="27"/>
  <c r="H46" i="27"/>
  <c r="G46" i="27"/>
  <c r="C46" i="27"/>
  <c r="B46" i="27"/>
  <c r="M69" i="41"/>
  <c r="L69" i="41"/>
  <c r="I69" i="41"/>
  <c r="G69" i="41"/>
  <c r="D69" i="41"/>
  <c r="M68" i="41"/>
  <c r="L68" i="41"/>
  <c r="J68" i="41"/>
  <c r="I68" i="41"/>
  <c r="G68" i="41"/>
  <c r="D68" i="41"/>
  <c r="C68" i="41"/>
  <c r="B68" i="41"/>
  <c r="M67" i="41"/>
  <c r="L67" i="41"/>
  <c r="J67" i="41"/>
  <c r="I67" i="41"/>
  <c r="G67" i="41"/>
  <c r="D67" i="41"/>
  <c r="C67" i="41"/>
  <c r="B67" i="41"/>
  <c r="M66" i="41"/>
  <c r="L66" i="41"/>
  <c r="I66" i="41"/>
  <c r="G66" i="41"/>
  <c r="D66" i="41"/>
  <c r="C66" i="41"/>
  <c r="B66" i="41"/>
  <c r="D65" i="41"/>
  <c r="K62" i="41" l="1"/>
  <c r="K61" i="41"/>
  <c r="K60" i="41"/>
  <c r="K59" i="41"/>
  <c r="K58" i="41"/>
  <c r="K57" i="41"/>
  <c r="K56" i="41"/>
  <c r="K55" i="41"/>
  <c r="K54" i="41"/>
  <c r="K53" i="41"/>
  <c r="K52" i="41"/>
  <c r="K51" i="41"/>
  <c r="K68" i="41" s="1"/>
  <c r="K50" i="41"/>
  <c r="K49" i="41"/>
  <c r="K48" i="41"/>
  <c r="K47" i="41"/>
  <c r="K46" i="41"/>
  <c r="K45" i="41"/>
  <c r="K44" i="41"/>
  <c r="K43" i="41"/>
  <c r="K67" i="41" s="1"/>
  <c r="K42" i="41"/>
  <c r="K41" i="41"/>
  <c r="K40" i="41"/>
  <c r="H62" i="41"/>
  <c r="H61" i="41"/>
  <c r="H60" i="41"/>
  <c r="H59" i="41"/>
  <c r="H58" i="41"/>
  <c r="H57" i="41"/>
  <c r="H56" i="41"/>
  <c r="H55" i="41"/>
  <c r="H54" i="41"/>
  <c r="H53" i="41"/>
  <c r="H52" i="41"/>
  <c r="H51" i="41"/>
  <c r="H50" i="41"/>
  <c r="H49" i="41"/>
  <c r="H48" i="41"/>
  <c r="H47" i="41"/>
  <c r="H46" i="41"/>
  <c r="H45" i="41"/>
  <c r="H44" i="41"/>
  <c r="H43" i="41"/>
  <c r="H67" i="41" s="1"/>
  <c r="H42" i="41"/>
  <c r="H41" i="41"/>
  <c r="H40" i="41"/>
  <c r="H39" i="41"/>
  <c r="H38" i="41"/>
  <c r="H37" i="41"/>
  <c r="H36" i="41"/>
  <c r="H35" i="41"/>
  <c r="H34" i="41"/>
  <c r="H33" i="41"/>
  <c r="H32" i="41"/>
  <c r="H31" i="41"/>
  <c r="H30" i="41"/>
  <c r="H29" i="41"/>
  <c r="H28" i="41"/>
  <c r="H27" i="41"/>
  <c r="H26" i="41"/>
  <c r="H25" i="41"/>
  <c r="H24" i="41"/>
  <c r="H66" i="41" s="1"/>
  <c r="H23" i="41"/>
  <c r="H22" i="41"/>
  <c r="H21" i="41"/>
  <c r="H20" i="41"/>
  <c r="H19" i="41"/>
  <c r="F61" i="41"/>
  <c r="F60" i="41"/>
  <c r="F59" i="41"/>
  <c r="F58" i="41"/>
  <c r="F57" i="41"/>
  <c r="F56" i="41"/>
  <c r="F55" i="41"/>
  <c r="F54" i="41"/>
  <c r="F53" i="41"/>
  <c r="F52" i="41"/>
  <c r="F51" i="41"/>
  <c r="F50" i="41"/>
  <c r="F49" i="41"/>
  <c r="F48" i="41"/>
  <c r="F47" i="41"/>
  <c r="F46" i="41"/>
  <c r="F45" i="41"/>
  <c r="F44" i="41"/>
  <c r="F43" i="41"/>
  <c r="F67" i="41" s="1"/>
  <c r="F42" i="41"/>
  <c r="F41" i="41"/>
  <c r="F40" i="41"/>
  <c r="F39" i="41"/>
  <c r="F38" i="41"/>
  <c r="F37" i="41"/>
  <c r="F36" i="41"/>
  <c r="F35" i="41"/>
  <c r="F34" i="41"/>
  <c r="F33" i="41"/>
  <c r="F32" i="41"/>
  <c r="F31" i="41"/>
  <c r="F30" i="41"/>
  <c r="F29" i="41"/>
  <c r="F28" i="41"/>
  <c r="F27" i="41"/>
  <c r="F26" i="41"/>
  <c r="F25" i="41"/>
  <c r="F24" i="41"/>
  <c r="E62" i="41"/>
  <c r="E61" i="41"/>
  <c r="E60" i="41"/>
  <c r="E59" i="41"/>
  <c r="E58" i="41"/>
  <c r="E57" i="41"/>
  <c r="E56" i="41"/>
  <c r="E55" i="41"/>
  <c r="E54" i="41"/>
  <c r="E53" i="41"/>
  <c r="E52" i="41"/>
  <c r="E51" i="41"/>
  <c r="E68" i="41" s="1"/>
  <c r="E50" i="41"/>
  <c r="E49" i="41"/>
  <c r="E48" i="41"/>
  <c r="E47" i="41"/>
  <c r="E46" i="41"/>
  <c r="E45" i="41"/>
  <c r="E44" i="41"/>
  <c r="E43" i="41"/>
  <c r="E67" i="41" s="1"/>
  <c r="E42" i="41"/>
  <c r="E41" i="41"/>
  <c r="E40" i="41"/>
  <c r="E39" i="41"/>
  <c r="E38" i="41"/>
  <c r="E37" i="41"/>
  <c r="E36" i="41"/>
  <c r="E35" i="41"/>
  <c r="E34" i="41"/>
  <c r="E33" i="41"/>
  <c r="E32" i="41"/>
  <c r="E31" i="41"/>
  <c r="E30" i="41"/>
  <c r="E29" i="41"/>
  <c r="E28" i="41"/>
  <c r="E27" i="41"/>
  <c r="E26" i="41"/>
  <c r="E25" i="41"/>
  <c r="E24" i="41"/>
  <c r="F68" i="41" l="1"/>
  <c r="H68" i="41"/>
  <c r="F66" i="41"/>
  <c r="H69" i="41"/>
  <c r="E66" i="41"/>
  <c r="F32" i="40"/>
  <c r="F31" i="40"/>
  <c r="F30" i="40"/>
  <c r="F29" i="40"/>
  <c r="F28" i="40"/>
  <c r="F27" i="40"/>
  <c r="F26" i="40"/>
  <c r="F25" i="40"/>
  <c r="F24" i="40"/>
  <c r="F23" i="40"/>
  <c r="F22" i="40"/>
  <c r="F21" i="40"/>
  <c r="F20" i="40"/>
  <c r="F19" i="40"/>
  <c r="F18" i="40"/>
  <c r="F17" i="40"/>
  <c r="F16" i="40"/>
  <c r="F15" i="40"/>
  <c r="F14" i="40"/>
  <c r="F13" i="40"/>
  <c r="F12" i="40"/>
  <c r="F11" i="40"/>
  <c r="F10" i="40"/>
  <c r="F9" i="40"/>
  <c r="F8" i="40"/>
  <c r="F7" i="40"/>
  <c r="F6" i="40"/>
  <c r="F5" i="40"/>
  <c r="F4" i="40"/>
  <c r="D32" i="40"/>
  <c r="D31" i="40"/>
  <c r="D47" i="40" s="1"/>
  <c r="D30" i="40"/>
  <c r="D29" i="40"/>
  <c r="D28" i="40"/>
  <c r="D27" i="40"/>
  <c r="D26" i="40"/>
  <c r="D25" i="40"/>
  <c r="D24" i="40"/>
  <c r="D23" i="40"/>
  <c r="D46" i="40" s="1"/>
  <c r="D22" i="40"/>
  <c r="D21" i="40"/>
  <c r="D20" i="40"/>
  <c r="D19" i="40"/>
  <c r="D18" i="40"/>
  <c r="D17" i="40"/>
  <c r="D16" i="40"/>
  <c r="D15" i="40"/>
  <c r="D14" i="40"/>
  <c r="D13" i="40"/>
  <c r="D12" i="40"/>
  <c r="D11" i="40"/>
  <c r="D10" i="40"/>
  <c r="D9" i="40"/>
  <c r="D8" i="40"/>
  <c r="D7" i="40"/>
  <c r="D6" i="40"/>
  <c r="D5" i="40"/>
  <c r="D4" i="40"/>
  <c r="O47" i="39"/>
  <c r="M47" i="39"/>
  <c r="L47" i="39"/>
  <c r="K47" i="39"/>
  <c r="J47" i="39"/>
  <c r="I47" i="39"/>
  <c r="H47" i="39"/>
  <c r="G47" i="39"/>
  <c r="F47" i="39"/>
  <c r="E47" i="39"/>
  <c r="D47" i="39"/>
  <c r="C47" i="39"/>
  <c r="B47" i="39"/>
  <c r="O46" i="39"/>
  <c r="M46" i="39"/>
  <c r="L46" i="39"/>
  <c r="K46" i="39"/>
  <c r="J46" i="39"/>
  <c r="I46" i="39"/>
  <c r="H46" i="39"/>
  <c r="G46" i="39"/>
  <c r="F46" i="39"/>
  <c r="E46" i="39"/>
  <c r="D46" i="39"/>
  <c r="C46" i="39"/>
  <c r="B46" i="39"/>
  <c r="O45" i="39"/>
  <c r="M45" i="39"/>
  <c r="L45" i="39"/>
  <c r="K45" i="39"/>
  <c r="J45" i="39"/>
  <c r="I45" i="39"/>
  <c r="H45" i="39"/>
  <c r="G45" i="39"/>
  <c r="F45" i="39"/>
  <c r="E45" i="39"/>
  <c r="D45" i="39"/>
  <c r="C45" i="39"/>
  <c r="B45" i="39"/>
  <c r="D44" i="27"/>
  <c r="D43" i="27"/>
  <c r="D42" i="27"/>
  <c r="D41" i="27"/>
  <c r="D40" i="27"/>
  <c r="D39" i="27"/>
  <c r="D38" i="27"/>
  <c r="D37" i="27"/>
  <c r="D36" i="27"/>
  <c r="D35" i="27"/>
  <c r="D34" i="27"/>
  <c r="D33" i="27"/>
  <c r="D32" i="27"/>
  <c r="D31" i="27"/>
  <c r="D30" i="27"/>
  <c r="D29" i="27"/>
  <c r="D28" i="27"/>
  <c r="D27" i="27"/>
  <c r="D26" i="27"/>
  <c r="D25" i="27"/>
  <c r="D24" i="27"/>
  <c r="D23" i="27"/>
  <c r="D22" i="27"/>
  <c r="F46" i="40" l="1"/>
  <c r="F47" i="40"/>
  <c r="D48" i="27"/>
  <c r="D46" i="27"/>
  <c r="D47" i="27"/>
  <c r="L42" i="38"/>
  <c r="L41" i="38"/>
  <c r="L40" i="38"/>
  <c r="L39" i="38"/>
  <c r="L38" i="38"/>
  <c r="L37" i="38"/>
  <c r="L36" i="38"/>
  <c r="L35" i="38"/>
  <c r="L34" i="38"/>
  <c r="L33" i="38"/>
  <c r="L32" i="38"/>
  <c r="L31" i="38"/>
  <c r="L30" i="38"/>
  <c r="L29" i="38"/>
  <c r="L28" i="38"/>
  <c r="L27" i="38"/>
  <c r="L26" i="38"/>
  <c r="L25" i="38"/>
  <c r="L24" i="38"/>
  <c r="L23" i="38"/>
  <c r="L22" i="38"/>
  <c r="L21" i="38"/>
  <c r="L20" i="38"/>
  <c r="K42" i="38"/>
  <c r="K41" i="38"/>
  <c r="K40" i="38"/>
  <c r="K39" i="38"/>
  <c r="K38" i="38"/>
  <c r="K37" i="38"/>
  <c r="K36" i="38"/>
  <c r="K35" i="38"/>
  <c r="K34" i="38"/>
  <c r="K33" i="38"/>
  <c r="K32" i="38"/>
  <c r="K31" i="38"/>
  <c r="K30" i="38"/>
  <c r="K29" i="38"/>
  <c r="K28" i="38"/>
  <c r="K27" i="38"/>
  <c r="K26" i="38"/>
  <c r="K25" i="38"/>
  <c r="K24" i="38"/>
  <c r="K23" i="38"/>
  <c r="K22" i="38"/>
  <c r="K21" i="38"/>
  <c r="K20" i="38"/>
  <c r="G42" i="38"/>
  <c r="H42" i="38" s="1"/>
  <c r="G41" i="38"/>
  <c r="H41" i="38" s="1"/>
  <c r="G40" i="38"/>
  <c r="H40" i="38" s="1"/>
  <c r="G39" i="38"/>
  <c r="H39" i="38" s="1"/>
  <c r="G38" i="38"/>
  <c r="H38" i="38" s="1"/>
  <c r="G37" i="38"/>
  <c r="H37" i="38" s="1"/>
  <c r="G36" i="38"/>
  <c r="H36" i="38" s="1"/>
  <c r="G35" i="38"/>
  <c r="H35" i="38" s="1"/>
  <c r="G34" i="38"/>
  <c r="H34" i="38" s="1"/>
  <c r="G33" i="38"/>
  <c r="H33" i="38" s="1"/>
  <c r="G32" i="38"/>
  <c r="H32" i="38" s="1"/>
  <c r="G31" i="38"/>
  <c r="H31" i="38" s="1"/>
  <c r="G30" i="38"/>
  <c r="H30" i="38" s="1"/>
  <c r="G29" i="38"/>
  <c r="H29" i="38" s="1"/>
  <c r="G28" i="38"/>
  <c r="H28" i="38" s="1"/>
  <c r="G27" i="38"/>
  <c r="H27" i="38" s="1"/>
  <c r="G26" i="38"/>
  <c r="H26" i="38" s="1"/>
  <c r="G25" i="38"/>
  <c r="H25" i="38" s="1"/>
  <c r="G24" i="38"/>
  <c r="H24" i="38" s="1"/>
  <c r="G23" i="38"/>
  <c r="H23" i="38" s="1"/>
  <c r="G22" i="38"/>
  <c r="H22" i="38" s="1"/>
  <c r="G21" i="38"/>
  <c r="H21" i="38" s="1"/>
  <c r="G20" i="38"/>
  <c r="H20" i="38" s="1"/>
  <c r="P48" i="28" l="1"/>
  <c r="P47" i="28"/>
  <c r="P46" i="28"/>
  <c r="P45" i="28"/>
  <c r="P44" i="28"/>
  <c r="P43" i="28"/>
  <c r="P42" i="28"/>
  <c r="P41" i="28"/>
  <c r="P40" i="28"/>
  <c r="P39" i="28"/>
  <c r="P38" i="28"/>
  <c r="P37" i="28"/>
  <c r="P36" i="28"/>
  <c r="P35" i="28"/>
  <c r="P34" i="28"/>
  <c r="P33" i="28"/>
  <c r="P32" i="28"/>
  <c r="P31" i="28"/>
  <c r="P30" i="28"/>
  <c r="P29" i="28"/>
  <c r="P28" i="28"/>
  <c r="P27" i="28"/>
  <c r="P26" i="28"/>
  <c r="P25" i="28"/>
  <c r="P24" i="28"/>
  <c r="P23" i="28"/>
  <c r="P22" i="28"/>
  <c r="P21" i="28"/>
  <c r="P20" i="28"/>
  <c r="P19" i="28"/>
  <c r="P18" i="28"/>
  <c r="P17" i="28"/>
  <c r="P16" i="28"/>
  <c r="P15" i="28"/>
  <c r="P14" i="28"/>
  <c r="P13" i="28"/>
  <c r="P12" i="28"/>
  <c r="P11" i="28"/>
  <c r="P10" i="28"/>
  <c r="P9" i="28"/>
  <c r="P8" i="28"/>
  <c r="O48" i="28"/>
  <c r="O47" i="28"/>
  <c r="O46" i="28"/>
  <c r="O45" i="28"/>
  <c r="O44" i="28"/>
  <c r="O43" i="28"/>
  <c r="O42" i="28"/>
  <c r="O41" i="28"/>
  <c r="O40" i="28"/>
  <c r="O39" i="28"/>
  <c r="O38" i="28"/>
  <c r="O37" i="28"/>
  <c r="O36" i="28"/>
  <c r="O35" i="28"/>
  <c r="O34" i="28"/>
  <c r="O33" i="28"/>
  <c r="O32" i="28"/>
  <c r="O31" i="28"/>
  <c r="O30" i="28"/>
  <c r="O29" i="28"/>
  <c r="O28" i="28"/>
  <c r="O27" i="28"/>
  <c r="O26" i="28"/>
  <c r="O25" i="28"/>
  <c r="O24" i="28"/>
  <c r="O23" i="28"/>
  <c r="O22" i="28"/>
  <c r="O21" i="28"/>
  <c r="O20" i="28"/>
  <c r="O19" i="28"/>
  <c r="O18" i="28"/>
  <c r="O17" i="28"/>
  <c r="O16" i="28"/>
  <c r="O15" i="28"/>
  <c r="O14" i="28"/>
  <c r="O13" i="28"/>
  <c r="O12" i="28"/>
  <c r="O11" i="28"/>
  <c r="O10" i="28"/>
  <c r="O9" i="28"/>
  <c r="O8" i="28"/>
  <c r="N48" i="28"/>
  <c r="N47" i="28"/>
  <c r="N46" i="28"/>
  <c r="N45" i="28"/>
  <c r="N44" i="28"/>
  <c r="N43" i="28"/>
  <c r="N42" i="28"/>
  <c r="N41" i="28"/>
  <c r="N40" i="28"/>
  <c r="N39" i="28"/>
  <c r="N38" i="28"/>
  <c r="N37" i="28"/>
  <c r="N36" i="28"/>
  <c r="N35" i="28"/>
  <c r="N34" i="28"/>
  <c r="N33" i="28"/>
  <c r="N32" i="28"/>
  <c r="N31" i="28"/>
  <c r="N30" i="28"/>
  <c r="N29" i="28"/>
  <c r="N28" i="28"/>
  <c r="N27" i="28"/>
  <c r="N26" i="28"/>
  <c r="N25" i="28"/>
  <c r="N24" i="28"/>
  <c r="N23" i="28"/>
  <c r="N22" i="28"/>
  <c r="N21" i="28"/>
  <c r="N20" i="28"/>
  <c r="N19" i="28"/>
  <c r="N18" i="28"/>
  <c r="N17" i="28"/>
  <c r="N16" i="28"/>
  <c r="N15" i="28"/>
  <c r="F46" i="28"/>
  <c r="F38" i="28"/>
  <c r="F32" i="28"/>
  <c r="F24" i="28"/>
  <c r="E48" i="28"/>
  <c r="G48" i="28" s="1"/>
  <c r="E47" i="28"/>
  <c r="F47" i="28" s="1"/>
  <c r="E46" i="28"/>
  <c r="G46" i="28" s="1"/>
  <c r="E45" i="28"/>
  <c r="F45" i="28" s="1"/>
  <c r="E44" i="28"/>
  <c r="G44" i="28" s="1"/>
  <c r="E43" i="28"/>
  <c r="G43" i="28" s="1"/>
  <c r="E42" i="28"/>
  <c r="G42" i="28" s="1"/>
  <c r="E41" i="28"/>
  <c r="G41" i="28" s="1"/>
  <c r="E40" i="28"/>
  <c r="G40" i="28" s="1"/>
  <c r="E39" i="28"/>
  <c r="F39" i="28" s="1"/>
  <c r="E38" i="28"/>
  <c r="G38" i="28" s="1"/>
  <c r="E37" i="28"/>
  <c r="F37" i="28" s="1"/>
  <c r="E36" i="28"/>
  <c r="G36" i="28" s="1"/>
  <c r="E35" i="28"/>
  <c r="G35" i="28" s="1"/>
  <c r="E34" i="28"/>
  <c r="G34" i="28" s="1"/>
  <c r="E33" i="28"/>
  <c r="G33" i="28" s="1"/>
  <c r="E32" i="28"/>
  <c r="G32" i="28" s="1"/>
  <c r="E31" i="28"/>
  <c r="F31" i="28" s="1"/>
  <c r="E30" i="28"/>
  <c r="G30" i="28" s="1"/>
  <c r="E29" i="28"/>
  <c r="F29" i="28" s="1"/>
  <c r="L29" i="28" s="1"/>
  <c r="E28" i="28"/>
  <c r="G28" i="28" s="1"/>
  <c r="E27" i="28"/>
  <c r="G27" i="28" s="1"/>
  <c r="E26" i="28"/>
  <c r="G26" i="28" s="1"/>
  <c r="E25" i="28"/>
  <c r="G25" i="28" s="1"/>
  <c r="E24" i="28"/>
  <c r="G24" i="28" s="1"/>
  <c r="E23" i="28"/>
  <c r="F23" i="28" s="1"/>
  <c r="E22" i="28"/>
  <c r="G22" i="28" s="1"/>
  <c r="E21" i="28"/>
  <c r="F21" i="28" s="1"/>
  <c r="L21" i="28" s="1"/>
  <c r="E20" i="28"/>
  <c r="G20" i="28" s="1"/>
  <c r="E19" i="28"/>
  <c r="G19" i="28" s="1"/>
  <c r="E18" i="28"/>
  <c r="G18" i="28" s="1"/>
  <c r="E17" i="28"/>
  <c r="G17" i="28" s="1"/>
  <c r="E16" i="28"/>
  <c r="G16" i="28" s="1"/>
  <c r="E15" i="28"/>
  <c r="F15" i="28" s="1"/>
  <c r="E14" i="28"/>
  <c r="G14" i="28" s="1"/>
  <c r="E13" i="28"/>
  <c r="F13" i="28" s="1"/>
  <c r="L13" i="28" s="1"/>
  <c r="E12" i="28"/>
  <c r="G12" i="28" s="1"/>
  <c r="E11" i="28"/>
  <c r="G11" i="28" s="1"/>
  <c r="E10" i="28"/>
  <c r="G10" i="28" s="1"/>
  <c r="E9" i="28"/>
  <c r="G9" i="28" s="1"/>
  <c r="E8" i="28"/>
  <c r="G8" i="28" s="1"/>
  <c r="G21" i="28" l="1"/>
  <c r="F30" i="28"/>
  <c r="L30" i="28" s="1"/>
  <c r="G29" i="28"/>
  <c r="M29" i="28" s="1"/>
  <c r="G37" i="28"/>
  <c r="G45" i="28"/>
  <c r="F8" i="28"/>
  <c r="L8" i="28" s="1"/>
  <c r="F40" i="28"/>
  <c r="L40" i="28" s="1"/>
  <c r="F14" i="28"/>
  <c r="L14" i="28" s="1"/>
  <c r="F16" i="28"/>
  <c r="L16" i="28" s="1"/>
  <c r="F48" i="28"/>
  <c r="F22" i="28"/>
  <c r="L22" i="28" s="1"/>
  <c r="G13" i="28"/>
  <c r="L31" i="28"/>
  <c r="L37" i="28"/>
  <c r="L15" i="28"/>
  <c r="L38" i="28"/>
  <c r="L47" i="28"/>
  <c r="L46" i="28"/>
  <c r="L24" i="28"/>
  <c r="L23" i="28"/>
  <c r="L32" i="28"/>
  <c r="L48" i="28"/>
  <c r="L45" i="28"/>
  <c r="L39" i="28"/>
  <c r="G31" i="28"/>
  <c r="G47" i="28"/>
  <c r="F9" i="28"/>
  <c r="L9" i="28" s="1"/>
  <c r="F17" i="28"/>
  <c r="L17" i="28" s="1"/>
  <c r="F25" i="28"/>
  <c r="L25" i="28" s="1"/>
  <c r="F33" i="28"/>
  <c r="L33" i="28" s="1"/>
  <c r="F41" i="28"/>
  <c r="L41" i="28" s="1"/>
  <c r="G39" i="28"/>
  <c r="F10" i="28"/>
  <c r="L10" i="28" s="1"/>
  <c r="F18" i="28"/>
  <c r="L18" i="28" s="1"/>
  <c r="F26" i="28"/>
  <c r="L26" i="28" s="1"/>
  <c r="F34" i="28"/>
  <c r="L34" i="28" s="1"/>
  <c r="F42" i="28"/>
  <c r="L42" i="28" s="1"/>
  <c r="F11" i="28"/>
  <c r="L11" i="28" s="1"/>
  <c r="F19" i="28"/>
  <c r="L19" i="28" s="1"/>
  <c r="F27" i="28"/>
  <c r="L27" i="28" s="1"/>
  <c r="F35" i="28"/>
  <c r="L35" i="28" s="1"/>
  <c r="F43" i="28"/>
  <c r="L43" i="28" s="1"/>
  <c r="G23" i="28"/>
  <c r="M23" i="28" s="1"/>
  <c r="F12" i="28"/>
  <c r="L12" i="28" s="1"/>
  <c r="F20" i="28"/>
  <c r="L20" i="28" s="1"/>
  <c r="F28" i="28"/>
  <c r="L28" i="28" s="1"/>
  <c r="F36" i="28"/>
  <c r="L36" i="28" s="1"/>
  <c r="F44" i="28"/>
  <c r="L44" i="28" s="1"/>
  <c r="G15" i="28"/>
  <c r="F51" i="14"/>
  <c r="E51" i="14"/>
  <c r="D51" i="14"/>
  <c r="C51" i="14"/>
  <c r="B51" i="14"/>
  <c r="F50" i="14"/>
  <c r="E50" i="14"/>
  <c r="D50" i="14"/>
  <c r="C50" i="14"/>
  <c r="B50" i="14"/>
  <c r="F52" i="14"/>
  <c r="E52" i="14"/>
  <c r="D52" i="14"/>
  <c r="C52" i="14"/>
  <c r="B52" i="14"/>
  <c r="M49" i="13"/>
  <c r="L49" i="13"/>
  <c r="K49" i="13"/>
  <c r="J49" i="13"/>
  <c r="I49" i="13"/>
  <c r="M48" i="13"/>
  <c r="L48" i="13"/>
  <c r="K48" i="13"/>
  <c r="J48" i="13"/>
  <c r="I48" i="13"/>
  <c r="M47" i="13"/>
  <c r="L47" i="13"/>
  <c r="K47" i="13"/>
  <c r="J47" i="13"/>
  <c r="I47" i="13"/>
  <c r="M46" i="13"/>
  <c r="L46" i="13"/>
  <c r="K46" i="13"/>
  <c r="J46" i="13"/>
  <c r="I46" i="13"/>
  <c r="M45" i="13"/>
  <c r="L45" i="13"/>
  <c r="K45" i="13"/>
  <c r="J45" i="13"/>
  <c r="I45" i="13"/>
  <c r="M44" i="13"/>
  <c r="L44" i="13"/>
  <c r="K44" i="13"/>
  <c r="J44" i="13"/>
  <c r="I44" i="13"/>
  <c r="M43" i="13"/>
  <c r="L43" i="13"/>
  <c r="K43" i="13"/>
  <c r="J43" i="13"/>
  <c r="I43" i="13"/>
  <c r="M42" i="13"/>
  <c r="L42" i="13"/>
  <c r="K42" i="13"/>
  <c r="J42" i="13"/>
  <c r="I42" i="13"/>
  <c r="M41" i="13"/>
  <c r="L41" i="13"/>
  <c r="K41" i="13"/>
  <c r="J41" i="13"/>
  <c r="I41" i="13"/>
  <c r="M40" i="13"/>
  <c r="L40" i="13"/>
  <c r="K40" i="13"/>
  <c r="J40" i="13"/>
  <c r="I40" i="13"/>
  <c r="M39" i="13"/>
  <c r="L39" i="13"/>
  <c r="K39" i="13"/>
  <c r="J39" i="13"/>
  <c r="I39" i="13"/>
  <c r="M38" i="13"/>
  <c r="L38" i="13"/>
  <c r="K38" i="13"/>
  <c r="J38" i="13"/>
  <c r="I38" i="13"/>
  <c r="M37" i="13"/>
  <c r="L37" i="13"/>
  <c r="K37" i="13"/>
  <c r="J37" i="13"/>
  <c r="I37" i="13"/>
  <c r="M36" i="13"/>
  <c r="L36" i="13"/>
  <c r="K36" i="13"/>
  <c r="J36" i="13"/>
  <c r="I36" i="13"/>
  <c r="M35" i="13"/>
  <c r="L35" i="13"/>
  <c r="K35" i="13"/>
  <c r="J35" i="13"/>
  <c r="I35" i="13"/>
  <c r="M34" i="13"/>
  <c r="L34" i="13"/>
  <c r="K34" i="13"/>
  <c r="J34" i="13"/>
  <c r="I34" i="13"/>
  <c r="M33" i="13"/>
  <c r="L33" i="13"/>
  <c r="K33" i="13"/>
  <c r="J33" i="13"/>
  <c r="I33" i="13"/>
  <c r="M32" i="13"/>
  <c r="L32" i="13"/>
  <c r="K32" i="13"/>
  <c r="J32" i="13"/>
  <c r="I32" i="13"/>
  <c r="M31" i="13"/>
  <c r="L31" i="13"/>
  <c r="K31" i="13"/>
  <c r="J31" i="13"/>
  <c r="I31" i="13"/>
  <c r="M30" i="13"/>
  <c r="L30" i="13"/>
  <c r="K30" i="13"/>
  <c r="J30" i="13"/>
  <c r="I30" i="13"/>
  <c r="M29" i="13"/>
  <c r="L29" i="13"/>
  <c r="K29" i="13"/>
  <c r="J29" i="13"/>
  <c r="I29" i="13"/>
  <c r="M28" i="13"/>
  <c r="L28" i="13"/>
  <c r="K28" i="13"/>
  <c r="J28" i="13"/>
  <c r="I28" i="13"/>
  <c r="M27" i="13"/>
  <c r="L27" i="13"/>
  <c r="K27" i="13"/>
  <c r="J27" i="13"/>
  <c r="I27" i="13"/>
  <c r="M26" i="13"/>
  <c r="L26" i="13"/>
  <c r="K26" i="13"/>
  <c r="J26" i="13"/>
  <c r="I26" i="13"/>
  <c r="M25" i="13"/>
  <c r="L25" i="13"/>
  <c r="K25" i="13"/>
  <c r="J25" i="13"/>
  <c r="I25" i="13"/>
  <c r="M24" i="13"/>
  <c r="L24" i="13"/>
  <c r="K24" i="13"/>
  <c r="J24" i="13"/>
  <c r="I24" i="13"/>
  <c r="M23" i="13"/>
  <c r="L23" i="13"/>
  <c r="K23" i="13"/>
  <c r="J23" i="13"/>
  <c r="I23" i="13"/>
  <c r="M22" i="13"/>
  <c r="L22" i="13"/>
  <c r="K22" i="13"/>
  <c r="J22" i="13"/>
  <c r="I22" i="13"/>
  <c r="M21" i="13"/>
  <c r="L21" i="13"/>
  <c r="K21" i="13"/>
  <c r="J21" i="13"/>
  <c r="I21" i="13"/>
  <c r="M20" i="13"/>
  <c r="L20" i="13"/>
  <c r="K20" i="13"/>
  <c r="J20" i="13"/>
  <c r="I20" i="13"/>
  <c r="M19" i="13"/>
  <c r="L19" i="13"/>
  <c r="K19" i="13"/>
  <c r="J19" i="13"/>
  <c r="I19" i="13"/>
  <c r="M18" i="13"/>
  <c r="L18" i="13"/>
  <c r="K18" i="13"/>
  <c r="J18" i="13"/>
  <c r="I18" i="13"/>
  <c r="M17" i="13"/>
  <c r="L17" i="13"/>
  <c r="K17" i="13"/>
  <c r="J17" i="13"/>
  <c r="I17" i="13"/>
  <c r="M16" i="13"/>
  <c r="L16" i="13"/>
  <c r="K16" i="13"/>
  <c r="J16" i="13"/>
  <c r="I16" i="13"/>
  <c r="M15" i="13"/>
  <c r="L15" i="13"/>
  <c r="K15" i="13"/>
  <c r="J15" i="13"/>
  <c r="I15" i="13"/>
  <c r="M14" i="13"/>
  <c r="L14" i="13"/>
  <c r="K14" i="13"/>
  <c r="J14" i="13"/>
  <c r="I14" i="13"/>
  <c r="M13" i="13"/>
  <c r="L13" i="13"/>
  <c r="K13" i="13"/>
  <c r="J13" i="13"/>
  <c r="I13" i="13"/>
  <c r="M12" i="13"/>
  <c r="L12" i="13"/>
  <c r="K12" i="13"/>
  <c r="J12" i="13"/>
  <c r="I12" i="13"/>
  <c r="M11" i="13"/>
  <c r="L11" i="13"/>
  <c r="K11" i="13"/>
  <c r="J11" i="13"/>
  <c r="I11" i="13"/>
  <c r="M10" i="13"/>
  <c r="L10" i="13"/>
  <c r="K10" i="13"/>
  <c r="J10" i="13"/>
  <c r="I10" i="13"/>
  <c r="M9" i="13"/>
  <c r="L9" i="13"/>
  <c r="K9" i="13"/>
  <c r="J9" i="13"/>
  <c r="I9" i="13"/>
  <c r="M8" i="13"/>
  <c r="L8" i="13"/>
  <c r="K8" i="13"/>
  <c r="J8" i="13"/>
  <c r="I8" i="13"/>
  <c r="M7" i="13"/>
  <c r="L7" i="13"/>
  <c r="K7" i="13"/>
  <c r="J7" i="13"/>
  <c r="I7" i="13"/>
  <c r="M6" i="13"/>
  <c r="L6" i="13"/>
  <c r="K6" i="13"/>
  <c r="J6" i="13"/>
  <c r="I6" i="13"/>
  <c r="F53" i="13"/>
  <c r="E53" i="13"/>
  <c r="D53" i="13"/>
  <c r="C53" i="13"/>
  <c r="B53" i="13"/>
  <c r="F52" i="13"/>
  <c r="E52" i="13"/>
  <c r="D52" i="13"/>
  <c r="C52" i="13"/>
  <c r="B52" i="13"/>
  <c r="F51" i="13"/>
  <c r="E51" i="13"/>
  <c r="D51" i="13"/>
  <c r="C51" i="13"/>
  <c r="B51" i="13"/>
  <c r="L49" i="12"/>
  <c r="K49" i="12"/>
  <c r="J49" i="12"/>
  <c r="I49" i="12"/>
  <c r="H49" i="12"/>
  <c r="L48" i="12"/>
  <c r="K48" i="12"/>
  <c r="J48" i="12"/>
  <c r="I48" i="12"/>
  <c r="H48" i="12"/>
  <c r="L47" i="12"/>
  <c r="K47" i="12"/>
  <c r="J47" i="12"/>
  <c r="I47" i="12"/>
  <c r="H47" i="12"/>
  <c r="L46" i="12"/>
  <c r="K46" i="12"/>
  <c r="J46" i="12"/>
  <c r="I46" i="12"/>
  <c r="H46" i="12"/>
  <c r="L45" i="12"/>
  <c r="K45" i="12"/>
  <c r="J45" i="12"/>
  <c r="I45" i="12"/>
  <c r="H45" i="12"/>
  <c r="L44" i="12"/>
  <c r="K44" i="12"/>
  <c r="J44" i="12"/>
  <c r="I44" i="12"/>
  <c r="H44" i="12"/>
  <c r="L43" i="12"/>
  <c r="K43" i="12"/>
  <c r="J43" i="12"/>
  <c r="I43" i="12"/>
  <c r="H43" i="12"/>
  <c r="L42" i="12"/>
  <c r="K42" i="12"/>
  <c r="J42" i="12"/>
  <c r="I42" i="12"/>
  <c r="H42" i="12"/>
  <c r="L41" i="12"/>
  <c r="K41" i="12"/>
  <c r="J41" i="12"/>
  <c r="I41" i="12"/>
  <c r="H41" i="12"/>
  <c r="L40" i="12"/>
  <c r="K40" i="12"/>
  <c r="J40" i="12"/>
  <c r="I40" i="12"/>
  <c r="H40" i="12"/>
  <c r="L39" i="12"/>
  <c r="K39" i="12"/>
  <c r="J39" i="12"/>
  <c r="I39" i="12"/>
  <c r="H39" i="12"/>
  <c r="L38" i="12"/>
  <c r="K38" i="12"/>
  <c r="J38" i="12"/>
  <c r="I38" i="12"/>
  <c r="H38" i="12"/>
  <c r="L37" i="12"/>
  <c r="K37" i="12"/>
  <c r="J37" i="12"/>
  <c r="I37" i="12"/>
  <c r="H37" i="12"/>
  <c r="L36" i="12"/>
  <c r="K36" i="12"/>
  <c r="J36" i="12"/>
  <c r="I36" i="12"/>
  <c r="H36" i="12"/>
  <c r="L35" i="12"/>
  <c r="K35" i="12"/>
  <c r="J35" i="12"/>
  <c r="I35" i="12"/>
  <c r="H35" i="12"/>
  <c r="L34" i="12"/>
  <c r="K34" i="12"/>
  <c r="J34" i="12"/>
  <c r="I34" i="12"/>
  <c r="H34" i="12"/>
  <c r="L33" i="12"/>
  <c r="K33" i="12"/>
  <c r="J33" i="12"/>
  <c r="I33" i="12"/>
  <c r="H33" i="12"/>
  <c r="L32" i="12"/>
  <c r="K32" i="12"/>
  <c r="J32" i="12"/>
  <c r="I32" i="12"/>
  <c r="H32" i="12"/>
  <c r="L31" i="12"/>
  <c r="K31" i="12"/>
  <c r="J31" i="12"/>
  <c r="I31" i="12"/>
  <c r="H31" i="12"/>
  <c r="L30" i="12"/>
  <c r="K30" i="12"/>
  <c r="J30" i="12"/>
  <c r="I30" i="12"/>
  <c r="H30" i="12"/>
  <c r="L29" i="12"/>
  <c r="K29" i="12"/>
  <c r="J29" i="12"/>
  <c r="I29" i="12"/>
  <c r="H29" i="12"/>
  <c r="L28" i="12"/>
  <c r="K28" i="12"/>
  <c r="J28" i="12"/>
  <c r="I28" i="12"/>
  <c r="H28" i="12"/>
  <c r="L27" i="12"/>
  <c r="K27" i="12"/>
  <c r="J27" i="12"/>
  <c r="I27" i="12"/>
  <c r="H27" i="12"/>
  <c r="L26" i="12"/>
  <c r="K26" i="12"/>
  <c r="J26" i="12"/>
  <c r="I26" i="12"/>
  <c r="H26" i="12"/>
  <c r="L25" i="12"/>
  <c r="K25" i="12"/>
  <c r="J25" i="12"/>
  <c r="I25" i="12"/>
  <c r="H25" i="12"/>
  <c r="L24" i="12"/>
  <c r="K24" i="12"/>
  <c r="J24" i="12"/>
  <c r="I24" i="12"/>
  <c r="H24" i="12"/>
  <c r="L23" i="12"/>
  <c r="K23" i="12"/>
  <c r="J23" i="12"/>
  <c r="I23" i="12"/>
  <c r="H23" i="12"/>
  <c r="R23" i="12" s="1"/>
  <c r="L22" i="12"/>
  <c r="K22" i="12"/>
  <c r="J22" i="12"/>
  <c r="I22" i="12"/>
  <c r="H22" i="12"/>
  <c r="L21" i="12"/>
  <c r="K21" i="12"/>
  <c r="J21" i="12"/>
  <c r="I21" i="12"/>
  <c r="H21" i="12"/>
  <c r="L20" i="12"/>
  <c r="K20" i="12"/>
  <c r="U20" i="12" s="1"/>
  <c r="J20" i="12"/>
  <c r="I20" i="12"/>
  <c r="H20" i="12"/>
  <c r="R20" i="12" s="1"/>
  <c r="L19" i="12"/>
  <c r="K19" i="12"/>
  <c r="J19" i="12"/>
  <c r="I19" i="12"/>
  <c r="H19" i="12"/>
  <c r="R19" i="12" s="1"/>
  <c r="L18" i="12"/>
  <c r="K18" i="12"/>
  <c r="J18" i="12"/>
  <c r="I18" i="12"/>
  <c r="H18" i="12"/>
  <c r="L17" i="12"/>
  <c r="K17" i="12"/>
  <c r="J17" i="12"/>
  <c r="I17" i="12"/>
  <c r="H17" i="12"/>
  <c r="L16" i="12"/>
  <c r="K16" i="12"/>
  <c r="U16" i="12" s="1"/>
  <c r="J16" i="12"/>
  <c r="I16" i="12"/>
  <c r="H16" i="12"/>
  <c r="L15" i="12"/>
  <c r="K15" i="12"/>
  <c r="J15" i="12"/>
  <c r="I15" i="12"/>
  <c r="H15" i="12"/>
  <c r="L14" i="12"/>
  <c r="K14" i="12"/>
  <c r="J14" i="12"/>
  <c r="I14" i="12"/>
  <c r="H14" i="12"/>
  <c r="L13" i="12"/>
  <c r="K13" i="12"/>
  <c r="J13" i="12"/>
  <c r="I13" i="12"/>
  <c r="H13" i="12"/>
  <c r="L12" i="12"/>
  <c r="K12" i="12"/>
  <c r="U12" i="12" s="1"/>
  <c r="J12" i="12"/>
  <c r="I12" i="12"/>
  <c r="H12" i="12"/>
  <c r="L11" i="12"/>
  <c r="K11" i="12"/>
  <c r="J11" i="12"/>
  <c r="I11" i="12"/>
  <c r="H11" i="12"/>
  <c r="L10" i="12"/>
  <c r="K10" i="12"/>
  <c r="J10" i="12"/>
  <c r="I10" i="12"/>
  <c r="H10" i="12"/>
  <c r="L9" i="12"/>
  <c r="K9" i="12"/>
  <c r="J9" i="12"/>
  <c r="I9" i="12"/>
  <c r="S9" i="12" s="1"/>
  <c r="H9" i="12"/>
  <c r="F53" i="12"/>
  <c r="E53" i="12"/>
  <c r="D53" i="12"/>
  <c r="C53" i="12"/>
  <c r="B53" i="12"/>
  <c r="F52" i="12"/>
  <c r="E52" i="12"/>
  <c r="D52" i="12"/>
  <c r="C52" i="12"/>
  <c r="B52" i="12"/>
  <c r="F51" i="12"/>
  <c r="E51" i="12"/>
  <c r="D51" i="12"/>
  <c r="C51" i="12"/>
  <c r="B51" i="12"/>
  <c r="O13" i="12" l="1"/>
  <c r="T13" i="12"/>
  <c r="N18" i="12"/>
  <c r="S18" i="12"/>
  <c r="Q19" i="12"/>
  <c r="V19" i="12"/>
  <c r="O21" i="12"/>
  <c r="T21" i="12"/>
  <c r="P24" i="12"/>
  <c r="U24" i="12"/>
  <c r="S26" i="12"/>
  <c r="Q27" i="12"/>
  <c r="V27" i="12"/>
  <c r="T29" i="12"/>
  <c r="R31" i="12"/>
  <c r="U32" i="12"/>
  <c r="S34" i="12"/>
  <c r="V35" i="12"/>
  <c r="T37" i="12"/>
  <c r="R39" i="12"/>
  <c r="U40" i="12"/>
  <c r="S42" i="12"/>
  <c r="V43" i="12"/>
  <c r="T45" i="12"/>
  <c r="R47" i="12"/>
  <c r="U48" i="12"/>
  <c r="P13" i="12"/>
  <c r="U13" i="12"/>
  <c r="Q16" i="12"/>
  <c r="V16" i="12"/>
  <c r="O18" i="12"/>
  <c r="T18" i="12"/>
  <c r="P21" i="12"/>
  <c r="U21" i="12"/>
  <c r="S23" i="12"/>
  <c r="Q24" i="12"/>
  <c r="V24" i="12"/>
  <c r="T26" i="12"/>
  <c r="R28" i="12"/>
  <c r="U29" i="12"/>
  <c r="S31" i="12"/>
  <c r="V32" i="12"/>
  <c r="T34" i="12"/>
  <c r="R36" i="12"/>
  <c r="U37" i="12"/>
  <c r="S39" i="12"/>
  <c r="V40" i="12"/>
  <c r="T42" i="12"/>
  <c r="R44" i="12"/>
  <c r="U45" i="12"/>
  <c r="S47" i="12"/>
  <c r="V48" i="12"/>
  <c r="M12" i="12"/>
  <c r="R12" i="12"/>
  <c r="N15" i="12"/>
  <c r="S15" i="12"/>
  <c r="M9" i="12"/>
  <c r="R9" i="12"/>
  <c r="P10" i="12"/>
  <c r="U10" i="12"/>
  <c r="N12" i="12"/>
  <c r="S12" i="12"/>
  <c r="Q13" i="12"/>
  <c r="V13" i="12"/>
  <c r="T15" i="12"/>
  <c r="M17" i="12"/>
  <c r="R17" i="12"/>
  <c r="P18" i="12"/>
  <c r="U18" i="12"/>
  <c r="N20" i="12"/>
  <c r="S20" i="12"/>
  <c r="Q21" i="12"/>
  <c r="V21" i="12"/>
  <c r="T23" i="12"/>
  <c r="M25" i="12"/>
  <c r="R25" i="12"/>
  <c r="P26" i="12"/>
  <c r="U26" i="12"/>
  <c r="S28" i="12"/>
  <c r="V29" i="12"/>
  <c r="T31" i="12"/>
  <c r="R33" i="12"/>
  <c r="U34" i="12"/>
  <c r="S36" i="12"/>
  <c r="V37" i="12"/>
  <c r="T39" i="12"/>
  <c r="R41" i="12"/>
  <c r="U42" i="12"/>
  <c r="S44" i="12"/>
  <c r="V45" i="12"/>
  <c r="T47" i="12"/>
  <c r="R49" i="12"/>
  <c r="Q11" i="12"/>
  <c r="V11" i="12"/>
  <c r="M15" i="12"/>
  <c r="R15" i="12"/>
  <c r="O10" i="12"/>
  <c r="T10" i="12"/>
  <c r="Q10" i="12"/>
  <c r="V10" i="12"/>
  <c r="O12" i="12"/>
  <c r="T12" i="12"/>
  <c r="M14" i="12"/>
  <c r="R14" i="12"/>
  <c r="P15" i="12"/>
  <c r="U15" i="12"/>
  <c r="S17" i="12"/>
  <c r="Q18" i="12"/>
  <c r="V18" i="12"/>
  <c r="T20" i="12"/>
  <c r="M22" i="12"/>
  <c r="R22" i="12"/>
  <c r="P23" i="12"/>
  <c r="U23" i="12"/>
  <c r="N25" i="12"/>
  <c r="S25" i="12"/>
  <c r="Q26" i="12"/>
  <c r="V26" i="12"/>
  <c r="T28" i="12"/>
  <c r="R30" i="12"/>
  <c r="U31" i="12"/>
  <c r="S33" i="12"/>
  <c r="V34" i="12"/>
  <c r="T36" i="12"/>
  <c r="R38" i="12"/>
  <c r="U39" i="12"/>
  <c r="S41" i="12"/>
  <c r="V42" i="12"/>
  <c r="T44" i="12"/>
  <c r="R46" i="12"/>
  <c r="U47" i="12"/>
  <c r="S49" i="12"/>
  <c r="N10" i="12"/>
  <c r="S10" i="12"/>
  <c r="Q15" i="12"/>
  <c r="V15" i="12"/>
  <c r="N22" i="12"/>
  <c r="S22" i="12"/>
  <c r="Q23" i="12"/>
  <c r="V23" i="12"/>
  <c r="T25" i="12"/>
  <c r="R27" i="12"/>
  <c r="U28" i="12"/>
  <c r="S30" i="12"/>
  <c r="V31" i="12"/>
  <c r="T33" i="12"/>
  <c r="R35" i="12"/>
  <c r="U36" i="12"/>
  <c r="S38" i="12"/>
  <c r="V39" i="12"/>
  <c r="T41" i="12"/>
  <c r="R43" i="12"/>
  <c r="U44" i="12"/>
  <c r="S46" i="12"/>
  <c r="V47" i="12"/>
  <c r="T49" i="12"/>
  <c r="N14" i="12"/>
  <c r="S14" i="12"/>
  <c r="P9" i="12"/>
  <c r="U9" i="12"/>
  <c r="N11" i="12"/>
  <c r="S11" i="12"/>
  <c r="Q12" i="12"/>
  <c r="V12" i="12"/>
  <c r="O14" i="12"/>
  <c r="T14" i="12"/>
  <c r="M16" i="12"/>
  <c r="R16" i="12"/>
  <c r="P17" i="12"/>
  <c r="U17" i="12"/>
  <c r="N19" i="12"/>
  <c r="S19" i="12"/>
  <c r="Q20" i="12"/>
  <c r="V20" i="12"/>
  <c r="O22" i="12"/>
  <c r="T22" i="12"/>
  <c r="R24" i="12"/>
  <c r="U25" i="12"/>
  <c r="S27" i="12"/>
  <c r="V28" i="12"/>
  <c r="T30" i="12"/>
  <c r="R32" i="12"/>
  <c r="U33" i="12"/>
  <c r="S35" i="12"/>
  <c r="V36" i="12"/>
  <c r="T38" i="12"/>
  <c r="R40" i="12"/>
  <c r="U41" i="12"/>
  <c r="S43" i="12"/>
  <c r="V44" i="12"/>
  <c r="T46" i="12"/>
  <c r="R48" i="12"/>
  <c r="U49" i="12"/>
  <c r="O9" i="12"/>
  <c r="T9" i="12"/>
  <c r="O17" i="12"/>
  <c r="T17" i="12"/>
  <c r="Q9" i="12"/>
  <c r="V9" i="12"/>
  <c r="T11" i="12"/>
  <c r="M13" i="12"/>
  <c r="R13" i="12"/>
  <c r="P14" i="12"/>
  <c r="U14" i="12"/>
  <c r="N16" i="12"/>
  <c r="S16" i="12"/>
  <c r="Q17" i="12"/>
  <c r="V17" i="12"/>
  <c r="T19" i="12"/>
  <c r="R21" i="12"/>
  <c r="P22" i="12"/>
  <c r="U22" i="12"/>
  <c r="N24" i="12"/>
  <c r="S24" i="12"/>
  <c r="Q25" i="12"/>
  <c r="V25" i="12"/>
  <c r="T27" i="12"/>
  <c r="R29" i="12"/>
  <c r="U30" i="12"/>
  <c r="S32" i="12"/>
  <c r="V33" i="12"/>
  <c r="T35" i="12"/>
  <c r="R37" i="12"/>
  <c r="U38" i="12"/>
  <c r="S40" i="12"/>
  <c r="V41" i="12"/>
  <c r="T43" i="12"/>
  <c r="R45" i="12"/>
  <c r="U46" i="12"/>
  <c r="S48" i="12"/>
  <c r="V49" i="12"/>
  <c r="M11" i="12"/>
  <c r="R11" i="12"/>
  <c r="M10" i="12"/>
  <c r="R10" i="12"/>
  <c r="P11" i="12"/>
  <c r="U11" i="12"/>
  <c r="S13" i="12"/>
  <c r="Q14" i="12"/>
  <c r="V14" i="12"/>
  <c r="O16" i="12"/>
  <c r="T16" i="12"/>
  <c r="R18" i="12"/>
  <c r="P19" i="12"/>
  <c r="U19" i="12"/>
  <c r="S21" i="12"/>
  <c r="Q22" i="12"/>
  <c r="V22" i="12"/>
  <c r="T24" i="12"/>
  <c r="R26" i="12"/>
  <c r="U27" i="12"/>
  <c r="S29" i="12"/>
  <c r="V30" i="12"/>
  <c r="T32" i="12"/>
  <c r="R34" i="12"/>
  <c r="U35" i="12"/>
  <c r="S37" i="12"/>
  <c r="V38" i="12"/>
  <c r="T40" i="12"/>
  <c r="R42" i="12"/>
  <c r="U43" i="12"/>
  <c r="S45" i="12"/>
  <c r="V46" i="12"/>
  <c r="T48" i="12"/>
  <c r="M19" i="12"/>
  <c r="M21" i="12"/>
  <c r="M18" i="12"/>
  <c r="M23" i="12"/>
  <c r="M20" i="12"/>
  <c r="O25" i="12"/>
  <c r="O29" i="12"/>
  <c r="O26" i="12"/>
  <c r="N28" i="12"/>
  <c r="N27" i="12"/>
  <c r="M29" i="12"/>
  <c r="N26" i="12"/>
  <c r="N23" i="12"/>
  <c r="H53" i="12"/>
  <c r="H51" i="12"/>
  <c r="M46" i="12"/>
  <c r="H52" i="12"/>
  <c r="P31" i="12"/>
  <c r="I53" i="12"/>
  <c r="I51" i="12"/>
  <c r="M27" i="12"/>
  <c r="P28" i="12"/>
  <c r="N30" i="12"/>
  <c r="I52" i="12"/>
  <c r="J53" i="12"/>
  <c r="J51" i="12"/>
  <c r="P25" i="12"/>
  <c r="O30" i="12"/>
  <c r="J52" i="12"/>
  <c r="K51" i="12"/>
  <c r="K53" i="12"/>
  <c r="K52" i="12"/>
  <c r="L51" i="12"/>
  <c r="L53" i="12"/>
  <c r="P27" i="12"/>
  <c r="Q46" i="12"/>
  <c r="L52" i="12"/>
  <c r="M28" i="12"/>
  <c r="P29" i="12"/>
  <c r="M47" i="28"/>
  <c r="M28" i="28"/>
  <c r="M15" i="28"/>
  <c r="M31" i="28"/>
  <c r="M20" i="28"/>
  <c r="M35" i="28"/>
  <c r="M18" i="28"/>
  <c r="M48" i="28"/>
  <c r="M46" i="28"/>
  <c r="M9" i="28"/>
  <c r="M39" i="28"/>
  <c r="M12" i="28"/>
  <c r="M27" i="28"/>
  <c r="M24" i="28"/>
  <c r="M38" i="28"/>
  <c r="M17" i="28"/>
  <c r="M42" i="28"/>
  <c r="M26" i="28"/>
  <c r="M19" i="28"/>
  <c r="M45" i="28"/>
  <c r="M30" i="28"/>
  <c r="M43" i="28"/>
  <c r="M13" i="28"/>
  <c r="M10" i="28"/>
  <c r="M11" i="28"/>
  <c r="M41" i="28"/>
  <c r="M40" i="28"/>
  <c r="M22" i="28"/>
  <c r="M36" i="28"/>
  <c r="M8" i="28"/>
  <c r="M34" i="28"/>
  <c r="M33" i="28"/>
  <c r="M32" i="28"/>
  <c r="M14" i="28"/>
  <c r="M44" i="28"/>
  <c r="M16" i="28"/>
  <c r="M25" i="28"/>
  <c r="M37" i="28"/>
  <c r="M21" i="28"/>
  <c r="Q38" i="12"/>
  <c r="N31" i="12"/>
  <c r="Q48" i="12"/>
  <c r="M24" i="12"/>
  <c r="M33" i="12"/>
  <c r="N36" i="12"/>
  <c r="Q34" i="12"/>
  <c r="Q42" i="12"/>
  <c r="Q28" i="12"/>
  <c r="Q39" i="12"/>
  <c r="Q47" i="12"/>
  <c r="M26" i="12"/>
  <c r="Q44" i="12"/>
  <c r="N29" i="12"/>
  <c r="P35" i="12"/>
  <c r="N32" i="12"/>
  <c r="M37" i="12"/>
  <c r="M45" i="12"/>
  <c r="Q31" i="12"/>
  <c r="N33" i="12"/>
  <c r="P34" i="12"/>
  <c r="Q36" i="12"/>
  <c r="N38" i="12"/>
  <c r="N40" i="12"/>
  <c r="N47" i="12"/>
  <c r="P48" i="12"/>
  <c r="Q30" i="12"/>
  <c r="Q35" i="12"/>
  <c r="O38" i="12"/>
  <c r="Q40" i="12"/>
  <c r="N42" i="12"/>
  <c r="N44" i="12"/>
  <c r="Q29" i="12"/>
  <c r="M31" i="12"/>
  <c r="P33" i="12"/>
  <c r="N37" i="12"/>
  <c r="P38" i="12"/>
  <c r="O42" i="12"/>
  <c r="N46" i="12"/>
  <c r="Q33" i="12"/>
  <c r="M35" i="12"/>
  <c r="N41" i="12"/>
  <c r="P42" i="12"/>
  <c r="Q43" i="12"/>
  <c r="O46" i="12"/>
  <c r="P32" i="12"/>
  <c r="N35" i="12"/>
  <c r="P37" i="12"/>
  <c r="N45" i="12"/>
  <c r="P46" i="12"/>
  <c r="N49" i="12"/>
  <c r="Q32" i="12"/>
  <c r="P36" i="12"/>
  <c r="Q37" i="12"/>
  <c r="M39" i="12"/>
  <c r="P41" i="12"/>
  <c r="O49" i="12"/>
  <c r="N34" i="12"/>
  <c r="N39" i="12"/>
  <c r="P40" i="12"/>
  <c r="Q41" i="12"/>
  <c r="M43" i="12"/>
  <c r="P45" i="12"/>
  <c r="N48" i="12"/>
  <c r="P49" i="12"/>
  <c r="P20" i="12"/>
  <c r="O34" i="12"/>
  <c r="M41" i="12"/>
  <c r="N43" i="12"/>
  <c r="P44" i="12"/>
  <c r="Q45" i="12"/>
  <c r="M47" i="12"/>
  <c r="Q49" i="12"/>
  <c r="P30" i="12"/>
  <c r="O11" i="12"/>
  <c r="O15" i="12"/>
  <c r="O19" i="12"/>
  <c r="O23" i="12"/>
  <c r="O27" i="12"/>
  <c r="O31" i="12"/>
  <c r="M32" i="12"/>
  <c r="O35" i="12"/>
  <c r="M36" i="12"/>
  <c r="O39" i="12"/>
  <c r="M40" i="12"/>
  <c r="O43" i="12"/>
  <c r="M44" i="12"/>
  <c r="O47" i="12"/>
  <c r="M48" i="12"/>
  <c r="P39" i="12"/>
  <c r="P43" i="12"/>
  <c r="P47" i="12"/>
  <c r="O20" i="12"/>
  <c r="O24" i="12"/>
  <c r="O28" i="12"/>
  <c r="O32" i="12"/>
  <c r="O36" i="12"/>
  <c r="O40" i="12"/>
  <c r="O44" i="12"/>
  <c r="O48" i="12"/>
  <c r="M49" i="12"/>
  <c r="N9" i="12"/>
  <c r="P12" i="12"/>
  <c r="N13" i="12"/>
  <c r="P16" i="12"/>
  <c r="N17" i="12"/>
  <c r="N21" i="12"/>
  <c r="M30" i="12"/>
  <c r="O33" i="12"/>
  <c r="M34" i="12"/>
  <c r="O37" i="12"/>
  <c r="M38" i="12"/>
  <c r="O41" i="12"/>
  <c r="M42" i="12"/>
  <c r="O45" i="12"/>
  <c r="B42" i="24" l="1"/>
  <c r="B41" i="24"/>
  <c r="B40" i="24"/>
  <c r="F52" i="18"/>
  <c r="D52" i="18"/>
  <c r="B52" i="18"/>
  <c r="F51" i="18"/>
  <c r="D51" i="18"/>
  <c r="B51" i="18"/>
  <c r="F50" i="18"/>
  <c r="D50" i="18"/>
  <c r="B50" i="18"/>
  <c r="E47" i="18"/>
  <c r="C47" i="18"/>
  <c r="E46" i="18"/>
  <c r="C46" i="18"/>
  <c r="E45" i="18"/>
  <c r="C45" i="18"/>
  <c r="G45" i="18" s="1"/>
  <c r="E44" i="18"/>
  <c r="C44" i="18"/>
  <c r="E43" i="18"/>
  <c r="C43" i="18"/>
  <c r="E42" i="18"/>
  <c r="C42" i="18"/>
  <c r="E41" i="18"/>
  <c r="C41" i="18"/>
  <c r="G41" i="18" s="1"/>
  <c r="E40" i="18"/>
  <c r="C40" i="18"/>
  <c r="E39" i="18"/>
  <c r="C39" i="18"/>
  <c r="E38" i="18"/>
  <c r="C38" i="18"/>
  <c r="E37" i="18"/>
  <c r="C37" i="18"/>
  <c r="G37" i="18" s="1"/>
  <c r="E36" i="18"/>
  <c r="C36" i="18"/>
  <c r="E35" i="18"/>
  <c r="C35" i="18"/>
  <c r="E34" i="18"/>
  <c r="C34" i="18"/>
  <c r="E33" i="18"/>
  <c r="C33" i="18"/>
  <c r="G33" i="18" s="1"/>
  <c r="E32" i="18"/>
  <c r="C32" i="18"/>
  <c r="E31" i="18"/>
  <c r="C31" i="18"/>
  <c r="E30" i="18"/>
  <c r="C30" i="18"/>
  <c r="E29" i="18"/>
  <c r="C29" i="18"/>
  <c r="G29" i="18" s="1"/>
  <c r="E28" i="18"/>
  <c r="C28" i="18"/>
  <c r="C55" i="18" s="1"/>
  <c r="E27" i="18"/>
  <c r="C27" i="18"/>
  <c r="E26" i="18"/>
  <c r="C26" i="18"/>
  <c r="E25" i="18"/>
  <c r="C25" i="18"/>
  <c r="G25" i="18" s="1"/>
  <c r="E24" i="18"/>
  <c r="C24" i="18"/>
  <c r="E23" i="18"/>
  <c r="C23" i="18"/>
  <c r="E22" i="18"/>
  <c r="C22" i="18"/>
  <c r="E21" i="18"/>
  <c r="C21" i="18"/>
  <c r="G21" i="18" s="1"/>
  <c r="E20" i="18"/>
  <c r="C20" i="18"/>
  <c r="E19" i="18"/>
  <c r="C19" i="18"/>
  <c r="E18" i="18"/>
  <c r="C18" i="18"/>
  <c r="E17" i="18"/>
  <c r="C17" i="18"/>
  <c r="G17" i="18" s="1"/>
  <c r="E16" i="18"/>
  <c r="C16" i="18"/>
  <c r="E15" i="18"/>
  <c r="C15" i="18"/>
  <c r="E14" i="18"/>
  <c r="C14" i="18"/>
  <c r="E13" i="18"/>
  <c r="C13" i="18"/>
  <c r="G13" i="18" s="1"/>
  <c r="E12" i="18"/>
  <c r="C12" i="18"/>
  <c r="E11" i="18"/>
  <c r="C11" i="18"/>
  <c r="E10" i="18"/>
  <c r="C10" i="18"/>
  <c r="E9" i="18"/>
  <c r="C9" i="18"/>
  <c r="E8" i="18"/>
  <c r="C8" i="18"/>
  <c r="E7" i="18"/>
  <c r="C7" i="18"/>
  <c r="E6" i="18"/>
  <c r="C6" i="18"/>
  <c r="C5" i="18"/>
  <c r="G5" i="18" s="1"/>
  <c r="E4" i="18"/>
  <c r="G9" i="18" l="1"/>
  <c r="G4" i="18"/>
  <c r="C54" i="18"/>
  <c r="C56" i="18"/>
  <c r="E56" i="18"/>
  <c r="E54" i="18"/>
  <c r="E55" i="18"/>
  <c r="G6" i="18"/>
  <c r="G10" i="18"/>
  <c r="G14" i="18"/>
  <c r="G18" i="18"/>
  <c r="G22" i="18"/>
  <c r="G26" i="18"/>
  <c r="G30" i="18"/>
  <c r="G34" i="18"/>
  <c r="G38" i="18"/>
  <c r="G42" i="18"/>
  <c r="G46" i="18"/>
  <c r="G7" i="18"/>
  <c r="G11" i="18"/>
  <c r="G15" i="18"/>
  <c r="G19" i="18"/>
  <c r="G23" i="18"/>
  <c r="G27" i="18"/>
  <c r="G31" i="18"/>
  <c r="G35" i="18"/>
  <c r="G39" i="18"/>
  <c r="G43" i="18"/>
  <c r="G47" i="18"/>
  <c r="G8" i="18"/>
  <c r="G12" i="18"/>
  <c r="G16" i="18"/>
  <c r="G20" i="18"/>
  <c r="G24" i="18"/>
  <c r="G28" i="18"/>
  <c r="G32" i="18"/>
  <c r="G36" i="18"/>
  <c r="G40" i="18"/>
  <c r="G44" i="18"/>
  <c r="C51" i="18"/>
  <c r="C52" i="18"/>
  <c r="E51" i="18"/>
  <c r="E52" i="18"/>
  <c r="C50" i="18"/>
  <c r="E50" i="18"/>
  <c r="G56" i="18" l="1"/>
  <c r="G54" i="18"/>
  <c r="G51" i="18"/>
  <c r="G55" i="18"/>
  <c r="G52" i="18"/>
  <c r="G50" i="18"/>
  <c r="M53" i="10"/>
  <c r="L53" i="10"/>
  <c r="K53" i="10"/>
  <c r="J53" i="10"/>
  <c r="I53" i="10"/>
  <c r="H53" i="10"/>
  <c r="G53" i="10"/>
  <c r="F53" i="10"/>
  <c r="E53" i="10"/>
  <c r="D53" i="10"/>
  <c r="C53" i="10"/>
  <c r="B53" i="10"/>
  <c r="M52" i="10"/>
  <c r="L52" i="10"/>
  <c r="K52" i="10"/>
  <c r="I52" i="10"/>
  <c r="H52" i="10"/>
  <c r="G52" i="10"/>
  <c r="F52" i="10"/>
  <c r="E52" i="10"/>
  <c r="D52" i="10"/>
  <c r="C52" i="10"/>
  <c r="B52" i="10"/>
  <c r="M51" i="10"/>
  <c r="L51" i="10"/>
  <c r="K51" i="10"/>
  <c r="I51" i="10"/>
  <c r="H51" i="10"/>
  <c r="G51" i="10"/>
  <c r="F51" i="10"/>
  <c r="E51" i="10"/>
  <c r="D51" i="10"/>
  <c r="C51" i="10"/>
  <c r="B51" i="10"/>
  <c r="M53" i="9"/>
  <c r="L53" i="9"/>
  <c r="K53" i="9"/>
  <c r="J53" i="9"/>
  <c r="I53" i="9"/>
  <c r="H53" i="9"/>
  <c r="G53" i="9"/>
  <c r="F53" i="9"/>
  <c r="E53" i="9"/>
  <c r="D53" i="9"/>
  <c r="C53" i="9"/>
  <c r="B53" i="9"/>
  <c r="M52" i="9"/>
  <c r="L52" i="9"/>
  <c r="K52" i="9"/>
  <c r="J52" i="9"/>
  <c r="I52" i="9"/>
  <c r="H52" i="9"/>
  <c r="G52" i="9"/>
  <c r="F52" i="9"/>
  <c r="E52" i="9"/>
  <c r="D52" i="9"/>
  <c r="C52" i="9"/>
  <c r="B52" i="9"/>
  <c r="M51" i="9"/>
  <c r="L51" i="9"/>
  <c r="K51" i="9"/>
  <c r="J51" i="9"/>
  <c r="I51" i="9"/>
  <c r="H51" i="9"/>
  <c r="G51" i="9"/>
  <c r="F51" i="9"/>
  <c r="E51" i="9"/>
  <c r="D51" i="9"/>
  <c r="C51" i="9"/>
  <c r="B51" i="9"/>
  <c r="H53" i="8"/>
  <c r="G53" i="8"/>
  <c r="F53" i="8"/>
  <c r="D53" i="8"/>
  <c r="C53" i="8"/>
  <c r="B53" i="8"/>
  <c r="H52" i="8"/>
  <c r="G52" i="8"/>
  <c r="F52" i="8"/>
  <c r="D52" i="8"/>
  <c r="C52" i="8"/>
  <c r="B52" i="8"/>
  <c r="H51" i="8"/>
  <c r="G51" i="8"/>
  <c r="F51" i="8"/>
  <c r="D51" i="8"/>
  <c r="C51" i="8"/>
  <c r="B51" i="8"/>
  <c r="G67" i="2"/>
  <c r="E67" i="2"/>
  <c r="C67" i="2"/>
  <c r="G66" i="2"/>
  <c r="E66" i="2"/>
  <c r="C66" i="2"/>
  <c r="G65" i="2"/>
  <c r="E65" i="2"/>
  <c r="C65" i="2"/>
  <c r="G64" i="2"/>
  <c r="E64" i="2"/>
  <c r="C64" i="2"/>
  <c r="G63" i="2"/>
  <c r="E63" i="2"/>
  <c r="C63" i="2"/>
  <c r="F52" i="2"/>
  <c r="E52" i="2"/>
  <c r="D52" i="2"/>
  <c r="C52" i="2"/>
  <c r="B52" i="2"/>
  <c r="F51" i="2"/>
  <c r="E51" i="2"/>
  <c r="D51" i="2"/>
  <c r="C51" i="2"/>
  <c r="B51" i="2"/>
  <c r="F50" i="2"/>
  <c r="E50" i="2"/>
  <c r="D50" i="2"/>
  <c r="C50" i="2"/>
  <c r="B50" i="2"/>
</calcChain>
</file>

<file path=xl/sharedStrings.xml><?xml version="1.0" encoding="utf-8"?>
<sst xmlns="http://schemas.openxmlformats.org/spreadsheetml/2006/main" count="5243" uniqueCount="745">
  <si>
    <t>Table of Contents on Income in New Brunswick</t>
  </si>
  <si>
    <t>Last update: June 1, 2021</t>
  </si>
  <si>
    <t>Table 1: Average Income, Government Transfers, and Tax, New Brunswick, 1976-2019</t>
  </si>
  <si>
    <t>2019 constant dollars</t>
  </si>
  <si>
    <t>Average Market Income</t>
  </si>
  <si>
    <t>Average Government Transfers</t>
  </si>
  <si>
    <t>Average Total Income</t>
  </si>
  <si>
    <t>Average Income Tax</t>
  </si>
  <si>
    <t>Average After-Tax Income</t>
  </si>
  <si>
    <t>CAGR: 1976-2019</t>
  </si>
  <si>
    <t>CAGR: 1976-2000</t>
  </si>
  <si>
    <t>CAGR: 2000-2019</t>
  </si>
  <si>
    <t>CAGR: 1981-2000</t>
  </si>
  <si>
    <t>Average</t>
  </si>
  <si>
    <t>Share of After-Tax Income (%)</t>
  </si>
  <si>
    <t xml:space="preserve"> Market Income</t>
  </si>
  <si>
    <t xml:space="preserve"> Government Transfers</t>
  </si>
  <si>
    <t xml:space="preserve"> Total Income</t>
  </si>
  <si>
    <t xml:space="preserve"> Income Tax</t>
  </si>
  <si>
    <t xml:space="preserve"> After-Tax Income</t>
  </si>
  <si>
    <t>Table 1A: New Brunswick Average Income, Government Transfers, and Tax as a Proportion of Canadian Averages, 1976-2019</t>
  </si>
  <si>
    <t>Line</t>
  </si>
  <si>
    <t>PP Change: 1976-2019</t>
  </si>
  <si>
    <t>PP Change: 1976-2000</t>
  </si>
  <si>
    <t>PP Change: 2000-2019</t>
  </si>
  <si>
    <t>Table 2: Median Income, Government Transfers, and Tax, New Brunswick, 1976-2019</t>
  </si>
  <si>
    <t>Median Market Income</t>
  </si>
  <si>
    <t>Median Government Transfers</t>
  </si>
  <si>
    <t>Median Total Income</t>
  </si>
  <si>
    <t>Median Income Tax</t>
  </si>
  <si>
    <t>Median After-Tax Income</t>
  </si>
  <si>
    <t>Median</t>
  </si>
  <si>
    <t>Share of After-Tax Income</t>
  </si>
  <si>
    <t>Table 2A: New Brunswick Median Income, Government Transfers, and Tax as a Proportion of Canadian Medians, 1976-2019</t>
  </si>
  <si>
    <t>Average Income, Transfers, and Taxes</t>
  </si>
  <si>
    <t xml:space="preserve">Market Income </t>
  </si>
  <si>
    <t>Government Transfers</t>
  </si>
  <si>
    <t>Total Income</t>
  </si>
  <si>
    <t xml:space="preserve">Income Tax </t>
  </si>
  <si>
    <t xml:space="preserve">After-Tax Income </t>
  </si>
  <si>
    <t>Median Income, Transfers, and Taxes</t>
  </si>
  <si>
    <t>Sources: Table 1 and Table 2</t>
  </si>
  <si>
    <t>Canada</t>
  </si>
  <si>
    <t>CA</t>
  </si>
  <si>
    <t>N.B.</t>
  </si>
  <si>
    <t>Total</t>
  </si>
  <si>
    <t>1976-2000</t>
  </si>
  <si>
    <t>2000-2019</t>
  </si>
  <si>
    <t>Table 4: Per Cent of Households Spending 30% or More of Income on Shelter Costs (Shelter Cost to Income Ratio) by New Brunswick CMAs and CAs, 2005-2015</t>
  </si>
  <si>
    <t xml:space="preserve">30% or More of Income </t>
  </si>
  <si>
    <t>Moncton (CMA)</t>
  </si>
  <si>
    <t>NA</t>
  </si>
  <si>
    <t>Saint John (CMA)</t>
  </si>
  <si>
    <t>Edmundston (CA)</t>
  </si>
  <si>
    <t>New Brunswick</t>
  </si>
  <si>
    <t>Bathurst (CA)</t>
  </si>
  <si>
    <t>Miramichi (CA)</t>
  </si>
  <si>
    <t>Total Housing</t>
  </si>
  <si>
    <t>Spending 30% or more</t>
  </si>
  <si>
    <t xml:space="preserve">Sources: </t>
  </si>
  <si>
    <t>2010 Census Data: Statistics Canada, 2011 National Household Survey, Statistics Canada Catalogue no. 99-014-X2011028</t>
  </si>
  <si>
    <t>Number of Persons</t>
  </si>
  <si>
    <t>Number of Families</t>
  </si>
  <si>
    <t>Total (x1,000)</t>
  </si>
  <si>
    <t>Economic Families (x1,000)</t>
  </si>
  <si>
    <t>Share</t>
  </si>
  <si>
    <t>Persons Not in an Economic Family (x1,000)</t>
  </si>
  <si>
    <t>CAGR</t>
  </si>
  <si>
    <t>PP Change</t>
  </si>
  <si>
    <t>1976-2019</t>
  </si>
  <si>
    <t>Table A1a: Annual Growth Rate of the Number of Persons and Families by Economic Unit, New Brunswick, 1976-2019</t>
  </si>
  <si>
    <t xml:space="preserve">Economic Families </t>
  </si>
  <si>
    <t xml:space="preserve">Persons Not in an Economic Family </t>
  </si>
  <si>
    <t>Table A1b: Importance of Persons Not in an Economic Family, 1976-2019</t>
  </si>
  <si>
    <t>Per Cent of All Persons</t>
  </si>
  <si>
    <t>Per Cent of All Economic Units</t>
  </si>
  <si>
    <t xml:space="preserve">Number of Persons </t>
  </si>
  <si>
    <t>Economic Families</t>
  </si>
  <si>
    <t>Persons Not in an Economic Family</t>
  </si>
  <si>
    <t>Average Number of Persons in an Economic Family</t>
  </si>
  <si>
    <t>Source: Statistics Canada. Table 11-10-0190-01  Market income, government transfers, total income, income tax and after-tax income by economic family type (x100)</t>
  </si>
  <si>
    <t>Economic Families and Persons Not in an Economic Family</t>
  </si>
  <si>
    <t xml:space="preserve"> </t>
  </si>
  <si>
    <t>CAGR: 1976-2019*</t>
  </si>
  <si>
    <t>CAGR: 1976-2000**</t>
  </si>
  <si>
    <t>*Median Income Tax, CAGR: 1978-2019</t>
  </si>
  <si>
    <t>**Median Income Tax, CAGR: 1978-2000</t>
  </si>
  <si>
    <t>-</t>
  </si>
  <si>
    <t>*Median Income Tax, Persons Not in Economic Family, CAGR: 1978-2019</t>
  </si>
  <si>
    <t>**Median Income Tax, Persons Not in Economic Family, CAGR: 1978-2000</t>
  </si>
  <si>
    <t>CAN</t>
  </si>
  <si>
    <t>Total Deciles</t>
  </si>
  <si>
    <t>Lowest Decile</t>
  </si>
  <si>
    <t>Fifth Decile</t>
  </si>
  <si>
    <t>Highest Decile</t>
  </si>
  <si>
    <t>Compound Annual Growth Rate</t>
  </si>
  <si>
    <t>1976-2019*</t>
  </si>
  <si>
    <t>1976-2000**</t>
  </si>
  <si>
    <t>NB</t>
  </si>
  <si>
    <t>Real Values (2019 constant dollars)</t>
  </si>
  <si>
    <t>Nominal Values</t>
  </si>
  <si>
    <t>Index (2000 = 100)</t>
  </si>
  <si>
    <t>Index (1979 = 100)</t>
  </si>
  <si>
    <t>First Quintile</t>
  </si>
  <si>
    <t>Second Quintile</t>
  </si>
  <si>
    <t>Third Quintile</t>
  </si>
  <si>
    <t>Fourth Quintile</t>
  </si>
  <si>
    <t>Fifth Quintile</t>
  </si>
  <si>
    <t>CPI (2019=100)</t>
  </si>
  <si>
    <t>A</t>
  </si>
  <si>
    <t>B</t>
  </si>
  <si>
    <t>C</t>
  </si>
  <si>
    <t>D</t>
  </si>
  <si>
    <t>E</t>
  </si>
  <si>
    <t>F</t>
  </si>
  <si>
    <t>CAGR: 1979-2019</t>
  </si>
  <si>
    <t>CAGR: 1979-2000</t>
  </si>
  <si>
    <t>Sources:</t>
  </si>
  <si>
    <t>[A], [B], [C], [D], and [E]: Statistics Canada, Table: 11-10-0192-01</t>
  </si>
  <si>
    <t>[F]: Statistics Canada, Table: 18-10-0005-01</t>
  </si>
  <si>
    <t>Real Values</t>
  </si>
  <si>
    <t>PP Change: 1979-2019</t>
  </si>
  <si>
    <t>PP Change: 1979-2000</t>
  </si>
  <si>
    <t>After-tax income: Statistics Canada, Table: 11-10-0192-01</t>
  </si>
  <si>
    <t>CPI: Statistics Canada, Table: 18-10-0005-01</t>
  </si>
  <si>
    <t>Average After Tax Income, Index (2000 = 100)</t>
  </si>
  <si>
    <t xml:space="preserve">New Housing Price Index </t>
  </si>
  <si>
    <t>Rented Accommodation</t>
  </si>
  <si>
    <t>Owned Accommodation</t>
  </si>
  <si>
    <t>G</t>
  </si>
  <si>
    <t>H</t>
  </si>
  <si>
    <t>Index (1976 = 100)</t>
  </si>
  <si>
    <t>CAGR: 1977-2019</t>
  </si>
  <si>
    <t>CAGR: 1977-2000</t>
  </si>
  <si>
    <t>PP Change: 1977-2019</t>
  </si>
  <si>
    <t>PP Change: 1977-2000</t>
  </si>
  <si>
    <t>Current Dollars</t>
  </si>
  <si>
    <t>Top 0.1 Per Cent Income Group</t>
  </si>
  <si>
    <t>Top 1 Per Cent Income Group</t>
  </si>
  <si>
    <t>Top 5 Per Cent Income Group</t>
  </si>
  <si>
    <t>All Tax Filers</t>
  </si>
  <si>
    <t>Threshold Value</t>
  </si>
  <si>
    <t>Number of Tax Filers</t>
  </si>
  <si>
    <t>Median Income</t>
  </si>
  <si>
    <t>Average Income</t>
  </si>
  <si>
    <t>Top 0.1 Per Cent</t>
  </si>
  <si>
    <t>Top 1 Per Cent</t>
  </si>
  <si>
    <t>Top 5 Per Cent</t>
  </si>
  <si>
    <t>CAGR: 1982-2018*</t>
  </si>
  <si>
    <t>CAGR: 1982-2000**</t>
  </si>
  <si>
    <t>CAGR: 2000-2018</t>
  </si>
  <si>
    <t>*Top 0.1 Per Cent Income Group, CAGR: 1990-2018</t>
  </si>
  <si>
    <t>**Top 0.1 Per Cent Income Group, CAGR: 1990-2000</t>
  </si>
  <si>
    <t>Notes:</t>
  </si>
  <si>
    <t>Statistics in this table are based on always ranking tax filers within the income distribution of a specific geographic area. For statistics based on ranking tax filers within the national (Canada-wide) income distribution, please see Table 11-10-0055-01.</t>
  </si>
  <si>
    <t>An income threshold is used to classify tax filers into their respective income groups. This is the level of income that divides the top portion of an income distribution from the bottom portion. For example, the threshold for the top 1% and for the bottom 99% is the 99th percentile.</t>
  </si>
  <si>
    <t>Top 10 Per Cent Income Group</t>
  </si>
  <si>
    <t>PP Change: 1982-2018*</t>
  </si>
  <si>
    <t>PP Change: 1982-2000**</t>
  </si>
  <si>
    <t>PP Change: 2000-2018</t>
  </si>
  <si>
    <t>*Top 0.1 Per Cent Income Group, PP Change: 1990-2018</t>
  </si>
  <si>
    <t>**Top 0.1 Per Cent Income Group, PP Change: 1990-2000</t>
  </si>
  <si>
    <t>Income Group</t>
  </si>
  <si>
    <t>Top 10 Per Cent</t>
  </si>
  <si>
    <t>PP Change: 2000-2008</t>
  </si>
  <si>
    <t>PP Change: 2008-2018</t>
  </si>
  <si>
    <t>Percentage Point Change</t>
  </si>
  <si>
    <t>1982-2018</t>
  </si>
  <si>
    <t>1982-2000</t>
  </si>
  <si>
    <t>2000-2018</t>
  </si>
  <si>
    <t>2000-2008</t>
  </si>
  <si>
    <t>2008-2018</t>
  </si>
  <si>
    <t>Second Decile</t>
  </si>
  <si>
    <t>Third Decile</t>
  </si>
  <si>
    <t>Fourth Decile</t>
  </si>
  <si>
    <t>Sixth Decile</t>
  </si>
  <si>
    <t>Seventh Decile</t>
  </si>
  <si>
    <t>Eighth Decile</t>
  </si>
  <si>
    <t>Ninth Decile</t>
  </si>
  <si>
    <t>Panel A: Share of After-Tax Income by Decile</t>
  </si>
  <si>
    <t>Panel B: Share of After-Tax Income by Quintile</t>
  </si>
  <si>
    <t>Panel C: Percentage Point Change in Share of After-Tax Income in New Brunswick and Canada, by Quintile</t>
  </si>
  <si>
    <t>Panel D: Real Average After-Tax Income (2019 Constant Dollars) and Share of Total After-Tax Income, by Quintile, 1976, 2000 and 2019</t>
  </si>
  <si>
    <t>Share of Total Income</t>
  </si>
  <si>
    <t>Panel E: Real Average After-Tax Income (2019 Constant Dollars) and Share of Total After-Tax Income, by Decile, 1976, 2000 and 2019</t>
  </si>
  <si>
    <t>Decile</t>
  </si>
  <si>
    <t>Panel C: Percentage Point Change in Share of After-Tax Income of Economic Families in New Brunswick and Canada, by Quintile</t>
  </si>
  <si>
    <t>Panel D: Real Average After-Tax Income (2019 Constant Dollars) and Share of Total After-Tax Income of Economic Families, by Quintile, 1976, 2000 and 2019</t>
  </si>
  <si>
    <t>Quintile</t>
  </si>
  <si>
    <t>*New Brunswick, 1977-2019</t>
  </si>
  <si>
    <t xml:space="preserve"> **New Brunswick, 1977-2000</t>
  </si>
  <si>
    <t>Panel D: Real Average After-Tax Income (2019 Constant Dollars) and Share of Total After-Tax Income of Economic Families, by Quintile, 1977, 2000 and 2019</t>
  </si>
  <si>
    <t>Market Income</t>
  </si>
  <si>
    <t>Impact of Transfers</t>
  </si>
  <si>
    <t>Impact of Taxes</t>
  </si>
  <si>
    <t>After-Tax Income</t>
  </si>
  <si>
    <t>Impact of Taxes and Transfers</t>
  </si>
  <si>
    <t>Absolute Change</t>
  </si>
  <si>
    <t>In order to take into account the economies of scale present in larger households, the different types of income are adjusted by dividing the household income by the square root of the household size.</t>
  </si>
  <si>
    <t>Nominal GDP at Market Prices</t>
  </si>
  <si>
    <t>Personal Income</t>
  </si>
  <si>
    <t>Personal Disposable Income</t>
  </si>
  <si>
    <t>New Brunswick CPI, 2012=100</t>
  </si>
  <si>
    <t>Real Personal Income</t>
  </si>
  <si>
    <t xml:space="preserve">Real Personal Disposable Income </t>
  </si>
  <si>
    <t>CAGR: 1981-2019</t>
  </si>
  <si>
    <t>CAGR: 2000-2008</t>
  </si>
  <si>
    <t>CAGR: 2008-2019</t>
  </si>
  <si>
    <t>Table A12a: Growth in New Brunswick's and Canada's Real GDP and Personal Income</t>
  </si>
  <si>
    <t>1981-2019</t>
  </si>
  <si>
    <t>1981-2000</t>
  </si>
  <si>
    <t>2008-2019</t>
  </si>
  <si>
    <t>PP Change: 1981-2019</t>
  </si>
  <si>
    <t>PP Change: 1981-2000</t>
  </si>
  <si>
    <t>CAGR: 1981-1989</t>
  </si>
  <si>
    <t>CAGR: 1989-2000</t>
  </si>
  <si>
    <t>PP Change: 1981-1989</t>
  </si>
  <si>
    <t>PP Change: 1989-2000</t>
  </si>
  <si>
    <t>PP Change: 2008-2019</t>
  </si>
  <si>
    <t>2002=100</t>
  </si>
  <si>
    <t>All-items</t>
  </si>
  <si>
    <t>Shelter</t>
  </si>
  <si>
    <t>Rent</t>
  </si>
  <si>
    <t>Shelter includes rented accomodation; owned accomodation; and water, fuel and electricity.</t>
  </si>
  <si>
    <t>Rented accomodation includes rent; tenants' insurance premiums; and tenants' maintenance, repairs and other expenses.</t>
  </si>
  <si>
    <t>Chained (2012) dollars per hour</t>
  </si>
  <si>
    <t>CAGR: 1997-2019</t>
  </si>
  <si>
    <t>CAGR: 1997-2000</t>
  </si>
  <si>
    <t>Index, 201612=100</t>
  </si>
  <si>
    <t>Average of Total (House and Land)</t>
  </si>
  <si>
    <t>CAGR: 1986-2019</t>
  </si>
  <si>
    <t>% Change: 1986-2019</t>
  </si>
  <si>
    <t>CAGR: 1986-2000</t>
  </si>
  <si>
    <t>% Change: 1986-2000</t>
  </si>
  <si>
    <t>% Change: 2000-2019</t>
  </si>
  <si>
    <t>Index (2000=100)</t>
  </si>
  <si>
    <t>Average After-Tax Income (2019 constant dollars)</t>
  </si>
  <si>
    <t xml:space="preserve">Median After-Tax Income (2019 constant dollars) </t>
  </si>
  <si>
    <t>CPI (2002=100)</t>
  </si>
  <si>
    <t xml:space="preserve">Nominal Average After-Tax Income </t>
  </si>
  <si>
    <t xml:space="preserve">Nominal Median After-Tax Income </t>
  </si>
  <si>
    <t xml:space="preserve">Average After-Tax Income </t>
  </si>
  <si>
    <t xml:space="preserve">Median After-Tax Income </t>
  </si>
  <si>
    <t>I</t>
  </si>
  <si>
    <t>K</t>
  </si>
  <si>
    <t>L</t>
  </si>
  <si>
    <t>M</t>
  </si>
  <si>
    <t>N</t>
  </si>
  <si>
    <t>[A] and [B]: Table: 11-10-0190-01 at https://doi.org/10.25318/1110019001-eng</t>
  </si>
  <si>
    <t>[G]: Table: 18-10-0205-01 at https://doi.org/10.25318/1810020501-eng</t>
  </si>
  <si>
    <t>Total Number of Jobs</t>
  </si>
  <si>
    <t>Hours Worked for all Jobs (thousands of hours)</t>
  </si>
  <si>
    <t>Average Hours Worked per Year in all Jobs</t>
  </si>
  <si>
    <t>Total Compensation for all Jobs (thousands of current dollars)</t>
  </si>
  <si>
    <t>Comsumer Price Index (2012 = 100)</t>
  </si>
  <si>
    <t>Total Compensation for all Jobs (thouands of 2012 dollars, deflated with CPI)</t>
  </si>
  <si>
    <t>Average per Hour Compensation for all Jobs (2012 dollars deflated with CPI)</t>
  </si>
  <si>
    <t>GDP (millions of current dollars)</t>
  </si>
  <si>
    <t>GDP (millions of chained 2012 dollars)</t>
  </si>
  <si>
    <t>GDP per Hour Worked (chained 2012 dollars per hour)</t>
  </si>
  <si>
    <t>Total Compensation as a Share of GDP (per cent)</t>
  </si>
  <si>
    <t>J</t>
  </si>
  <si>
    <t>PP Change: 1997-2019</t>
  </si>
  <si>
    <t>Total Number of Jobs (New Brunswick as a share of Canadian total)</t>
  </si>
  <si>
    <t>Hours Worked for all Jobs (New Brunswick as a share of Canadian total)</t>
  </si>
  <si>
    <t>Average Hours Worked per Year in all Jobs (New Brunswick average as a proportion of Canadian average)</t>
  </si>
  <si>
    <t>Total Compensation for all Jobs (New Brunswick as a share of Canadian total)</t>
  </si>
  <si>
    <t>Total Real Compensation for all Jobs (New Brunswick as a share of Canadian total)</t>
  </si>
  <si>
    <t>Average per Hour Compensation for all Jobs (ratio of New Brunswick to Canadian average)</t>
  </si>
  <si>
    <t>GDP per Hour Worked (ratio of New Brunswick to Canadian GDP per hour)</t>
  </si>
  <si>
    <t>PP Change: 1997-2000</t>
  </si>
  <si>
    <t>Millions of current dollars</t>
  </si>
  <si>
    <t>Compensation of Employees</t>
  </si>
  <si>
    <t>Wages and Salaries</t>
  </si>
  <si>
    <t>Employers' Social Contributions</t>
  </si>
  <si>
    <t>Gross Operating Surplus</t>
  </si>
  <si>
    <t>Net Operating Surplus: Corporations</t>
  </si>
  <si>
    <t>Consumption of Fixed Capital: Corporations</t>
  </si>
  <si>
    <t>Consumption of Fixed Capital: General Governments and Non-Profit Institutions Serving Households</t>
  </si>
  <si>
    <t>Gross Mixed Income</t>
  </si>
  <si>
    <t>Net Mixed Income</t>
  </si>
  <si>
    <t>Consumption of Fixed Capital: Unincorporated Businesses</t>
  </si>
  <si>
    <t>Taxes Less Subsidies on Production</t>
  </si>
  <si>
    <t>Taxes Less Subsidies on Products and Imports</t>
  </si>
  <si>
    <t>Statistical Discrepancy</t>
  </si>
  <si>
    <t>GDP at Market Prices</t>
  </si>
  <si>
    <t>Compensation of employees is comprised of wages and salaries and of employers' social contributions</t>
  </si>
  <si>
    <t>Table A19a: Components of GDP</t>
  </si>
  <si>
    <t>Value</t>
  </si>
  <si>
    <t>Share of GDP</t>
  </si>
  <si>
    <t>Population</t>
  </si>
  <si>
    <t>Total Compensation all Jobs (millions of current dollars)</t>
  </si>
  <si>
    <t>Hours Worked Total Jobs (millions of hours)</t>
  </si>
  <si>
    <t>Labour Productivity (total nominal compensation per hour)</t>
  </si>
  <si>
    <t>Average Hourly Earnings for Employees Paid by the Hour, Indlucing Overtime (current dollars)</t>
  </si>
  <si>
    <t>Average Hourly Earnings for Salaried Employees, Indlucing Overtime (current dollars)</t>
  </si>
  <si>
    <t>Average Hourly Wage (current dollars)</t>
  </si>
  <si>
    <t>Median Hourly Wage (current dollars)</t>
  </si>
  <si>
    <t>Major Wage Settlements (growth rate)</t>
  </si>
  <si>
    <t>CAGR: 2000-2019*</t>
  </si>
  <si>
    <t>*[F] and [G]: 2001-2019</t>
  </si>
  <si>
    <t>Sources: Statistics Canada.</t>
  </si>
  <si>
    <t>[D]: Table: 14-10-0206-01 (formerly CANSIM 281-0030) at https://doi.org/10.25318/1410020601-eng</t>
  </si>
  <si>
    <t>[E]: Table: 14-10-0210-01 (formerly CANSIM 281-0036) at https://doi.org/10.25318/1410021001-eng</t>
  </si>
  <si>
    <t>[F] and [G]: Table: 14-10-0340-01 at https://doi.org/10.25318/1410034001-eng</t>
  </si>
  <si>
    <t>[H]: Table: 14-10-0348-01 (formerly CANSIM 278-0011) at https://doi.org/10.25318/1410034801-eng</t>
  </si>
  <si>
    <t>Total Compensation all Jobs (New Brunswick as a share of Canadian total)</t>
  </si>
  <si>
    <t>Hours Worked Total Jobs (New Brunswick as a share of Canadian total)</t>
  </si>
  <si>
    <t>Labour Productivity (ratio of New Brunswick to Canadian productivity )</t>
  </si>
  <si>
    <t>Average Hourly Earnings for Employees Paid by the Hour, Indlucing Overtime (ratio of New Brunswick to Canadian average)</t>
  </si>
  <si>
    <t>Average Hourly Earnings for Salaried Employees, Indlucing Overtime (ratio of New Brunswick to Canadian average)</t>
  </si>
  <si>
    <t>Average Hourly Wage (ratio of New Brunswick to Canadian average)</t>
  </si>
  <si>
    <t>Median Hourly Wage (ratio of New Brunswick to Canadian median)</t>
  </si>
  <si>
    <t>PP Change: 2000-2019*</t>
  </si>
  <si>
    <t>*[D] and [E]: 2001-2019</t>
  </si>
  <si>
    <t xml:space="preserve">Employers' Social Contributions (millions of current dollars) </t>
  </si>
  <si>
    <t>Employer Contributions to Workers' Compensation (millions of current dollars)</t>
  </si>
  <si>
    <t>Employer Contributions to Workers' Compensation as Share of Employers' Social Contributions (per cent)</t>
  </si>
  <si>
    <t>Employer Contributions to Employment Insurance (millions of current dollars)</t>
  </si>
  <si>
    <t>Employer Contributions to Employment Insurance  as Share of Employers' Social Contributions (per cent)</t>
  </si>
  <si>
    <t>C = B/A*100</t>
  </si>
  <si>
    <t>M = L/A*100</t>
  </si>
  <si>
    <t>1981-2008</t>
  </si>
  <si>
    <t>Employers' social contributions</t>
  </si>
  <si>
    <t xml:space="preserve">Employer contributions to workers' compensation </t>
  </si>
  <si>
    <t>Employer contributions to Employment Insurance</t>
  </si>
  <si>
    <t>PP Change: 1981-2008</t>
  </si>
  <si>
    <t>Nominal GDP per capita</t>
  </si>
  <si>
    <t>Real GDP per capita (chained 2012 dollars)</t>
  </si>
  <si>
    <t>Labour Force</t>
  </si>
  <si>
    <t>Number of Employed</t>
  </si>
  <si>
    <t>Employment Rate</t>
  </si>
  <si>
    <t>Number of Jobs</t>
  </si>
  <si>
    <t>Ratio of Jobs to Population</t>
  </si>
  <si>
    <t>Median earnings (2011 constant dollars)</t>
  </si>
  <si>
    <t>Average  earnings (2011 constant dollars)</t>
  </si>
  <si>
    <t>D = A/C</t>
  </si>
  <si>
    <t>E= B/C</t>
  </si>
  <si>
    <t>G=F*H</t>
  </si>
  <si>
    <t>CAGR: 1961-1981</t>
  </si>
  <si>
    <t>[A] and [B]: Table: 36-10-0222-01 (formerly CANSIM 384-0038)</t>
  </si>
  <si>
    <t>[C]: July 1 estimates from Table: 17-10-0009-01 (formerly CANSIM 051-0005)</t>
  </si>
  <si>
    <t>[F] and [H]: Table: 14-10-0327-01</t>
  </si>
  <si>
    <t>[I]: Table: 36-10-0480-01 (formerly CANSIM 383-0033)</t>
  </si>
  <si>
    <t>[K]: From 1976 to 2011, Table: 11-10-0159-01 (formerly CANSIM 202-0407). 2012-2019 obtained by applying the CAGR of median hourly earnings from Table: 14-10-0340-01. The two series overlap for the period of 1997 to 2011, and over that time Table: 11-10-0159-01 grew at a CAGR of 1.48 per cent per year while Table: 14-10-0340-01. grew at a rate of 1.04 per cent per year.</t>
  </si>
  <si>
    <t>[L]: From 1976 to 2011, Table: 11-10-0159-01 (formerly CANSIM 202-0407). 2012-2019 obtained by applying the CAGR of average hourly earnings from Table: 14-10-0340-01. The two series overlap for the period of 1997 to 2011, and over that time Table: 11-10-0159-01 grew at a CAGR of 1.61 per cent per year while Table: 14-10-0340-01. grew at a rate of 1.32 per cent per year.</t>
  </si>
  <si>
    <t>Nominal GDP (New Brunswick as a share of Canadian total)</t>
  </si>
  <si>
    <t>Real GDP (New Brunswick as a share of Canadian total)</t>
  </si>
  <si>
    <t>Population (New Brunswick as a share of Canadian total)</t>
  </si>
  <si>
    <t>Nominal GDP per capita (ratio of New Brunswick  to Canadian GDP per capita)</t>
  </si>
  <si>
    <t>Real GDP per capita (ratio of New Brunswick  to Canadian real GDP per capita)</t>
  </si>
  <si>
    <t>Labour Force (New Brunswick as a share of Canadian total)</t>
  </si>
  <si>
    <t>Number of Employed (New Brunswick as a share of Canadian total)</t>
  </si>
  <si>
    <t>Employment Rate (ratio of New Brunswick  to Canadian employment rate)</t>
  </si>
  <si>
    <t>Number of Jobs (New Brunswick as a share of Canadian total)</t>
  </si>
  <si>
    <t>Median Earnings (New Brunswick median as a proportion of Canadian median)</t>
  </si>
  <si>
    <t>Average Earnings (New Brunswick average as a proportion of Canadian average)</t>
  </si>
  <si>
    <t>1961-1981</t>
  </si>
  <si>
    <t>[J]: From 1976 to 2011, Table: 11-10-0159-01 (formerly CANSIM 202-0407). 2012-2019 obtained by applying the CAGR of median hourly earnings from Table: 14-10-0340-01. The two series overlap for the period of 1997 to 2011, and over that time Table: 11-10-0159-01 grew at a CAGR of 1.48 per cent per year while Table: 14-10-0340-01. grew at a rate of 1.04 per cent per year.</t>
  </si>
  <si>
    <t>[K]: From 1976 to 2011, Table: 11-10-0159-01 (formerly CANSIM 202-0407). 2012-2019 obtained by applying the CAGR of average hourly earnings from Table: 14-10-0340-01. The two series overlap for the period of 1997 to 2011, and over that time Table: 11-10-0159-01 grew at a CAGR of 1.61 per cent per year while Table: 14-10-0340-01. grew at a rate of 1.32 per cent per year.</t>
  </si>
  <si>
    <t>All Ages</t>
  </si>
  <si>
    <t>18 - 64</t>
  </si>
  <si>
    <t>&lt; 18</t>
  </si>
  <si>
    <t>65 +</t>
  </si>
  <si>
    <t>Per cent of persons in low income</t>
  </si>
  <si>
    <t>LIM</t>
  </si>
  <si>
    <t>LICO</t>
  </si>
  <si>
    <t>MBM, 2008 Base</t>
  </si>
  <si>
    <t>MBM, 2018 Base</t>
  </si>
  <si>
    <t>% Change: 1976-2019</t>
  </si>
  <si>
    <t>% Change: 1976-2000</t>
  </si>
  <si>
    <t>% Change: 2015-2019</t>
  </si>
  <si>
    <t>% Change: 2006-2019</t>
  </si>
  <si>
    <t>PP Change: 2015-2019</t>
  </si>
  <si>
    <t>PP Change: 2006-2019</t>
  </si>
  <si>
    <t>Notes</t>
  </si>
  <si>
    <t>Low income measures (LIMs), are relative measures of low income, set at 50% of adjusted median household income. These measures are categorized according to the number of persons present in the household, reflecting the economies of scale inherent in household size.</t>
  </si>
  <si>
    <t>The low income cut-offs after tax (LICO-AT) are income thresholds below which a family will likely devote a larger share of its after-tax income on the necessities of food, shelter and clothing than the average family.</t>
  </si>
  <si>
    <t>The Market Basket Measure (MBM) is based on the cost of a specific basket of goods and services representing a modest, basic standard of living. It includes the costs of food, clothing, shelter, transportation and other items for a reference family. These costs are compared to the disposable income of families to determine whether or not they fall below the poverty line.</t>
  </si>
  <si>
    <t>Changes were made to the Market Basket Measure series. For more information, consult the document Report on the second comprehensive review of the Market Basket Measure at https://www150.statcan.gc.ca/n1/pub/75f0002m/75f0002m2020002-eng.htm</t>
  </si>
  <si>
    <t>Source: Statistics Canada. Table 11-10-0135-01 Low income statistics by age, sex and economic family type</t>
  </si>
  <si>
    <t>The Canadian total excludes the territories.</t>
  </si>
  <si>
    <t>Panel A: Per Cent of Persons in Low Income</t>
  </si>
  <si>
    <t>2018 Base</t>
  </si>
  <si>
    <t>2008 Base</t>
  </si>
  <si>
    <t>Panel B: Absolute Number of Persons Below MBM Threshold</t>
  </si>
  <si>
    <t>Persons in Economic Families</t>
  </si>
  <si>
    <t>Change</t>
  </si>
  <si>
    <t>Panel A: Total Number of Persons in Low-Income (Thousands)</t>
  </si>
  <si>
    <t>Non-Elderly Persons Not in an Economic Family</t>
  </si>
  <si>
    <t>Non-Elderly Males Not in an Economic Family</t>
  </si>
  <si>
    <t>Non-Elderly Females Not in an Economic Family</t>
  </si>
  <si>
    <t>Panel B: Average Poverty Gap Ratio</t>
  </si>
  <si>
    <t>Note: The gap ratio is the difference between the low income threshold and the family (or household) income, expressed as a percentage of the low income threshold. For those with negative income, the gap ratio is set to 100. As a measure of depth of low income, the statistic takes the form of the average of the gap ratio calculated over the population of individuals below the income line.</t>
  </si>
  <si>
    <t>Panel C: Share of the Population Living in Poverty</t>
  </si>
  <si>
    <t>Panel D: Share of the Poverty Gap</t>
  </si>
  <si>
    <t>2019 dollars</t>
  </si>
  <si>
    <t>Income Component</t>
  </si>
  <si>
    <t>Single Person Considered Employable</t>
  </si>
  <si>
    <t>Single Person with a Disability</t>
  </si>
  <si>
    <t>Single Parent, One Child</t>
  </si>
  <si>
    <t>Couple, Two Children</t>
  </si>
  <si>
    <t>Basic social assistance</t>
  </si>
  <si>
    <t>Additional SA benefits</t>
  </si>
  <si>
    <t/>
  </si>
  <si>
    <t>Federal child benefits</t>
  </si>
  <si>
    <t>Provincial child benefits</t>
  </si>
  <si>
    <t>GST credit</t>
  </si>
  <si>
    <t>Provincial tax credits/benefits</t>
  </si>
  <si>
    <t>Total 2019 income</t>
  </si>
  <si>
    <r>
      <t xml:space="preserve">Source: Laidley and Aldridge. (2020). </t>
    </r>
    <r>
      <rPr>
        <i/>
        <sz val="11"/>
        <color theme="1"/>
        <rFont val="Times Roman"/>
      </rPr>
      <t>Welfare in Canada, 2019</t>
    </r>
    <r>
      <rPr>
        <sz val="11"/>
        <color theme="1"/>
        <rFont val="Times Roman"/>
      </rPr>
      <t>. Maytree. https://maytree.com/wp-content/uploads/Welfare_in_Canada_2019.pdf</t>
    </r>
  </si>
  <si>
    <t>Income component</t>
  </si>
  <si>
    <t>Provincial and territorial tax credits/benefits</t>
  </si>
  <si>
    <r>
      <t xml:space="preserve">Source: Laidley and Aldridge (2020). </t>
    </r>
    <r>
      <rPr>
        <i/>
        <sz val="11"/>
        <color theme="1"/>
        <rFont val="Times Roman"/>
      </rPr>
      <t>Welfare in Canada, 2019</t>
    </r>
    <r>
      <rPr>
        <sz val="11"/>
        <color theme="1"/>
        <rFont val="Times Roman"/>
      </rPr>
      <t>. Maytree. https://maytree.com/wp-content/uploads/Welfare_in_Canada_2019.pdf</t>
    </r>
  </si>
  <si>
    <t>CAGR: 1986-2019*</t>
  </si>
  <si>
    <t>CAGR: 1986-2000**</t>
  </si>
  <si>
    <t>*Single Person with a Disability, CAGR: 1989-2019</t>
  </si>
  <si>
    <t>**Single Person with a Disability, CAGR: 1989-2000</t>
  </si>
  <si>
    <t>PP Change: 1999-2019</t>
  </si>
  <si>
    <t>2019 welfare incomes (2019 dollars) in New Brunswick for four household types compared to the low income thresholds used by Statistics Canada.</t>
  </si>
  <si>
    <t>Adequacy Indicator</t>
  </si>
  <si>
    <t>Total Welfare Income</t>
  </si>
  <si>
    <t>MBM Threshold (Moncton)</t>
  </si>
  <si>
    <t>Welfare Income Minus MBM Threshold</t>
  </si>
  <si>
    <t>Welfare Income as % of MBM</t>
  </si>
  <si>
    <t>LIM Threshold (Canada-Wide)</t>
  </si>
  <si>
    <t>Welfare Income Minus LIM Threshold</t>
  </si>
  <si>
    <t>Welfare Income as % of LIM</t>
  </si>
  <si>
    <t>LICO Threshold (Moncton)</t>
  </si>
  <si>
    <t>Welfare Income Minus LICO Threshold</t>
  </si>
  <si>
    <t>Welfare Income as % of LICO</t>
  </si>
  <si>
    <t>Transitional Assistance</t>
  </si>
  <si>
    <t>Extended Benefits</t>
  </si>
  <si>
    <t>Interim Assistance</t>
  </si>
  <si>
    <t>Cases</t>
  </si>
  <si>
    <t>Beneficiaries</t>
  </si>
  <si>
    <t>Note: Data are the averages over the fiscal year (April to March)</t>
  </si>
  <si>
    <t>Source: Maytree Social Assistance Summaries 2019, https://maytree.com/wp-content/uploads/Social_Assistance_Summaries_All_Canada.pdf</t>
  </si>
  <si>
    <t>Table A38a: Dependency Rate and Case to Beneficiary Ratio</t>
  </si>
  <si>
    <t>Dependency Rate</t>
  </si>
  <si>
    <t>Beneficiary to Case Ratio</t>
  </si>
  <si>
    <t>Source, population: Statistics Canada. Table: 17-10-0005-01 (formerly CANSIM 051-0001)</t>
  </si>
  <si>
    <t>Table A38b: Beneficiary to Case Ratio in New Brunswick and Canada</t>
  </si>
  <si>
    <t xml:space="preserve">National After-Tax Low Income Measure </t>
  </si>
  <si>
    <t>After-Tax Household Income Measure</t>
  </si>
  <si>
    <t>Persons Who Are Asset Resilient for at Least Three Months</t>
  </si>
  <si>
    <t>Persons Who Are Asset Resilient for at Least Six Months</t>
  </si>
  <si>
    <t>All Ages and Family Types</t>
  </si>
  <si>
    <t>Persons in an Economic Family</t>
  </si>
  <si>
    <t>PP Change: 1999-2005</t>
  </si>
  <si>
    <t>PP Change: 2005-2012</t>
  </si>
  <si>
    <t>PP Change: 2012-2019</t>
  </si>
  <si>
    <t>Asset resilience is defined as having enough savings to maintain well-being for a specified period of time.</t>
  </si>
  <si>
    <t>Low income measures (LIM), are relative measures of low income, set at 50% of adjusted median household income. These measures are categorized according to the number of persons present in the household, reflecting the economies of scale inherent in household size. The LIM are based on after-tax income (AT).</t>
  </si>
  <si>
    <t>After-tax household income excludes income from capital gains.</t>
  </si>
  <si>
    <t>Millions of 2019 constant dollars</t>
  </si>
  <si>
    <t>&lt; 35</t>
  </si>
  <si>
    <t>35 - 44</t>
  </si>
  <si>
    <t>45 - 54</t>
  </si>
  <si>
    <t>55 - 64</t>
  </si>
  <si>
    <t>CAGR: 1999-2019*</t>
  </si>
  <si>
    <t>CAGR: 1999-2005</t>
  </si>
  <si>
    <t>CAGR: 2005-2012</t>
  </si>
  <si>
    <t>CAGR: 2012-2019</t>
  </si>
  <si>
    <t>*55 to 64 Years, Persons Not in an Economic Family, CAGR: 1999-2012</t>
  </si>
  <si>
    <t>Net worth is calculated using all values including net worth equal to $0.</t>
  </si>
  <si>
    <t>Source: Statistics Canada. Table 11-10-0016-01 Assets and debts held by economic family type, by age group, Canada, provinces and selected census metropolitan areas, Survey of Financial Security (x 1,000,000)</t>
  </si>
  <si>
    <t>PP Change: 1999-2019*</t>
  </si>
  <si>
    <t>*55-64, Persons Not in an Economic Family, PP Change: 1999-2012</t>
  </si>
  <si>
    <t>Under 35 Years</t>
  </si>
  <si>
    <t>35 to 44 Years</t>
  </si>
  <si>
    <t>45 to 54 Years</t>
  </si>
  <si>
    <t>55 to 64 Years</t>
  </si>
  <si>
    <t>65 Years and Older</t>
  </si>
  <si>
    <t>Total Assets</t>
  </si>
  <si>
    <t>Private Pension Assets</t>
  </si>
  <si>
    <t>Financial Assets, Non Pension</t>
  </si>
  <si>
    <t>Non-Financial Assets</t>
  </si>
  <si>
    <t>Equity in Business</t>
  </si>
  <si>
    <t>CAGR: 1999-2019</t>
  </si>
  <si>
    <t>Value of assets is calculated using values not equal to $0.</t>
  </si>
  <si>
    <t>Financial assets, non pension, includes deposits in financial institutions; mutual funds, investment funds and income trusts; stocks; bonds (saving and other); TFSAs; and other financial assets.</t>
  </si>
  <si>
    <t>Total Debt</t>
  </si>
  <si>
    <t>Mortgage Debt</t>
  </si>
  <si>
    <t>Non-Mortgage Debt</t>
  </si>
  <si>
    <t>* Mortgage Debt, Persons Not in an Economic Family, CAGR: 1999-2012</t>
  </si>
  <si>
    <t>Mortgage debt includes both mortgage on principal residence and mortgage on other real estate.</t>
  </si>
  <si>
    <t>Non-mortgage debt includes line of credit, credit card and installment debt, student loans, vehicle loans and other debt.</t>
  </si>
  <si>
    <t>Debt is calculated using values not equal to $0.</t>
  </si>
  <si>
    <t>* Mortgage Debt, Persons Not in an Economic Family, PP Change: 1999-2012</t>
  </si>
  <si>
    <t>Total, All Quintiles</t>
  </si>
  <si>
    <t>Lowest Quintile</t>
  </si>
  <si>
    <t>Highest Quintile</t>
  </si>
  <si>
    <t>Net worth values are calculated using all values including net worth equal to $0.</t>
  </si>
  <si>
    <t>Source: Statistics Canada. Table 11-10-0049-01 Assets and debts by net worth quintile, Canada, provinces and selected census metropolitan areas, Survey of Financial Security (x 1,000,000)</t>
  </si>
  <si>
    <t>N.B.,</t>
  </si>
  <si>
    <t>CA,</t>
  </si>
  <si>
    <t>Growth of Average Net Worth, All Economic Units</t>
  </si>
  <si>
    <t>1999-2019</t>
  </si>
  <si>
    <t>1999-2005</t>
  </si>
  <si>
    <t>2005-2012</t>
  </si>
  <si>
    <t>2012-2019</t>
  </si>
  <si>
    <t>Growth in Median Net Worth, All Economic Units</t>
  </si>
  <si>
    <t>1981-1989</t>
  </si>
  <si>
    <t>1989-2000</t>
  </si>
  <si>
    <t>[A] and [B]: Statistics Canada, Table: 36-10-0222-01</t>
  </si>
  <si>
    <t xml:space="preserve">[C]: Statistics Canada, Table 36-10-0226-01 </t>
  </si>
  <si>
    <t>[D]: Statistics Canada, Table 36-10-0224-01</t>
  </si>
  <si>
    <t>[E]: Statistics Canada, Table 18-10-0005-01. Reindexed from 2002 to 2012.</t>
  </si>
  <si>
    <t>F=(C/E)*100</t>
  </si>
  <si>
    <t>G=(D/E)*100</t>
  </si>
  <si>
    <t>Nominal GDP at Market Prices (millions of current dollars)</t>
  </si>
  <si>
    <t>GDP at Market Prices (millions of chained 2012 dollars)</t>
  </si>
  <si>
    <t>GDP Per Capita at Market Prices (chained 2012 dollars)</t>
  </si>
  <si>
    <t>Nominal GDP Per Capita at Market Prices (current dollars)</t>
  </si>
  <si>
    <t>Personal Income Per Capita</t>
  </si>
  <si>
    <t>Personal Disposable Income Per Capita</t>
  </si>
  <si>
    <t>Real Personal Income Per Capita</t>
  </si>
  <si>
    <t>Real Personal Disposable Income  Per Capita</t>
  </si>
  <si>
    <t>Income measures: Table 12</t>
  </si>
  <si>
    <t>Table A13a: Growth in New Brunswick's and Canada's Per Capita Real GDP, Personal Income and Personal Disposable Income</t>
  </si>
  <si>
    <t>Population: Statistics Canada, Table 17-10-0005-01</t>
  </si>
  <si>
    <t>Real GDP at Market Prices</t>
  </si>
  <si>
    <t>[A] and [B]: Statistics Canada, Table 36-10-0222-01</t>
  </si>
  <si>
    <t>[C]: Statistics Canada, Table 36-10-0226-01</t>
  </si>
  <si>
    <t>Real GDP Per Capita at Market Prices (chained 2012 dollars)</t>
  </si>
  <si>
    <t>GDP Per Capita</t>
  </si>
  <si>
    <t>Emplpoyment</t>
  </si>
  <si>
    <t>GDP per Worker</t>
  </si>
  <si>
    <t>Employment as a Share of Total Population</t>
  </si>
  <si>
    <t>Population Under 15</t>
  </si>
  <si>
    <t>Share of Total Population</t>
  </si>
  <si>
    <t>Employment as a Share of Population Under 15</t>
  </si>
  <si>
    <t>Population 15 and Older</t>
  </si>
  <si>
    <t>Employment as a Share of Population 15 and Older</t>
  </si>
  <si>
    <t>Fredericton (CMA)</t>
  </si>
  <si>
    <t>CAGR:1989-2000</t>
  </si>
  <si>
    <t xml:space="preserve">Median </t>
  </si>
  <si>
    <t>Source: Statistics Canada, Table 11-10-0192-01</t>
  </si>
  <si>
    <t>**Persons Not in an Economic Family, PP change: 1977-2000</t>
  </si>
  <si>
    <t>*Persons Not in an Economic Family, PP change 1977-2019</t>
  </si>
  <si>
    <t>*Persons Not in an Economic Family, CAGR: 1977-2019</t>
  </si>
  <si>
    <t>**Persons Not in an Economic Family, lowest decile, CAGR: 1977-2000</t>
  </si>
  <si>
    <t>Panel B: Gini Coefficient of Adjusted Incomes in New Brunswick and Canada, 1976, 2000 and 2019</t>
  </si>
  <si>
    <t>Adjusted Income</t>
  </si>
  <si>
    <t>Panel C: Gini Coefficient of Adjusted Incomes in New Brunswick as Proportions of the Gini Coefficients in Canada, 1976, 2000 and 2019</t>
  </si>
  <si>
    <t>Source: Statistics Canada, Table 11-10-0056-01</t>
  </si>
  <si>
    <t>1982*</t>
  </si>
  <si>
    <t>*Top 0.1 Per Cent Income Group, 1990</t>
  </si>
  <si>
    <t>NB/CAN</t>
  </si>
  <si>
    <t>Panel B: High Income Threshold, 1982, 2000 and 2018</t>
  </si>
  <si>
    <t>Per Cent</t>
  </si>
  <si>
    <t>% Change: 2001-2009</t>
  </si>
  <si>
    <t>% Change: 2001-2019</t>
  </si>
  <si>
    <t>Source: Statistics Canada, Table 11-10-0016-01</t>
  </si>
  <si>
    <t>CAGR: 2012-2016</t>
  </si>
  <si>
    <t>CAGR: 2016-2019</t>
  </si>
  <si>
    <t>Economic families and persons not in an economic family</t>
  </si>
  <si>
    <t>Credit Card and Installment Debt</t>
  </si>
  <si>
    <t>Student Loans</t>
  </si>
  <si>
    <t>Vehicle Loans</t>
  </si>
  <si>
    <t>Other Debt</t>
  </si>
  <si>
    <t>Line of Credit</t>
  </si>
  <si>
    <t>Mortgage on Principal Residence</t>
  </si>
  <si>
    <t>Note: Mortgage debt includes both mortgage on principal residence and mortgage on other real estate. Mortgage on other real estiate was deemed too unreliable to be pubslished by Statistics Canada.</t>
  </si>
  <si>
    <t>Registered Retirement Savings Plans, Registered Retirement Income Funds, Locked-in Retirement Accounts and Other*</t>
  </si>
  <si>
    <t>Employer-Sponsored Registered Pension Plans</t>
  </si>
  <si>
    <t>Deposits in Financial Institutions**</t>
  </si>
  <si>
    <t>Mutual Funds, Investment Funds and Income Trusts</t>
  </si>
  <si>
    <t>Stocks</t>
  </si>
  <si>
    <t>Bonds (Saving and Other)</t>
  </si>
  <si>
    <t>Tax Free Saving Accounts</t>
  </si>
  <si>
    <t>Other Financial Assets***</t>
  </si>
  <si>
    <t>Real Estate</t>
  </si>
  <si>
    <t>Principal Residence</t>
  </si>
  <si>
    <t>Other Real Estate</t>
  </si>
  <si>
    <t>Vehicles and Other Non-Financial Assets</t>
  </si>
  <si>
    <t>Vehicles</t>
  </si>
  <si>
    <t>Other Non-Financial Assets****</t>
  </si>
  <si>
    <t>*Other includes Deferred Profit Sharing Plans (DPSPs), annuities and other miscellaneous pension assets.</t>
  </si>
  <si>
    <t>**In 2012, 2016 and 2019, this category includes Treasury Bills.</t>
  </si>
  <si>
    <t>***Includes Registered Education Savings Plans (RESPs), treasury bills (1999 and 2005 only) mortgage-backed securities, money held in trust, money owed to the respondent and other miscellaneous financial assets, including shares of privately held companies.</t>
  </si>
  <si>
    <t>****The value of the contents of the respondent's principal residence, valuables and collectibles, copyrights and patents, et cetera.</t>
  </si>
  <si>
    <t>Total, Private Pension Assets</t>
  </si>
  <si>
    <t>Total, Financial Assets, Non Pension</t>
  </si>
  <si>
    <t>Total, Non-Financial Assets</t>
  </si>
  <si>
    <t>Share of Total Wealth Held by Each Quintile</t>
  </si>
  <si>
    <t>Panel B: Share of Net Worth by After-Tax Income Quintile</t>
  </si>
  <si>
    <t>Source: Statistics Canada, Table 11-10-0057-01</t>
  </si>
  <si>
    <t>CAGR: 1999-2016</t>
  </si>
  <si>
    <t>CAGR: 1999-2012</t>
  </si>
  <si>
    <t>2000=100</t>
  </si>
  <si>
    <t>CAGR: 2005-2016</t>
  </si>
  <si>
    <t>2016-2019</t>
  </si>
  <si>
    <t>MLS Average Residential Prices</t>
  </si>
  <si>
    <t>[J]: CREA special request</t>
  </si>
  <si>
    <t>[C], [H] and [I]: Table: 18-10-0005-01 at https://doi.org/10.25318/1810000501-eng</t>
  </si>
  <si>
    <t>Median Total Income (Current Dollars)</t>
  </si>
  <si>
    <t>Ratio</t>
  </si>
  <si>
    <t>[A]: Statistics Canada, Table 11-10-0009-01</t>
  </si>
  <si>
    <t>[B] CREA special request</t>
  </si>
  <si>
    <t>Share Persons Under 15 in the Total Population</t>
  </si>
  <si>
    <t>Share Persons 15 and Older in the Total Population</t>
  </si>
  <si>
    <t>Employment as a Share of the Total Population</t>
  </si>
  <si>
    <r>
      <t xml:space="preserve">Source: Statistics Canada. GDP: Table 36-10-0222-01; Population: Table 17-10-0005-01; Employment: </t>
    </r>
    <r>
      <rPr>
        <sz val="11"/>
        <color theme="1"/>
        <rFont val="Times New Roman"/>
        <family val="1"/>
      </rPr>
      <t>Table 14-10-0287-03</t>
    </r>
  </si>
  <si>
    <t>Share of Persons Under 15 in the Total Population</t>
  </si>
  <si>
    <t>Share of Persons 15 and Older in the Total Population</t>
  </si>
  <si>
    <t>Source: Statistics Canada, Table 11-10-0190-01</t>
  </si>
  <si>
    <t>2005 Census Data: Statistics Canada, 2006 Census of Population, Statistics Canada Catalogue no. 97-554-XCB2006039</t>
  </si>
  <si>
    <t>2015 Census Data: Statistics Canada, 2016 Census of Population, Statistics Canada Catalogue no. 98-400-X2016228</t>
  </si>
  <si>
    <t>Table 3: Compound Annual Growth Rate of Average and Median Income, Government Transfers, and Tax, New Brunswick, 1976-2019</t>
  </si>
  <si>
    <t>Table 5: Number of Persons and Families by Economic Unit, New Brunswick, 1976-2019</t>
  </si>
  <si>
    <t>Table 5A: Number of Persons and Families in new Brunswick as a Share of the Number of Persons and Families in Canada, by Economic Unit, 1976-2019</t>
  </si>
  <si>
    <t>Table 5B: Average Number of Persons in an Economic Family, New Brunswick, 1976-2019</t>
  </si>
  <si>
    <t>Table 5C: Average Number of Persons in an Economic Family in New Brunswick as a Proportion of the Average Number of Persons in an Economic Family in Canada, 1976-2019</t>
  </si>
  <si>
    <t xml:space="preserve">Table 6: After-Tax Income by Economic Family Type, New Brunswick, 1976-2019 </t>
  </si>
  <si>
    <t>Table 6A: New Brunswick After-Tax Income as a Proportion of Canadian After-Tax Income, by Economic Family Type, 1976-2019</t>
  </si>
  <si>
    <t>Table 7: Average Market Income, Government Transfers, and Tax by Economic Family Type, New Brunswick, 1976-2019</t>
  </si>
  <si>
    <t xml:space="preserve">Source: Statistics Canada, Table 11-10-0190-01 </t>
  </si>
  <si>
    <t>Table 7A: New Brunswick Average Market Income, Government Transfers, and Tax as a Proportion of Canadian Averages, by Economic Family Type, 1976-2019</t>
  </si>
  <si>
    <t>Table 8: Median Market Income, Government Transfers, and Tax by Economic Family Type, New Brunswick, 1976-2019</t>
  </si>
  <si>
    <t>Table 8A: New Brunswick Median Market Income, Government Transfers, and Tax as a Proportion of Canadian Medians, by Economic Family Type, 1976-2019</t>
  </si>
  <si>
    <t>Table 9: Decile Distribution of Average After-Tax Income by Economic Family Type, New Brunswick, 1976-2019</t>
  </si>
  <si>
    <t>Table 9A: New Brunswick Average After-Tax Income as a Proportion of Canadian Average After-Tax Income, by Decile Distribution and Economic Family Type, 1976-2019</t>
  </si>
  <si>
    <t>Table 10: Average After-Tax Income Quintile Distribution of Total Population, New Brunswick, 1976-2019</t>
  </si>
  <si>
    <t>Table 10A: New Brunswick Average After-Tax Income as a Proportion of Canadian Average After-Tax Income, by Quintile Distribution, 1976-2019</t>
  </si>
  <si>
    <t>Table 10B: Index Values of Average After-Tax Income Compared to the New Housing Price Index and to the Consumer Price Index, New Brunswick, 2000-2019</t>
  </si>
  <si>
    <t>[A]-[E]: Table A10</t>
  </si>
  <si>
    <t>[F]: Statistics Canada, Table: 18-10-0205-01</t>
  </si>
  <si>
    <t>[G] and [H]: Statistics Canada, Table: 18-10-0005-01</t>
  </si>
  <si>
    <t>Table 11: Average After-Tax Income Quintile Distribution of Economic Families, New Brunswick, 1976-2019</t>
  </si>
  <si>
    <t>Source: Statistics Canada, Table: 11-10-0192-01</t>
  </si>
  <si>
    <t>Table 11A: New Brunswick Average After-Tax Income of Economic Families as a Proportion of Canadian Average After-Tax Income of Economic Families, by Quintile Distribution, 1976-2019</t>
  </si>
  <si>
    <t>Table 12: Average After-Tax Income Quintile Distribution of Persons Not in an Economic Family, New Brunswick, 1977-2019</t>
  </si>
  <si>
    <t>Table 12A: New Brunswick Average After-Tax Income as a Proportion of Canadian Average After-Tax Income, by Quintile Distribution, Persons Not in an Economic Family, 1977-2019</t>
  </si>
  <si>
    <t>Table 13: Share of After-Tax Income by Decile and Quintile, New Brunswick, Total Population, 1976-2019</t>
  </si>
  <si>
    <t>Source: Table 13 and Table 9</t>
  </si>
  <si>
    <t>Table 14: Share of After-Tax Income by Decile and Quintile, New Brunswick, Economic Families, 1976-2019</t>
  </si>
  <si>
    <t>Source: Table 14 and Table 9</t>
  </si>
  <si>
    <t>Table 15: Share of After-Tax Income by Decile and Quintile, New Brunswick, Persons Not in an Economic Family, 1977-2019</t>
  </si>
  <si>
    <t>Source: Table 15 and Table 9</t>
  </si>
  <si>
    <t>Table 16: After-Tax Income of High Income Tax Filers, New Brunswick, 1982-2018 (with Capital Gains)</t>
  </si>
  <si>
    <t>Table 16A: After-Tax Income of New Brunswick High Income Tax Filers As a Proportion of After-Tax Income of Canadian High Income Tax Filers, 1982-2018 (with Capital Gains)</t>
  </si>
  <si>
    <t>Table 17: Share of After-Tax Income of High Income Tax Filers, New Brunswick, 1982-2018 (with Capital Gains)</t>
  </si>
  <si>
    <t>Table 18: Gini Coefficient of Adjusted Incomes, New Brunswick, 1976-2019</t>
  </si>
  <si>
    <t>Source: Statistics Canada, Table 11-10-0134-01</t>
  </si>
  <si>
    <t>Table 18A: New Brunswick Gini Coefficient of Adjusted Incomes as a Proportion of Canadian Gini Coefficient of Adjusted Incomes, 1976-2019</t>
  </si>
  <si>
    <t>Table A19: GDP and Personal Income, New Brunswick, 1981-2019</t>
  </si>
  <si>
    <t>Table 19: GDP and Personal Income, New Brunswick, 1981-2019</t>
  </si>
  <si>
    <t>Table 19A: New Brunswick GDP and Personal Income as a Share of Canadian GDP and Personal Income, 1981-2019</t>
  </si>
  <si>
    <t>Table 20: Per Capita GDP, Personal Income and Personal Disposanle Income, New Brunswick, 1981-2019</t>
  </si>
  <si>
    <t>Table 20A: New Brunswick Per Capita GDP, Personal Income and Personal Disposanle Income as Proportions of the Canadian Averages, 1981-2019</t>
  </si>
  <si>
    <t>Table 21: Decomposition of GDP Per Capita, New Brunswick, 1981-2029</t>
  </si>
  <si>
    <t>Table 21A: Decomposition of GDP Per Capita, New Brunswick Components as Proportions of Canadian Components, 1981-2029</t>
  </si>
  <si>
    <t>Source: Statistics Canada, Table 18-10-0005-01</t>
  </si>
  <si>
    <t>Table 22: Consumer Price Index - Housing Prices, New Brunswick, 1979-2019</t>
  </si>
  <si>
    <t>Table 23: Labour Productivity in Business Sector Industries, New Brunswick, 1997-2019</t>
  </si>
  <si>
    <t>Source: Statistics Canada, Table 36-10-0480-01</t>
  </si>
  <si>
    <t>Table 24: Ratio of MLS Average Residential Prices to Median Census Family Income, New Brunswick, 2000-2019</t>
  </si>
  <si>
    <t>Table 25: New Housing Price Index, New Brunswick, 1981-2019</t>
  </si>
  <si>
    <t>Source: CSLS estimates based on Statistics Canada, Table 18-10-0205-01</t>
  </si>
  <si>
    <t>Table 26: Earnings to Housing Price Trends, New Brunswick, 1976-2019</t>
  </si>
  <si>
    <t>Table 27: Real Wages and Labour Productivity, New Brunswick, Total Economy, 1981-2019</t>
  </si>
  <si>
    <t>[A], [B], [C], and [D]: Statistics Canada, Table: 36-10-0480-01</t>
  </si>
  <si>
    <t>[E]: Statistics Canada, Table: 36-10-0480-01</t>
  </si>
  <si>
    <t>[H] and [I]: Statistics Canada, Table: 36-10-0222-01</t>
  </si>
  <si>
    <t>Table 27A: Real Wages and Labour Productivity, New Brunswick Compared to Canada, 1997-2019</t>
  </si>
  <si>
    <t>Table 28: Components of GDP (Income Based), New Brunswick, Total Economy, 1981-2019</t>
  </si>
  <si>
    <t>Source: Statistics Canada, Table: 36-10-0221-01</t>
  </si>
  <si>
    <t>Table 28A: Components of New Brunswick GDP (Income Based) as a Share of Canadian GDP (Income Based), 1981-2019</t>
  </si>
  <si>
    <t>Table 29: Share of Individual Components of GDP (Income-Based), New Brunswick, Total Economy, 1981-2019</t>
  </si>
  <si>
    <t>Table 30: Alternative Measures of Nominal Labour Compensation, New Brunswick, Total Economy,  1979-2019</t>
  </si>
  <si>
    <t>[A]: Taken from Table 27, column D</t>
  </si>
  <si>
    <t>[B]: Taken from Table 27, column B</t>
  </si>
  <si>
    <t>[D]: Table: 14-10-0206-01</t>
  </si>
  <si>
    <t>[E]: Table: 14-10-0210-01</t>
  </si>
  <si>
    <t>[F] and [G]: Table: 14-10-0340-01</t>
  </si>
  <si>
    <t>Table 30A: Alternative Measures of Nominal Labour Compensation, New Brunswick Compared to Canada, 1997-2019</t>
  </si>
  <si>
    <t>Table 31: Supplementary Labour Income, New Brunswick,  1981-2019</t>
  </si>
  <si>
    <t>[A]: Table: 36-10-0221-01</t>
  </si>
  <si>
    <t>[B] and [E]: Table: 36-10-0316-01</t>
  </si>
  <si>
    <t>Table 31A: New Brunswick Supplementary Labour Income as a Share of Canadian Supplementary Labour Income,  1981-2019</t>
  </si>
  <si>
    <t>[B] and [C]: Table: 36-10-0316-01</t>
  </si>
  <si>
    <t>Table 32: GDP and GDP per Capita Growth, New Brunswick, 1961-2017</t>
  </si>
  <si>
    <t>Table 32A: GDP and GDP per Capita Growth, New Brunswick Compared to Canada, 1961-2017</t>
  </si>
  <si>
    <t>Table 33: LICO, LIM and MBM for New Brunswick, All Persons, 1976-2019</t>
  </si>
  <si>
    <t>Source: Statistics Canada, Table 11-10-0135-01</t>
  </si>
  <si>
    <t>Table 33A: Number of Persons in Low Income in New Brunswick as a Share of Canadian Total, by LIM, LICO and MBM, 1976-2019</t>
  </si>
  <si>
    <t>Table 33B: LICO, LIM and MBM Rates for New Brunswick as Proportions of the Canadian Rates, All Persons, 1976-2019</t>
  </si>
  <si>
    <t>Table 34: MBM for New Brunswick, by Age Group, New Brunswick, 2006-2019</t>
  </si>
  <si>
    <t>Table 34A: Number of Persons Below the MBM Threshold in New Brunswick as a Share of the Number of Persons Below the MBM Threshold in All Canadian Provinces, by Age Group, 2006-2019</t>
  </si>
  <si>
    <t>Table 35: MBM for New Brunswick, by Economic Family Type, 2006-2019</t>
  </si>
  <si>
    <t>Table A35A: Number of Persons Below the MBM Threshold in New Brunswick as a Share of the Number of Persons Below the MBM Threshold in All Canadian Provinces, by Economic Family Type, 2006-2019</t>
  </si>
  <si>
    <t>Table 36: Share of Poverty Gap by Age Group, New Brunswick, 2006-2019 (MBM)</t>
  </si>
  <si>
    <t>Table 36A: Average Poverty Gap Ratio in New Brunswick as a Proportion of the Average Poverty Gap Ratio in All Canadian Provinces, by Age Group, 2006-2019</t>
  </si>
  <si>
    <t>Table 37A: Components of Welfare Income, New Brunswick as a Share of Canadian Total, 2019</t>
  </si>
  <si>
    <t>Table 37: Components of Welfare Income, New Brunswick, 2019</t>
  </si>
  <si>
    <t>Table A38: Welfare Income, New Brunswick, 1986-2019</t>
  </si>
  <si>
    <t>Table 38A: Welfare Income in New Brunswick as a Share of Welfare Income in Canada, 1999-2019</t>
  </si>
  <si>
    <t>Table 39: Adequacy of Welfare Incomes, New Brunswick, 2019</t>
  </si>
  <si>
    <t>Table 40: Social Assistance Cases and Beneficiaries, New Brunswick, 2001-2019</t>
  </si>
  <si>
    <t>Table 40A: New Brunswick Social Assistance Cases and Beneficiaries as a Share of Social Assistance Cases and Beneficiaries in All Canadian Provinces, 2001-2019</t>
  </si>
  <si>
    <t>Source: Statistics Canada, Table 11-10-0083-01</t>
  </si>
  <si>
    <t>Table 41: Percentage of Persons Who Are Asset Resilient, New Brunswick, 1999-2019</t>
  </si>
  <si>
    <t>Table 42: Net Worth by Age Group and by Economic Family Type, New Brunswick, 1999-2019</t>
  </si>
  <si>
    <t>Table 42A: Net Worth, by Age Group and Economic Family Type, New Brunswick as a Share of Total of Canadian Provinces, 1999-2019</t>
  </si>
  <si>
    <t xml:space="preserve">Source: Statistics Canada, Table 11-10-0016-01 </t>
  </si>
  <si>
    <t>Table 43: Average Net Worth by Age Group and by Economic Family Type, New Brunswick, 1999-2019</t>
  </si>
  <si>
    <t>Table 43A: Average Net Worth, by Age Group and by Economic Family Type, New Brunswick as a Proportion of Average of Canadian Provinces, 1999-2019</t>
  </si>
  <si>
    <t>Table 44: Median Net Worth by Age Group and Economic Family Type, New Brunswick, 1999-2019</t>
  </si>
  <si>
    <t>Table 44A: Median Net Worth, by Age Group and by Economic Family Type, New Brunswick as a Proportion of Median of Canadian Provinces, 1999-2019</t>
  </si>
  <si>
    <t>Table 45: Value of Assets, New Brunswick, 1999-2019</t>
  </si>
  <si>
    <t>Table 45A: Value of Assets, New Brunswick as a Share of Total of Canadian Provinces, 1999-2019</t>
  </si>
  <si>
    <t>Table 46: Share of Individual Components of Assets in Total Assets, New Brunswick, 1999-2019</t>
  </si>
  <si>
    <t>Table A47: Value of Debt, New Brunswick, 1999-2019</t>
  </si>
  <si>
    <t>Table 47A: Value of Debt, New Brunswick as a Share of Total of Canadian Provinces, 1999-2019</t>
  </si>
  <si>
    <t>Table 48: Share of Individual Components of Debt in Total Debt, New Brunswick, 1999-2019</t>
  </si>
  <si>
    <t>Table 49: Average Value of Assets, New Brunswick, 1999-2019</t>
  </si>
  <si>
    <t>Table 49A: Average Value of Assets, New Brunswick as a Proportion of the Average of Canadian Provinces, 1999-2019</t>
  </si>
  <si>
    <t>Table 50: Median Value of Assets, New Brunswick, 1999-2019</t>
  </si>
  <si>
    <t>Table 50A: Median Value of Assets, New Brunswick as a Proportion of the Median of Canadian Provinces, 1999-2019</t>
  </si>
  <si>
    <t>Table 51: Median Value of Assets, New Brunswick</t>
  </si>
  <si>
    <t>Table 52: Average Value of Debt, New Brunswick, 1999-2019</t>
  </si>
  <si>
    <t>Table 52A: Average Value of Debt, New Brunswick as a Proportion of the Average of Canadian Provinces, 1999-2019</t>
  </si>
  <si>
    <t>Table 53: Median Value of Debt, New Brunswick, 1999-2019</t>
  </si>
  <si>
    <t>Table 53A: Median Value of Debt, New Brunswick as a Proportion of the Median of Canadian Provinces, 1999-2019</t>
  </si>
  <si>
    <t>Table 54: Net Worth by Net Worth Quintile, New Brunswick, 1999-2019</t>
  </si>
  <si>
    <t>Table 54A: New Brunswick Net Worth by Net Worth Quintile as a Propotion of Net Worth in All Canadian Provinces by Net Worth Quintile, 1999-2019</t>
  </si>
  <si>
    <t>Table 55: Average Net Worth by Net Worth Quintile, New Brunswick, 1999-2019</t>
  </si>
  <si>
    <t xml:space="preserve">Source: Statistics Canada, Table 11-10-0049-01 </t>
  </si>
  <si>
    <t>Table 55A: New Brunswick Average Net Worth by Net Worth Quintile as a Propotion of Average Net Worth in All Canadian Provinces by Net Worth Quintile, 1999-2019</t>
  </si>
  <si>
    <t>Source: Statistics Canada, Table 11-10-0049-01</t>
  </si>
  <si>
    <t>Table 56: Median Net Worth by Net Worth Quintile, New Brunswick, 1999-2019</t>
  </si>
  <si>
    <t>Table 56A: New Brunswick Median Net Worth by Net Worth Quintile as a Propotion of Median Net Worth in All Canadian Provinces by Net Worth Quintile, 1999-2019</t>
  </si>
  <si>
    <t>Table 57: Net Worth by After-Tax Income Quintile, New Brunswick, 1999-2019</t>
  </si>
  <si>
    <t>Table 57A: New Brunswick Net Worth by After-Tax Income Quintile as a Proportion of Net Worth in All Canadian Provinces by After-Tax Income Quintile, 1999-2019</t>
  </si>
  <si>
    <t xml:space="preserve">Source: Statistics Canada, Table 11-10-0057-01 </t>
  </si>
  <si>
    <t>Table 58: Average Net Worth by After-Tax Income Quintile, New Brunswick, 1999-2019</t>
  </si>
  <si>
    <t>Table 58A: New Brunswick Average Net Worth by After-Tax Income Quintile as a Proportion of Average Net Worth in All Canadian Provinces by After-Tax Income Quintile, 1999-2019</t>
  </si>
  <si>
    <t>Table 59: Median Net Worth by After-Tax Income Quintile, New Brunswick, 1999-2019</t>
  </si>
  <si>
    <t>Source: Statistics Canada, Table 11-10-0057-01 Assets and debts by after-tax income quintile, Canada, provinces and selected census metropolitan areas, Survey of Financial Security (x 1,000,000)</t>
  </si>
  <si>
    <t>Table 59A: New Brunswick Median Net Worth by After-Tax Income Quintile as a Proportion of Median Net Worth in All Canadian Provinces by After-Tax Income Quintile, 1999-2019</t>
  </si>
  <si>
    <t>Income</t>
  </si>
  <si>
    <t>Poverty</t>
  </si>
  <si>
    <t>Wealth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</si>
</sst>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9">
    <font>
      <sz val="12"/>
      <color theme="1"/>
      <name val="Calibri"/>
      <family val="2"/>
      <scheme val="minor"/>
    </font>
    <font>
      <sz val="12"/>
      <color rgb="FFFF0000"/>
      <name val="Calibri"/>
      <family val="2"/>
      <scheme val="minor"/>
    </font>
    <font>
      <u/>
      <sz val="12"/>
      <color theme="10"/>
      <name val="Calibri"/>
      <family val="2"/>
      <scheme val="minor"/>
    </font>
    <font>
      <b/>
      <sz val="11"/>
      <color theme="1"/>
      <name val="Times Roman"/>
    </font>
    <font>
      <sz val="11"/>
      <color theme="1"/>
      <name val="Times Roman"/>
    </font>
    <font>
      <sz val="12"/>
      <color theme="1"/>
      <name val="Times Roman"/>
    </font>
    <font>
      <sz val="12"/>
      <color rgb="FF000000"/>
      <name val="Times Roman"/>
    </font>
    <font>
      <sz val="11"/>
      <color rgb="FF000000"/>
      <name val="Times Roman"/>
    </font>
    <font>
      <i/>
      <sz val="11"/>
      <color theme="1"/>
      <name val="Times Roman"/>
    </font>
    <font>
      <b/>
      <sz val="11"/>
      <color rgb="FF000000"/>
      <name val="Times Roman"/>
    </font>
    <font>
      <sz val="11"/>
      <name val="Times Roman"/>
    </font>
    <font>
      <b/>
      <sz val="12"/>
      <color rgb="FF000000"/>
      <name val="Times Roman"/>
    </font>
    <font>
      <sz val="11"/>
      <color rgb="FF000000"/>
      <name val="Times New Roman"/>
      <family val="1"/>
    </font>
    <font>
      <b/>
      <sz val="12"/>
      <color theme="1"/>
      <name val="Times Roman"/>
    </font>
    <font>
      <i/>
      <sz val="12"/>
      <color theme="1"/>
      <name val="Times Roman"/>
    </font>
    <font>
      <i/>
      <sz val="11"/>
      <color rgb="FF000000"/>
      <name val="Times New Roman"/>
      <family val="1"/>
    </font>
    <font>
      <sz val="12"/>
      <color rgb="FFFF0000"/>
      <name val="Times Roman"/>
    </font>
    <font>
      <sz val="12"/>
      <color theme="5"/>
      <name val="Times Roman"/>
    </font>
    <font>
      <u/>
      <sz val="12"/>
      <color theme="10"/>
      <name val="Times Roman"/>
    </font>
    <font>
      <b/>
      <sz val="11"/>
      <name val="Times Roman"/>
    </font>
    <font>
      <sz val="12"/>
      <color theme="1"/>
      <name val="Times New Roman"/>
      <family val="1"/>
    </font>
    <font>
      <sz val="12"/>
      <color theme="1"/>
      <name val="Times"/>
      <family val="1"/>
    </font>
    <font>
      <sz val="12"/>
      <color rgb="FF000000"/>
      <name val="Times"/>
      <family val="1"/>
    </font>
    <font>
      <sz val="10"/>
      <color theme="1"/>
      <name val="Times"/>
      <family val="1"/>
    </font>
    <font>
      <sz val="10"/>
      <color rgb="FF000000"/>
      <name val="Times"/>
      <family val="1"/>
    </font>
    <font>
      <sz val="10"/>
      <color theme="1"/>
      <name val="Times Roman"/>
    </font>
    <font>
      <sz val="10"/>
      <color rgb="FF000000"/>
      <name val="Times Roman"/>
    </font>
    <font>
      <b/>
      <sz val="10"/>
      <color theme="1"/>
      <name val="Times"/>
      <family val="1"/>
    </font>
    <font>
      <sz val="12"/>
      <color theme="1"/>
      <name val="Calibri"/>
      <family val="2"/>
      <scheme val="minor"/>
    </font>
    <font>
      <sz val="12"/>
      <color theme="1"/>
      <name val="Times"/>
      <family val="1"/>
    </font>
    <font>
      <b/>
      <sz val="11"/>
      <color theme="1"/>
      <name val="Times"/>
      <family val="1"/>
    </font>
    <font>
      <b/>
      <sz val="12"/>
      <color theme="1"/>
      <name val="Times"/>
      <family val="1"/>
    </font>
    <font>
      <b/>
      <sz val="11"/>
      <color theme="1"/>
      <name val="Times New Roman"/>
      <family val="1"/>
    </font>
    <font>
      <sz val="11"/>
      <color theme="1"/>
      <name val="Times New Roman"/>
      <family val="1"/>
    </font>
    <font>
      <sz val="11"/>
      <color theme="1"/>
      <name val="Times"/>
      <family val="1"/>
    </font>
    <font>
      <b/>
      <sz val="10"/>
      <color theme="1"/>
      <name val="Times New Roman"/>
      <family val="1"/>
    </font>
    <font>
      <sz val="10"/>
      <color theme="1"/>
      <name val="Times New Roman"/>
      <family val="1"/>
    </font>
    <font>
      <sz val="10"/>
      <color rgb="FF000000"/>
      <name val="Times New Roman"/>
      <family val="1"/>
    </font>
    <font>
      <sz val="12"/>
      <name val="Times Roman"/>
    </font>
  </fonts>
  <fills count="3">
    <fill>
      <patternFill patternType="none"/>
    </fill>
    <fill>
      <patternFill patternType="gray125"/>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bottom/>
      <diagonal/>
    </border>
  </borders>
  <cellStyleXfs count="3">
    <xf numFmtId="0" fontId="0" fillId="0" borderId="0"/>
    <xf numFmtId="0" fontId="2" fillId="0" borderId="0" applyNumberFormat="0" applyFill="0" applyBorder="0" applyAlignment="0" applyProtection="0"/>
    <xf numFmtId="9" fontId="28" fillId="0" borderId="0" applyFont="0" applyFill="0" applyBorder="0" applyAlignment="0" applyProtection="0"/>
  </cellStyleXfs>
  <cellXfs count="368">
    <xf numFmtId="0" fontId="0" fillId="0" borderId="0" xfId="0"/>
    <xf numFmtId="0" fontId="1" fillId="0" borderId="0" xfId="0" applyFont="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164" fontId="5" fillId="0" borderId="0" xfId="0" applyNumberFormat="1" applyFont="1" applyAlignment="1">
      <alignment horizontal="center"/>
    </xf>
    <xf numFmtId="0" fontId="7" fillId="0" borderId="0" xfId="0" applyFont="1" applyAlignment="1">
      <alignment horizontal="center" vertical="center" wrapText="1"/>
    </xf>
    <xf numFmtId="0" fontId="4" fillId="0" borderId="0" xfId="0" applyFont="1" applyBorder="1" applyAlignment="1">
      <alignment horizontal="right" vertical="center"/>
    </xf>
    <xf numFmtId="3" fontId="7"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9" fillId="0" borderId="0" xfId="0" applyFont="1"/>
    <xf numFmtId="1" fontId="7" fillId="0" borderId="0" xfId="0" applyNumberFormat="1" applyFont="1" applyAlignment="1">
      <alignment horizontal="right"/>
    </xf>
    <xf numFmtId="0" fontId="11" fillId="0" borderId="0" xfId="0" applyFont="1"/>
    <xf numFmtId="3" fontId="6" fillId="0" borderId="0" xfId="0" applyNumberFormat="1" applyFont="1" applyAlignment="1">
      <alignment horizontal="center"/>
    </xf>
    <xf numFmtId="2" fontId="12" fillId="0" borderId="0" xfId="0" applyNumberFormat="1" applyFont="1" applyAlignment="1">
      <alignment horizontal="center"/>
    </xf>
    <xf numFmtId="2" fontId="6" fillId="0" borderId="0" xfId="0" applyNumberFormat="1" applyFont="1" applyAlignment="1">
      <alignment horizontal="center"/>
    </xf>
    <xf numFmtId="0" fontId="13" fillId="0" borderId="0" xfId="0" applyFont="1"/>
    <xf numFmtId="3" fontId="5" fillId="0" borderId="0" xfId="0" applyNumberFormat="1" applyFont="1" applyAlignment="1">
      <alignment horizontal="center"/>
    </xf>
    <xf numFmtId="2" fontId="7" fillId="0" borderId="0" xfId="0" applyNumberFormat="1" applyFont="1" applyAlignment="1">
      <alignment horizontal="center"/>
    </xf>
    <xf numFmtId="0" fontId="5" fillId="0" borderId="0" xfId="0" applyFont="1" applyAlignment="1">
      <alignment horizontal="left"/>
    </xf>
    <xf numFmtId="2" fontId="14" fillId="0" borderId="0" xfId="0" applyNumberFormat="1" applyFont="1" applyAlignment="1">
      <alignment horizontal="center"/>
    </xf>
    <xf numFmtId="2" fontId="15" fillId="0" borderId="0" xfId="0" applyNumberFormat="1" applyFont="1" applyAlignment="1">
      <alignment horizontal="center"/>
    </xf>
    <xf numFmtId="0" fontId="16" fillId="0" borderId="0" xfId="0" applyFont="1"/>
    <xf numFmtId="3" fontId="5" fillId="0" borderId="0" xfId="0" applyNumberFormat="1" applyFont="1"/>
    <xf numFmtId="2" fontId="5" fillId="0" borderId="0" xfId="0" applyNumberFormat="1" applyFont="1"/>
    <xf numFmtId="4" fontId="5" fillId="0" borderId="0" xfId="0" applyNumberFormat="1" applyFont="1" applyAlignment="1">
      <alignment horizontal="center"/>
    </xf>
    <xf numFmtId="0" fontId="5" fillId="0" borderId="1" xfId="0" applyFont="1" applyBorder="1" applyAlignment="1">
      <alignment horizontal="center" wrapText="1"/>
    </xf>
    <xf numFmtId="0" fontId="5" fillId="0" borderId="1" xfId="0" applyFont="1" applyBorder="1" applyAlignment="1">
      <alignment horizontal="center" vertical="top" wrapText="1"/>
    </xf>
    <xf numFmtId="2" fontId="6" fillId="0" borderId="0" xfId="0" applyNumberFormat="1" applyFont="1"/>
    <xf numFmtId="0" fontId="6" fillId="0" borderId="1" xfId="0" applyFont="1" applyBorder="1" applyAlignment="1">
      <alignment horizontal="center" wrapText="1"/>
    </xf>
    <xf numFmtId="0" fontId="9" fillId="0" borderId="2"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3" fontId="6" fillId="0" borderId="4" xfId="0" applyNumberFormat="1" applyFont="1" applyBorder="1" applyAlignment="1">
      <alignment horizontal="center"/>
    </xf>
    <xf numFmtId="164" fontId="6" fillId="0" borderId="4" xfId="0" applyNumberFormat="1" applyFont="1" applyBorder="1" applyAlignment="1">
      <alignment horizontal="center"/>
    </xf>
    <xf numFmtId="0" fontId="17" fillId="0" borderId="0" xfId="0" applyFont="1"/>
    <xf numFmtId="2" fontId="5" fillId="0" borderId="0" xfId="0" applyNumberFormat="1" applyFont="1" applyAlignment="1">
      <alignment horizontal="left"/>
    </xf>
    <xf numFmtId="4" fontId="5" fillId="0" borderId="1" xfId="0" applyNumberFormat="1" applyFont="1" applyBorder="1" applyAlignment="1">
      <alignment horizontal="center"/>
    </xf>
    <xf numFmtId="4" fontId="5" fillId="0" borderId="1" xfId="0" applyNumberFormat="1" applyFont="1" applyBorder="1" applyAlignment="1">
      <alignment horizontal="center" wrapText="1"/>
    </xf>
    <xf numFmtId="2" fontId="5" fillId="0" borderId="1" xfId="0" applyNumberFormat="1" applyFont="1" applyBorder="1" applyAlignment="1">
      <alignment horizontal="center" wrapText="1"/>
    </xf>
    <xf numFmtId="0" fontId="4" fillId="0" borderId="4" xfId="0" applyFont="1" applyBorder="1"/>
    <xf numFmtId="0" fontId="4" fillId="0" borderId="5" xfId="0" applyFont="1" applyBorder="1" applyAlignment="1">
      <alignment horizontal="center"/>
    </xf>
    <xf numFmtId="0" fontId="3" fillId="0" borderId="6" xfId="0" applyFont="1" applyBorder="1"/>
    <xf numFmtId="164" fontId="3" fillId="0" borderId="0" xfId="0" applyNumberFormat="1" applyFont="1" applyAlignment="1">
      <alignment horizontal="center"/>
    </xf>
    <xf numFmtId="165" fontId="3" fillId="0" borderId="0" xfId="0" applyNumberFormat="1" applyFont="1" applyAlignment="1">
      <alignment horizontal="center"/>
    </xf>
    <xf numFmtId="165" fontId="9" fillId="0" borderId="0" xfId="0" applyNumberFormat="1" applyFont="1" applyAlignment="1">
      <alignment horizontal="center"/>
    </xf>
    <xf numFmtId="3" fontId="4" fillId="0" borderId="0" xfId="0" applyNumberFormat="1" applyFont="1" applyAlignment="1">
      <alignment horizontal="center"/>
    </xf>
    <xf numFmtId="3" fontId="7" fillId="0" borderId="0" xfId="0" applyNumberFormat="1" applyFont="1" applyAlignment="1">
      <alignment horizontal="center"/>
    </xf>
    <xf numFmtId="3" fontId="7" fillId="0" borderId="0" xfId="0" applyNumberFormat="1" applyFont="1" applyAlignment="1">
      <alignment horizontal="center" vertical="center" wrapText="1"/>
    </xf>
    <xf numFmtId="0" fontId="7" fillId="0" borderId="6" xfId="0" applyFont="1" applyBorder="1" applyAlignment="1">
      <alignment horizontal="left" vertical="center" wrapText="1"/>
    </xf>
    <xf numFmtId="165" fontId="4" fillId="0" borderId="0" xfId="0" applyNumberFormat="1" applyFont="1" applyAlignment="1">
      <alignment horizontal="center"/>
    </xf>
    <xf numFmtId="164" fontId="4" fillId="0" borderId="0" xfId="0" applyNumberFormat="1" applyFont="1" applyAlignment="1">
      <alignment horizontal="center"/>
    </xf>
    <xf numFmtId="0" fontId="3" fillId="0" borderId="6" xfId="0" applyFont="1" applyBorder="1" applyAlignment="1">
      <alignment vertical="center"/>
    </xf>
    <xf numFmtId="0" fontId="7" fillId="0" borderId="0" xfId="0" applyFont="1" applyAlignment="1">
      <alignment horizontal="center" vertical="center"/>
    </xf>
    <xf numFmtId="0" fontId="13" fillId="0" borderId="0" xfId="0" applyFont="1" applyAlignment="1">
      <alignment horizontal="center"/>
    </xf>
    <xf numFmtId="165" fontId="5" fillId="0" borderId="0" xfId="0" applyNumberFormat="1" applyFont="1" applyAlignment="1">
      <alignment horizontal="center"/>
    </xf>
    <xf numFmtId="0" fontId="5" fillId="0" borderId="0" xfId="1" applyFont="1"/>
    <xf numFmtId="1" fontId="7" fillId="0" borderId="0" xfId="0" applyNumberFormat="1" applyFont="1" applyBorder="1" applyAlignment="1">
      <alignment horizontal="right"/>
    </xf>
    <xf numFmtId="0" fontId="3" fillId="0" borderId="0" xfId="0" applyFont="1" applyBorder="1" applyAlignment="1">
      <alignment horizontal="left" vertical="center" wrapText="1"/>
    </xf>
    <xf numFmtId="0" fontId="7" fillId="0" borderId="0" xfId="0" applyFont="1" applyBorder="1" applyAlignment="1">
      <alignment horizontal="left" vertical="center" wrapText="1"/>
    </xf>
    <xf numFmtId="3" fontId="5" fillId="0" borderId="0" xfId="0" applyNumberFormat="1" applyFont="1" applyBorder="1" applyAlignment="1">
      <alignment horizontal="center" vertical="center" wrapText="1"/>
    </xf>
    <xf numFmtId="3" fontId="10" fillId="0" borderId="0" xfId="0" applyNumberFormat="1" applyFont="1" applyBorder="1" applyAlignment="1">
      <alignment horizontal="center" vertical="center" wrapText="1"/>
    </xf>
    <xf numFmtId="165" fontId="5" fillId="0" borderId="0" xfId="0" applyNumberFormat="1" applyFont="1" applyBorder="1" applyAlignment="1">
      <alignment horizontal="center" vertical="center" wrapText="1"/>
    </xf>
    <xf numFmtId="0" fontId="13" fillId="0" borderId="0" xfId="0" applyFont="1" applyAlignment="1">
      <alignment horizontal="center" wrapText="1"/>
    </xf>
    <xf numFmtId="3" fontId="7" fillId="0" borderId="0" xfId="0" applyNumberFormat="1" applyFont="1" applyBorder="1" applyAlignment="1">
      <alignment horizontal="center"/>
    </xf>
    <xf numFmtId="0" fontId="3" fillId="0" borderId="0" xfId="0" applyFont="1" applyAlignment="1">
      <alignment horizontal="left"/>
    </xf>
    <xf numFmtId="0" fontId="4" fillId="0" borderId="0" xfId="0" applyFont="1" applyAlignment="1">
      <alignment horizontal="right" vertical="center"/>
    </xf>
    <xf numFmtId="0" fontId="10" fillId="0" borderId="0" xfId="0" applyFont="1" applyBorder="1" applyAlignment="1">
      <alignment vertical="center"/>
    </xf>
    <xf numFmtId="3" fontId="10" fillId="0" borderId="0" xfId="0" applyNumberFormat="1" applyFont="1" applyBorder="1" applyAlignment="1">
      <alignment horizontal="center" vertical="center"/>
    </xf>
    <xf numFmtId="0" fontId="4" fillId="0" borderId="0" xfId="0" applyFont="1" applyAlignment="1">
      <alignment horizontal="left"/>
    </xf>
    <xf numFmtId="0" fontId="5" fillId="0" borderId="0" xfId="0" applyFont="1" applyBorder="1"/>
    <xf numFmtId="0" fontId="4" fillId="0" borderId="0" xfId="0" applyFont="1" applyAlignment="1">
      <alignment horizontal="left" vertical="center"/>
    </xf>
    <xf numFmtId="0" fontId="10" fillId="0" borderId="0" xfId="0" applyFont="1" applyBorder="1" applyAlignment="1">
      <alignment horizontal="center" wrapText="1"/>
    </xf>
    <xf numFmtId="0" fontId="3" fillId="0" borderId="0" xfId="0" applyFont="1" applyAlignment="1"/>
    <xf numFmtId="0" fontId="5" fillId="0" borderId="0" xfId="0" applyFont="1" applyAlignment="1"/>
    <xf numFmtId="164" fontId="5" fillId="0" borderId="0" xfId="0" applyNumberFormat="1" applyFont="1" applyFill="1" applyAlignment="1">
      <alignment horizontal="center"/>
    </xf>
    <xf numFmtId="0" fontId="18" fillId="0" borderId="0" xfId="1" applyFont="1"/>
    <xf numFmtId="0" fontId="5" fillId="0" borderId="0" xfId="0" applyFont="1" applyAlignment="1">
      <alignment horizontal="right"/>
    </xf>
    <xf numFmtId="166" fontId="5" fillId="0" borderId="0" xfId="0" applyNumberFormat="1" applyFont="1" applyAlignment="1">
      <alignment horizontal="center"/>
    </xf>
    <xf numFmtId="0" fontId="6" fillId="0" borderId="0" xfId="0" applyFont="1" applyAlignment="1">
      <alignment horizontal="center" vertical="center" wrapText="1"/>
    </xf>
    <xf numFmtId="17" fontId="5" fillId="0" borderId="0" xfId="0" applyNumberFormat="1" applyFont="1"/>
    <xf numFmtId="0" fontId="19" fillId="0" borderId="0" xfId="0" applyFont="1"/>
    <xf numFmtId="0" fontId="5" fillId="0" borderId="0" xfId="0" applyFont="1" applyAlignment="1">
      <alignment horizontal="center" vertical="center" wrapText="1"/>
    </xf>
    <xf numFmtId="10" fontId="5" fillId="0" borderId="0" xfId="0" applyNumberFormat="1" applyFont="1" applyAlignment="1">
      <alignment horizontal="center" wrapText="1"/>
    </xf>
    <xf numFmtId="0" fontId="6" fillId="0" borderId="0" xfId="0" applyFont="1" applyAlignment="1">
      <alignment horizontal="right" vertical="center"/>
    </xf>
    <xf numFmtId="0" fontId="7" fillId="0" borderId="0" xfId="0" applyFont="1" applyAlignment="1">
      <alignment horizontal="center" wrapText="1"/>
    </xf>
    <xf numFmtId="4" fontId="4" fillId="0" borderId="0" xfId="0" applyNumberFormat="1" applyFont="1" applyAlignment="1">
      <alignment horizontal="left"/>
    </xf>
    <xf numFmtId="0" fontId="5" fillId="0" borderId="0" xfId="0" applyFont="1" applyAlignment="1">
      <alignment horizontal="center" vertical="center"/>
    </xf>
    <xf numFmtId="4" fontId="5" fillId="0" borderId="0" xfId="0" applyNumberFormat="1" applyFont="1" applyAlignment="1">
      <alignment horizontal="left"/>
    </xf>
    <xf numFmtId="1" fontId="6" fillId="0" borderId="0" xfId="0" applyNumberFormat="1" applyFont="1" applyAlignment="1">
      <alignment horizontal="center"/>
    </xf>
    <xf numFmtId="3" fontId="5" fillId="0" borderId="0" xfId="0" applyNumberFormat="1" applyFont="1" applyAlignment="1">
      <alignment horizontal="center" vertical="center"/>
    </xf>
    <xf numFmtId="2" fontId="9" fillId="0" borderId="0" xfId="0" applyNumberFormat="1" applyFont="1"/>
    <xf numFmtId="2" fontId="6" fillId="0" borderId="0" xfId="0" applyNumberFormat="1" applyFont="1" applyAlignment="1">
      <alignment horizontal="center" vertical="center"/>
    </xf>
    <xf numFmtId="2" fontId="5" fillId="0" borderId="0" xfId="0" applyNumberFormat="1" applyFont="1" applyAlignment="1">
      <alignment horizontal="center" wrapText="1"/>
    </xf>
    <xf numFmtId="1" fontId="6" fillId="0" borderId="0" xfId="0" applyNumberFormat="1" applyFont="1"/>
    <xf numFmtId="3" fontId="5" fillId="0" borderId="0" xfId="0" applyNumberFormat="1" applyFont="1" applyBorder="1" applyAlignment="1">
      <alignment horizontal="center"/>
    </xf>
    <xf numFmtId="0" fontId="5" fillId="0" borderId="0" xfId="0" applyFont="1" applyFill="1"/>
    <xf numFmtId="0" fontId="5" fillId="0" borderId="0" xfId="0" applyFont="1" applyFill="1" applyAlignment="1">
      <alignment horizontal="center" wrapText="1"/>
    </xf>
    <xf numFmtId="3" fontId="5" fillId="0" borderId="0" xfId="0" applyNumberFormat="1" applyFont="1" applyFill="1" applyAlignment="1">
      <alignment horizontal="center"/>
    </xf>
    <xf numFmtId="0" fontId="13" fillId="0" borderId="0" xfId="0" applyFont="1" applyAlignment="1">
      <alignment vertical="top"/>
    </xf>
    <xf numFmtId="0" fontId="13" fillId="0" borderId="0" xfId="0" applyFont="1" applyFill="1"/>
    <xf numFmtId="2" fontId="0" fillId="0" borderId="0" xfId="0" applyNumberFormat="1"/>
    <xf numFmtId="2" fontId="4" fillId="0" borderId="0" xfId="0" applyNumberFormat="1" applyFont="1" applyAlignment="1">
      <alignment horizontal="center"/>
    </xf>
    <xf numFmtId="164" fontId="6" fillId="0" borderId="0" xfId="0" applyNumberFormat="1" applyFont="1" applyAlignment="1">
      <alignment horizontal="center"/>
    </xf>
    <xf numFmtId="164" fontId="5" fillId="0" borderId="0" xfId="0" applyNumberFormat="1" applyFont="1" applyAlignment="1">
      <alignment horizontal="center" wrapText="1"/>
    </xf>
    <xf numFmtId="164" fontId="13" fillId="0" borderId="0" xfId="0" applyNumberFormat="1" applyFont="1" applyAlignment="1">
      <alignment horizontal="center"/>
    </xf>
    <xf numFmtId="2" fontId="5" fillId="0" borderId="1" xfId="0" applyNumberFormat="1" applyFont="1" applyBorder="1" applyAlignment="1">
      <alignment horizontal="center"/>
    </xf>
    <xf numFmtId="2" fontId="14" fillId="0" borderId="1" xfId="0" applyNumberFormat="1" applyFont="1" applyBorder="1" applyAlignment="1">
      <alignment horizontal="center" wrapText="1"/>
    </xf>
    <xf numFmtId="2" fontId="14" fillId="0" borderId="1" xfId="0" applyNumberFormat="1" applyFont="1" applyBorder="1" applyAlignment="1">
      <alignment horizontal="center"/>
    </xf>
    <xf numFmtId="0" fontId="5" fillId="0" borderId="1" xfId="0" applyFont="1" applyBorder="1" applyAlignment="1">
      <alignment horizontal="left" wrapText="1"/>
    </xf>
    <xf numFmtId="0" fontId="5" fillId="0" borderId="1" xfId="0" applyFont="1" applyBorder="1" applyAlignment="1">
      <alignment horizontal="left"/>
    </xf>
    <xf numFmtId="0" fontId="5" fillId="0" borderId="1" xfId="0" applyFont="1" applyBorder="1" applyAlignment="1">
      <alignment horizontal="left" vertical="top" wrapText="1"/>
    </xf>
    <xf numFmtId="164" fontId="5" fillId="0" borderId="0" xfId="0" applyNumberFormat="1" applyFont="1"/>
    <xf numFmtId="0" fontId="11" fillId="0" borderId="0" xfId="0" applyFont="1" applyAlignment="1">
      <alignment horizontal="center" wrapText="1"/>
    </xf>
    <xf numFmtId="2" fontId="5" fillId="0" borderId="0" xfId="0" applyNumberFormat="1" applyFont="1" applyAlignment="1"/>
    <xf numFmtId="0" fontId="20" fillId="0" borderId="0" xfId="0" applyFont="1" applyBorder="1" applyAlignment="1">
      <alignment vertical="center"/>
    </xf>
    <xf numFmtId="164" fontId="0" fillId="0" borderId="0" xfId="0" applyNumberFormat="1" applyAlignment="1">
      <alignment horizontal="center"/>
    </xf>
    <xf numFmtId="3" fontId="0" fillId="0" borderId="0" xfId="0" applyNumberFormat="1" applyAlignment="1">
      <alignment horizontal="center"/>
    </xf>
    <xf numFmtId="3" fontId="5" fillId="0" borderId="7" xfId="0" applyNumberFormat="1" applyFont="1" applyBorder="1" applyAlignment="1">
      <alignment horizontal="center"/>
    </xf>
    <xf numFmtId="3" fontId="5" fillId="0" borderId="6" xfId="0" applyNumberFormat="1" applyFont="1" applyBorder="1" applyAlignment="1">
      <alignment horizontal="center"/>
    </xf>
    <xf numFmtId="0" fontId="5" fillId="0" borderId="8" xfId="0" applyFont="1" applyBorder="1"/>
    <xf numFmtId="0" fontId="5" fillId="0" borderId="8" xfId="0" applyFont="1" applyBorder="1" applyAlignment="1">
      <alignment horizontal="center"/>
    </xf>
    <xf numFmtId="164" fontId="5" fillId="0" borderId="8" xfId="0" applyNumberFormat="1" applyFont="1" applyBorder="1" applyAlignment="1">
      <alignment horizontal="center"/>
    </xf>
    <xf numFmtId="165" fontId="5" fillId="0" borderId="7" xfId="0" applyNumberFormat="1" applyFont="1" applyBorder="1" applyAlignment="1">
      <alignment horizontal="center"/>
    </xf>
    <xf numFmtId="165" fontId="5" fillId="0" borderId="0" xfId="0" applyNumberFormat="1" applyFont="1" applyBorder="1" applyAlignment="1">
      <alignment horizontal="center"/>
    </xf>
    <xf numFmtId="0" fontId="5" fillId="0" borderId="7" xfId="0" applyFont="1" applyBorder="1" applyAlignment="1">
      <alignment horizontal="center" wrapText="1"/>
    </xf>
    <xf numFmtId="0" fontId="5" fillId="0" borderId="6" xfId="0" applyFont="1" applyBorder="1" applyAlignment="1">
      <alignment horizontal="center" wrapText="1"/>
    </xf>
    <xf numFmtId="164" fontId="5" fillId="0" borderId="7" xfId="0" applyNumberFormat="1" applyFont="1" applyBorder="1" applyAlignment="1">
      <alignment horizontal="center"/>
    </xf>
    <xf numFmtId="164" fontId="5" fillId="0" borderId="0" xfId="0" applyNumberFormat="1" applyFont="1" applyBorder="1" applyAlignment="1">
      <alignment horizontal="center"/>
    </xf>
    <xf numFmtId="164" fontId="5" fillId="0" borderId="6" xfId="0" applyNumberFormat="1" applyFont="1" applyBorder="1" applyAlignment="1">
      <alignment horizontal="center"/>
    </xf>
    <xf numFmtId="0" fontId="5" fillId="0" borderId="0" xfId="0" applyFont="1" applyBorder="1" applyAlignment="1">
      <alignment horizontal="center"/>
    </xf>
    <xf numFmtId="0" fontId="5" fillId="0" borderId="0" xfId="0" applyFont="1" applyAlignment="1">
      <alignment horizontal="left" wrapText="1"/>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5" fillId="0" borderId="7" xfId="0" applyFont="1" applyBorder="1" applyAlignment="1">
      <alignment horizontal="center"/>
    </xf>
    <xf numFmtId="0" fontId="5" fillId="0" borderId="6" xfId="0" applyFont="1" applyBorder="1" applyAlignment="1">
      <alignment horizontal="center"/>
    </xf>
    <xf numFmtId="0" fontId="6" fillId="0" borderId="0" xfId="0" applyFont="1" applyAlignment="1">
      <alignment horizontal="center"/>
    </xf>
    <xf numFmtId="1" fontId="5" fillId="0" borderId="0" xfId="0" applyNumberFormat="1" applyFont="1" applyAlignment="1">
      <alignment horizontal="center"/>
    </xf>
    <xf numFmtId="0" fontId="6" fillId="0" borderId="0" xfId="0" applyFont="1" applyAlignment="1">
      <alignment horizontal="center" wrapText="1"/>
    </xf>
    <xf numFmtId="2" fontId="5" fillId="0" borderId="0" xfId="0" applyNumberFormat="1" applyFont="1" applyAlignment="1">
      <alignment horizontal="center"/>
    </xf>
    <xf numFmtId="0" fontId="5" fillId="0" borderId="0" xfId="0" applyFont="1" applyAlignment="1">
      <alignment wrapText="1"/>
    </xf>
    <xf numFmtId="0" fontId="5" fillId="0" borderId="0" xfId="0" applyFont="1" applyBorder="1" applyAlignment="1">
      <alignment horizontal="center" wrapText="1"/>
    </xf>
    <xf numFmtId="0" fontId="10" fillId="0" borderId="0" xfId="0" applyFont="1" applyBorder="1" applyAlignment="1">
      <alignment horizontal="center" vertical="center"/>
    </xf>
    <xf numFmtId="0" fontId="5" fillId="0" borderId="0" xfId="0" applyFont="1" applyAlignment="1">
      <alignment horizontal="center" wrapText="1"/>
    </xf>
    <xf numFmtId="0" fontId="5" fillId="0" borderId="0" xfId="0" applyFont="1" applyAlignment="1">
      <alignment horizontal="center"/>
    </xf>
    <xf numFmtId="2" fontId="5" fillId="0" borderId="0" xfId="0" applyNumberFormat="1" applyFont="1" applyAlignment="1">
      <alignment horizontal="center"/>
    </xf>
    <xf numFmtId="0" fontId="5"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center" wrapText="1"/>
    </xf>
    <xf numFmtId="2" fontId="5" fillId="0" borderId="0" xfId="0" applyNumberFormat="1" applyFont="1" applyAlignment="1">
      <alignment horizontal="center"/>
    </xf>
    <xf numFmtId="3" fontId="0" fillId="0" borderId="0" xfId="0" applyNumberFormat="1"/>
    <xf numFmtId="165" fontId="5" fillId="0" borderId="0" xfId="0" applyNumberFormat="1" applyFont="1"/>
    <xf numFmtId="0" fontId="5" fillId="0" borderId="0" xfId="0" applyFont="1" applyAlignment="1">
      <alignment horizontal="center" wrapText="1"/>
    </xf>
    <xf numFmtId="2" fontId="5" fillId="0" borderId="0" xfId="0" applyNumberFormat="1" applyFont="1" applyAlignment="1">
      <alignment horizontal="center"/>
    </xf>
    <xf numFmtId="0" fontId="21" fillId="0" borderId="0" xfId="0" applyFont="1"/>
    <xf numFmtId="0" fontId="22" fillId="0" borderId="0" xfId="0" applyFont="1" applyAlignment="1">
      <alignment horizontal="center" vertical="center" wrapText="1"/>
    </xf>
    <xf numFmtId="0" fontId="21" fillId="0" borderId="0" xfId="0" applyFont="1" applyAlignment="1">
      <alignment horizontal="center" wrapText="1"/>
    </xf>
    <xf numFmtId="0" fontId="21" fillId="0" borderId="0" xfId="0" applyFont="1" applyAlignment="1">
      <alignment horizontal="center"/>
    </xf>
    <xf numFmtId="0" fontId="22" fillId="0" borderId="0" xfId="0" applyFont="1"/>
    <xf numFmtId="3" fontId="22" fillId="0" borderId="0" xfId="0" applyNumberFormat="1" applyFont="1" applyAlignment="1">
      <alignment horizontal="center"/>
    </xf>
    <xf numFmtId="3" fontId="21" fillId="0" borderId="0" xfId="0" applyNumberFormat="1" applyFont="1" applyAlignment="1">
      <alignment horizontal="center"/>
    </xf>
    <xf numFmtId="2" fontId="21" fillId="0" borderId="0" xfId="0" applyNumberFormat="1" applyFont="1" applyAlignment="1">
      <alignment horizontal="center"/>
    </xf>
    <xf numFmtId="2" fontId="22" fillId="0" borderId="0" xfId="0" applyNumberFormat="1" applyFont="1" applyAlignment="1">
      <alignment horizontal="center"/>
    </xf>
    <xf numFmtId="2" fontId="21" fillId="0" borderId="0" xfId="0" applyNumberFormat="1" applyFont="1"/>
    <xf numFmtId="164" fontId="21" fillId="0" borderId="0" xfId="0" applyNumberFormat="1" applyFont="1" applyAlignment="1">
      <alignment horizontal="center"/>
    </xf>
    <xf numFmtId="0" fontId="25" fillId="0" borderId="0" xfId="0" applyFont="1" applyAlignment="1">
      <alignment horizontal="center"/>
    </xf>
    <xf numFmtId="0" fontId="25" fillId="0" borderId="0" xfId="0" applyFont="1"/>
    <xf numFmtId="3" fontId="26" fillId="0" borderId="0" xfId="0" applyNumberFormat="1" applyFont="1" applyAlignment="1">
      <alignment horizontal="center"/>
    </xf>
    <xf numFmtId="3" fontId="20" fillId="0" borderId="0" xfId="0" applyNumberFormat="1" applyFont="1" applyAlignment="1">
      <alignment horizontal="center"/>
    </xf>
    <xf numFmtId="0" fontId="5" fillId="0" borderId="0" xfId="0" applyFont="1" applyAlignment="1">
      <alignment horizontal="center"/>
    </xf>
    <xf numFmtId="0" fontId="5" fillId="0" borderId="0" xfId="0" applyFont="1" applyAlignment="1">
      <alignment horizontal="center" wrapText="1"/>
    </xf>
    <xf numFmtId="2" fontId="5" fillId="0" borderId="0" xfId="0" applyNumberFormat="1" applyFont="1" applyAlignment="1">
      <alignment horizontal="center"/>
    </xf>
    <xf numFmtId="0" fontId="5" fillId="0" borderId="0" xfId="0" applyFont="1" applyBorder="1" applyAlignment="1">
      <alignment horizontal="center" wrapText="1"/>
    </xf>
    <xf numFmtId="0" fontId="5" fillId="0" borderId="0" xfId="0" applyFont="1" applyFill="1" applyAlignment="1">
      <alignment horizontal="center"/>
    </xf>
    <xf numFmtId="0" fontId="9" fillId="0" borderId="1" xfId="0" applyFont="1" applyBorder="1" applyAlignment="1">
      <alignment horizontal="center" wrapText="1"/>
    </xf>
    <xf numFmtId="3" fontId="6" fillId="0" borderId="1" xfId="0" applyNumberFormat="1" applyFont="1" applyBorder="1" applyAlignment="1">
      <alignment horizontal="center"/>
    </xf>
    <xf numFmtId="164" fontId="6" fillId="0" borderId="1" xfId="2" applyNumberFormat="1" applyFont="1" applyFill="1" applyBorder="1" applyAlignment="1">
      <alignment horizontal="center"/>
    </xf>
    <xf numFmtId="165" fontId="6" fillId="0" borderId="4" xfId="0" applyNumberFormat="1" applyFont="1" applyBorder="1" applyAlignment="1">
      <alignment horizontal="center"/>
    </xf>
    <xf numFmtId="165" fontId="6" fillId="0" borderId="1" xfId="2" applyNumberFormat="1" applyFont="1" applyFill="1" applyBorder="1" applyAlignment="1">
      <alignment horizontal="center"/>
    </xf>
    <xf numFmtId="2" fontId="5" fillId="0" borderId="7" xfId="0" applyNumberFormat="1" applyFont="1" applyBorder="1" applyAlignment="1">
      <alignment horizontal="center"/>
    </xf>
    <xf numFmtId="2" fontId="5" fillId="0" borderId="6" xfId="0" applyNumberFormat="1" applyFont="1" applyBorder="1" applyAlignment="1">
      <alignment horizontal="center"/>
    </xf>
    <xf numFmtId="0" fontId="5" fillId="0" borderId="0" xfId="0" applyFont="1" applyAlignment="1">
      <alignment horizontal="center"/>
    </xf>
    <xf numFmtId="0" fontId="5" fillId="0" borderId="0" xfId="0" applyFont="1" applyAlignment="1">
      <alignment horizontal="center" wrapText="1"/>
    </xf>
    <xf numFmtId="2" fontId="5" fillId="0" borderId="0" xfId="0" applyNumberFormat="1" applyFont="1" applyAlignment="1">
      <alignment horizontal="center"/>
    </xf>
    <xf numFmtId="0" fontId="5" fillId="0" borderId="0" xfId="0" applyFont="1" applyBorder="1" applyAlignment="1">
      <alignment horizontal="center" wrapText="1"/>
    </xf>
    <xf numFmtId="0" fontId="5" fillId="0" borderId="7" xfId="0" applyFont="1" applyBorder="1"/>
    <xf numFmtId="0" fontId="5" fillId="0" borderId="6" xfId="0" applyFont="1" applyBorder="1"/>
    <xf numFmtId="0" fontId="5" fillId="0" borderId="0" xfId="0" applyFont="1" applyFill="1" applyAlignment="1">
      <alignment vertical="top"/>
    </xf>
    <xf numFmtId="0" fontId="5" fillId="0" borderId="0" xfId="0" applyFont="1" applyFill="1" applyAlignment="1">
      <alignment wrapText="1"/>
    </xf>
    <xf numFmtId="164" fontId="5" fillId="0" borderId="0" xfId="0" applyNumberFormat="1" applyFont="1" applyFill="1" applyAlignment="1">
      <alignment horizontal="center" wrapText="1"/>
    </xf>
    <xf numFmtId="0" fontId="5" fillId="0" borderId="0" xfId="0" applyFont="1" applyFill="1" applyAlignment="1">
      <alignment horizontal="left" wrapText="1"/>
    </xf>
    <xf numFmtId="0" fontId="5" fillId="0" borderId="0" xfId="0" applyFont="1" applyFill="1" applyAlignment="1">
      <alignment horizontal="left"/>
    </xf>
    <xf numFmtId="0" fontId="5" fillId="2" borderId="0" xfId="0" applyFont="1" applyFill="1"/>
    <xf numFmtId="166" fontId="5" fillId="2" borderId="0" xfId="0" applyNumberFormat="1" applyFont="1" applyFill="1" applyAlignment="1">
      <alignment horizontal="center"/>
    </xf>
    <xf numFmtId="166" fontId="5" fillId="0" borderId="0" xfId="0" applyNumberFormat="1" applyFont="1" applyFill="1" applyAlignment="1">
      <alignment horizontal="center"/>
    </xf>
    <xf numFmtId="2" fontId="5" fillId="0" borderId="0" xfId="0" applyNumberFormat="1" applyFont="1" applyAlignment="1">
      <alignment horizontal="center"/>
    </xf>
    <xf numFmtId="164" fontId="5" fillId="0" borderId="0" xfId="0" applyNumberFormat="1" applyFont="1" applyAlignment="1"/>
    <xf numFmtId="3" fontId="5" fillId="0" borderId="7" xfId="0" applyNumberFormat="1" applyFont="1" applyFill="1" applyBorder="1" applyAlignment="1">
      <alignment horizontal="center"/>
    </xf>
    <xf numFmtId="3" fontId="5" fillId="0" borderId="0" xfId="0" applyNumberFormat="1" applyFont="1" applyFill="1" applyBorder="1" applyAlignment="1">
      <alignment horizontal="center"/>
    </xf>
    <xf numFmtId="164" fontId="5" fillId="0" borderId="0" xfId="0" applyNumberFormat="1" applyFont="1" applyBorder="1"/>
    <xf numFmtId="0" fontId="5" fillId="0" borderId="0" xfId="0" applyFont="1" applyAlignment="1">
      <alignment horizontal="center"/>
    </xf>
    <xf numFmtId="0" fontId="5" fillId="0" borderId="0" xfId="0" applyFont="1" applyAlignment="1">
      <alignment horizontal="center" wrapText="1"/>
    </xf>
    <xf numFmtId="2" fontId="5" fillId="0" borderId="0" xfId="0" applyNumberFormat="1" applyFont="1" applyAlignment="1">
      <alignment horizontal="center"/>
    </xf>
    <xf numFmtId="0" fontId="29" fillId="0" borderId="0" xfId="0" applyFont="1"/>
    <xf numFmtId="0" fontId="30" fillId="0" borderId="0" xfId="0" applyFont="1" applyAlignment="1">
      <alignment horizontal="center" wrapText="1"/>
    </xf>
    <xf numFmtId="0" fontId="29" fillId="0" borderId="0" xfId="0" applyFont="1" applyAlignment="1">
      <alignment horizontal="center" wrapText="1"/>
    </xf>
    <xf numFmtId="164" fontId="29" fillId="0" borderId="0" xfId="0" applyNumberFormat="1" applyFont="1" applyAlignment="1">
      <alignment horizontal="center"/>
    </xf>
    <xf numFmtId="0" fontId="31" fillId="0" borderId="0" xfId="0" applyFont="1"/>
    <xf numFmtId="0" fontId="20" fillId="0" borderId="0" xfId="0" applyFont="1"/>
    <xf numFmtId="0" fontId="32" fillId="0" borderId="0" xfId="0" applyFont="1" applyAlignment="1">
      <alignment horizontal="center" wrapText="1"/>
    </xf>
    <xf numFmtId="0" fontId="32" fillId="0" borderId="0" xfId="0" applyFont="1"/>
    <xf numFmtId="0" fontId="33" fillId="0" borderId="0" xfId="0" applyFont="1"/>
    <xf numFmtId="164" fontId="33" fillId="0" borderId="0" xfId="0" applyNumberFormat="1" applyFont="1" applyAlignment="1">
      <alignment horizontal="center"/>
    </xf>
    <xf numFmtId="0" fontId="33" fillId="0" borderId="0" xfId="0" applyFont="1" applyBorder="1" applyAlignment="1">
      <alignment horizontal="center" wrapText="1"/>
    </xf>
    <xf numFmtId="0" fontId="33" fillId="0" borderId="6" xfId="0" applyFont="1" applyBorder="1" applyAlignment="1">
      <alignment horizontal="center" wrapText="1"/>
    </xf>
    <xf numFmtId="164" fontId="33" fillId="0" borderId="7" xfId="0" applyNumberFormat="1" applyFont="1" applyBorder="1" applyAlignment="1">
      <alignment horizontal="center"/>
    </xf>
    <xf numFmtId="164" fontId="33" fillId="0" borderId="0" xfId="0" applyNumberFormat="1" applyFont="1" applyBorder="1" applyAlignment="1">
      <alignment horizontal="center"/>
    </xf>
    <xf numFmtId="0" fontId="33" fillId="0" borderId="0" xfId="0" applyFont="1" applyBorder="1" applyAlignment="1">
      <alignment horizontal="center"/>
    </xf>
    <xf numFmtId="164" fontId="33" fillId="0" borderId="6" xfId="0" applyNumberFormat="1" applyFont="1" applyBorder="1" applyAlignment="1">
      <alignment horizontal="center"/>
    </xf>
    <xf numFmtId="0" fontId="32" fillId="0" borderId="7" xfId="0" applyFont="1" applyBorder="1" applyAlignment="1">
      <alignment horizontal="center" wrapText="1"/>
    </xf>
    <xf numFmtId="0" fontId="32" fillId="0" borderId="0" xfId="0" applyFont="1" applyBorder="1" applyAlignment="1">
      <alignment horizontal="center" wrapText="1"/>
    </xf>
    <xf numFmtId="0" fontId="32" fillId="0" borderId="6" xfId="0" applyFont="1" applyBorder="1" applyAlignment="1">
      <alignment horizontal="center" wrapText="1"/>
    </xf>
    <xf numFmtId="0" fontId="32" fillId="0" borderId="0" xfId="0" applyFont="1" applyAlignment="1">
      <alignment horizontal="center"/>
    </xf>
    <xf numFmtId="0" fontId="30" fillId="0" borderId="7" xfId="0" applyFont="1" applyBorder="1" applyAlignment="1">
      <alignment horizontal="center" wrapText="1"/>
    </xf>
    <xf numFmtId="0" fontId="30" fillId="0" borderId="6" xfId="0" applyFont="1" applyBorder="1" applyAlignment="1">
      <alignment horizontal="center" wrapText="1"/>
    </xf>
    <xf numFmtId="0" fontId="34" fillId="0" borderId="6" xfId="0" applyFont="1" applyBorder="1" applyAlignment="1">
      <alignment horizontal="center" wrapText="1"/>
    </xf>
    <xf numFmtId="0" fontId="34" fillId="0" borderId="0" xfId="0" applyFont="1"/>
    <xf numFmtId="3" fontId="34" fillId="0" borderId="0" xfId="0" applyNumberFormat="1" applyFont="1" applyAlignment="1">
      <alignment horizontal="center"/>
    </xf>
    <xf numFmtId="0" fontId="34" fillId="0" borderId="0" xfId="0" applyFont="1" applyAlignment="1">
      <alignment horizontal="center"/>
    </xf>
    <xf numFmtId="3" fontId="34" fillId="0" borderId="7" xfId="0" applyNumberFormat="1" applyFont="1" applyBorder="1" applyAlignment="1">
      <alignment horizontal="center"/>
    </xf>
    <xf numFmtId="3" fontId="34" fillId="0" borderId="6" xfId="0" applyNumberFormat="1" applyFont="1" applyBorder="1" applyAlignment="1">
      <alignment horizontal="center"/>
    </xf>
    <xf numFmtId="0" fontId="34" fillId="0" borderId="7" xfId="0" applyFont="1" applyBorder="1" applyAlignment="1">
      <alignment horizontal="center"/>
    </xf>
    <xf numFmtId="0" fontId="34" fillId="0" borderId="6" xfId="0" applyFont="1" applyBorder="1" applyAlignment="1">
      <alignment horizontal="center"/>
    </xf>
    <xf numFmtId="164" fontId="34" fillId="0" borderId="0" xfId="0" applyNumberFormat="1" applyFont="1" applyAlignment="1">
      <alignment horizontal="center"/>
    </xf>
    <xf numFmtId="164" fontId="34" fillId="0" borderId="7" xfId="0" applyNumberFormat="1" applyFont="1" applyBorder="1" applyAlignment="1">
      <alignment horizontal="center"/>
    </xf>
    <xf numFmtId="164" fontId="34" fillId="0" borderId="6" xfId="0" applyNumberFormat="1" applyFont="1" applyBorder="1" applyAlignment="1">
      <alignment horizontal="center"/>
    </xf>
    <xf numFmtId="0" fontId="30" fillId="0" borderId="0" xfId="0" applyFont="1"/>
    <xf numFmtId="0" fontId="5" fillId="0" borderId="0" xfId="0" applyFont="1" applyAlignment="1">
      <alignment horizontal="center" wrapText="1"/>
    </xf>
    <xf numFmtId="2" fontId="5" fillId="0" borderId="0" xfId="0" applyNumberFormat="1" applyFont="1" applyAlignment="1">
      <alignment horizontal="center"/>
    </xf>
    <xf numFmtId="1" fontId="20" fillId="0" borderId="0" xfId="0" applyNumberFormat="1" applyFont="1" applyAlignment="1">
      <alignment horizontal="center"/>
    </xf>
    <xf numFmtId="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center"/>
    </xf>
    <xf numFmtId="0" fontId="5" fillId="0" borderId="0" xfId="0" applyFont="1" applyAlignment="1">
      <alignment horizontal="center" wrapText="1"/>
    </xf>
    <xf numFmtId="2" fontId="5" fillId="0" borderId="0" xfId="0" applyNumberFormat="1" applyFont="1" applyAlignment="1">
      <alignment horizontal="center"/>
    </xf>
    <xf numFmtId="0" fontId="5" fillId="0" borderId="0" xfId="0" applyFont="1" applyBorder="1" applyAlignment="1">
      <alignment horizontal="center" wrapText="1"/>
    </xf>
    <xf numFmtId="0" fontId="6" fillId="0" borderId="0" xfId="0" applyFont="1" applyAlignment="1">
      <alignment horizontal="center" vertical="top" wrapText="1"/>
    </xf>
    <xf numFmtId="0" fontId="6" fillId="0" borderId="0" xfId="0" applyFont="1" applyAlignment="1">
      <alignment vertical="top" wrapText="1"/>
    </xf>
    <xf numFmtId="0" fontId="5" fillId="0" borderId="0" xfId="0" applyFont="1" applyFill="1" applyAlignment="1">
      <alignment horizontal="center"/>
    </xf>
    <xf numFmtId="0" fontId="5" fillId="0" borderId="0" xfId="0" applyFont="1" applyFill="1" applyAlignment="1">
      <alignment horizontal="center"/>
    </xf>
    <xf numFmtId="3" fontId="5" fillId="0" borderId="0" xfId="0" applyNumberFormat="1" applyFont="1" applyFill="1"/>
    <xf numFmtId="2" fontId="5" fillId="0" borderId="0" xfId="0" applyNumberFormat="1" applyFont="1" applyFill="1"/>
    <xf numFmtId="4" fontId="5" fillId="0" borderId="0" xfId="0" applyNumberFormat="1" applyFont="1" applyFill="1" applyAlignment="1">
      <alignment horizontal="center"/>
    </xf>
    <xf numFmtId="0" fontId="5" fillId="0" borderId="1" xfId="0" applyFont="1" applyFill="1" applyBorder="1" applyAlignment="1">
      <alignment horizontal="center"/>
    </xf>
    <xf numFmtId="1" fontId="13" fillId="0" borderId="1" xfId="0" applyNumberFormat="1" applyFont="1" applyFill="1" applyBorder="1" applyAlignment="1">
      <alignment horizontal="center"/>
    </xf>
    <xf numFmtId="0" fontId="5" fillId="0" borderId="1" xfId="0" applyFont="1" applyFill="1" applyBorder="1" applyAlignment="1">
      <alignment horizontal="center" wrapText="1"/>
    </xf>
    <xf numFmtId="0" fontId="3" fillId="0" borderId="1" xfId="0" applyFont="1" applyFill="1" applyBorder="1" applyAlignment="1">
      <alignment horizontal="center" wrapText="1"/>
    </xf>
    <xf numFmtId="0" fontId="5" fillId="0" borderId="1" xfId="0" applyFont="1" applyFill="1" applyBorder="1" applyAlignment="1">
      <alignment horizontal="center" vertical="top" wrapText="1"/>
    </xf>
    <xf numFmtId="3" fontId="5" fillId="0" borderId="1" xfId="0" applyNumberFormat="1" applyFont="1" applyFill="1" applyBorder="1" applyAlignment="1">
      <alignment horizontal="center"/>
    </xf>
    <xf numFmtId="164" fontId="5" fillId="0" borderId="1" xfId="0" applyNumberFormat="1" applyFont="1" applyFill="1" applyBorder="1" applyAlignment="1">
      <alignment horizontal="center"/>
    </xf>
    <xf numFmtId="0" fontId="5" fillId="0" borderId="1" xfId="0" applyFont="1" applyFill="1" applyBorder="1" applyAlignment="1">
      <alignment horizontal="center" vertical="top"/>
    </xf>
    <xf numFmtId="0" fontId="5" fillId="0" borderId="0" xfId="0" applyFont="1" applyFill="1" applyAlignment="1">
      <alignment horizontal="center" vertical="top" wrapText="1"/>
    </xf>
    <xf numFmtId="0" fontId="16" fillId="0" borderId="0" xfId="0" applyFont="1" applyFill="1"/>
    <xf numFmtId="2" fontId="5" fillId="0" borderId="0" xfId="0" applyNumberFormat="1" applyFont="1" applyFill="1" applyAlignment="1">
      <alignment horizontal="center"/>
    </xf>
    <xf numFmtId="165" fontId="5" fillId="0" borderId="1" xfId="0" applyNumberFormat="1" applyFont="1" applyFill="1" applyBorder="1" applyAlignment="1">
      <alignment horizontal="center"/>
    </xf>
    <xf numFmtId="0" fontId="5" fillId="0" borderId="0" xfId="0" applyFont="1" applyAlignment="1">
      <alignment horizontal="center"/>
    </xf>
    <xf numFmtId="0" fontId="5" fillId="0" borderId="0" xfId="0" applyFont="1" applyFill="1" applyAlignment="1">
      <alignment horizontal="center"/>
    </xf>
    <xf numFmtId="0" fontId="5" fillId="0" borderId="0" xfId="0" applyFont="1" applyAlignment="1">
      <alignment vertical="top"/>
    </xf>
    <xf numFmtId="0" fontId="30" fillId="0" borderId="0" xfId="0" applyFont="1" applyAlignment="1">
      <alignment horizontal="center"/>
    </xf>
    <xf numFmtId="0" fontId="5" fillId="0" borderId="0" xfId="0" applyFont="1" applyAlignment="1">
      <alignment vertical="top"/>
    </xf>
    <xf numFmtId="0" fontId="5" fillId="0" borderId="7" xfId="0" applyFont="1" applyFill="1" applyBorder="1" applyAlignment="1">
      <alignment horizontal="center" wrapText="1"/>
    </xf>
    <xf numFmtId="0" fontId="5" fillId="0" borderId="6" xfId="0" applyFont="1" applyFill="1" applyBorder="1" applyAlignment="1">
      <alignment horizontal="center" wrapText="1"/>
    </xf>
    <xf numFmtId="3" fontId="5" fillId="0" borderId="6" xfId="0" applyNumberFormat="1" applyFont="1" applyFill="1" applyBorder="1" applyAlignment="1">
      <alignment horizontal="center"/>
    </xf>
    <xf numFmtId="164" fontId="5" fillId="0" borderId="0" xfId="0" applyNumberFormat="1" applyFont="1" applyFill="1"/>
    <xf numFmtId="1" fontId="5" fillId="0" borderId="0" xfId="0" applyNumberFormat="1" applyFont="1" applyFill="1" applyAlignment="1"/>
    <xf numFmtId="0" fontId="5" fillId="0" borderId="0" xfId="0" applyFont="1" applyFill="1" applyAlignment="1"/>
    <xf numFmtId="0" fontId="3" fillId="0" borderId="0" xfId="0" applyFont="1" applyFill="1"/>
    <xf numFmtId="0" fontId="5" fillId="0" borderId="0" xfId="0" applyFont="1" applyFill="1" applyBorder="1" applyAlignment="1">
      <alignment horizontal="center" wrapText="1"/>
    </xf>
    <xf numFmtId="0" fontId="5" fillId="0" borderId="7" xfId="0" applyFont="1" applyFill="1" applyBorder="1"/>
    <xf numFmtId="0" fontId="5" fillId="0" borderId="0" xfId="0" applyFont="1" applyFill="1" applyBorder="1"/>
    <xf numFmtId="0" fontId="5" fillId="0" borderId="6" xfId="0" applyFont="1" applyFill="1" applyBorder="1"/>
    <xf numFmtId="2" fontId="5" fillId="0" borderId="7" xfId="0" applyNumberFormat="1" applyFont="1" applyFill="1" applyBorder="1" applyAlignment="1">
      <alignment horizontal="center"/>
    </xf>
    <xf numFmtId="2" fontId="5" fillId="0" borderId="0" xfId="0" applyNumberFormat="1" applyFont="1" applyFill="1" applyBorder="1" applyAlignment="1">
      <alignment horizontal="center"/>
    </xf>
    <xf numFmtId="2" fontId="5" fillId="0" borderId="6" xfId="0" applyNumberFormat="1" applyFont="1" applyFill="1" applyBorder="1" applyAlignment="1">
      <alignment horizontal="center"/>
    </xf>
    <xf numFmtId="0" fontId="5" fillId="0" borderId="0" xfId="0" applyFont="1" applyFill="1" applyAlignment="1">
      <alignment horizontal="right"/>
    </xf>
    <xf numFmtId="0" fontId="35" fillId="0" borderId="0" xfId="0" applyFont="1" applyFill="1"/>
    <xf numFmtId="0" fontId="36" fillId="0" borderId="0" xfId="0" applyFont="1" applyFill="1"/>
    <xf numFmtId="0" fontId="37" fillId="0" borderId="0" xfId="0" applyFont="1" applyFill="1" applyAlignment="1">
      <alignment horizontal="center" wrapText="1"/>
    </xf>
    <xf numFmtId="0" fontId="36" fillId="0" borderId="0" xfId="0" applyFont="1" applyFill="1" applyAlignment="1">
      <alignment horizontal="center"/>
    </xf>
    <xf numFmtId="0" fontId="36" fillId="0" borderId="0" xfId="0" applyFont="1" applyFill="1" applyAlignment="1">
      <alignment horizontal="center" wrapText="1"/>
    </xf>
    <xf numFmtId="0" fontId="37" fillId="0" borderId="0" xfId="0" applyFont="1" applyFill="1"/>
    <xf numFmtId="3" fontId="37" fillId="0" borderId="0" xfId="0" applyNumberFormat="1" applyFont="1" applyFill="1" applyAlignment="1">
      <alignment horizontal="center"/>
    </xf>
    <xf numFmtId="3" fontId="36" fillId="0" borderId="0" xfId="0" applyNumberFormat="1" applyFont="1" applyFill="1" applyAlignment="1">
      <alignment horizontal="center"/>
    </xf>
    <xf numFmtId="165" fontId="36" fillId="0" borderId="0" xfId="0" applyNumberFormat="1" applyFont="1" applyFill="1" applyAlignment="1">
      <alignment horizontal="center"/>
    </xf>
    <xf numFmtId="4" fontId="36" fillId="0" borderId="0" xfId="0" applyNumberFormat="1" applyFont="1" applyFill="1" applyAlignment="1">
      <alignment horizontal="center"/>
    </xf>
    <xf numFmtId="2" fontId="37" fillId="0" borderId="0" xfId="0" applyNumberFormat="1" applyFont="1" applyFill="1" applyAlignment="1">
      <alignment horizontal="center"/>
    </xf>
    <xf numFmtId="2" fontId="36" fillId="0" borderId="0" xfId="0" applyNumberFormat="1" applyFont="1" applyFill="1" applyAlignment="1">
      <alignment horizontal="center"/>
    </xf>
    <xf numFmtId="165" fontId="20" fillId="0" borderId="0" xfId="0" applyNumberFormat="1" applyFont="1" applyFill="1" applyAlignment="1">
      <alignment horizontal="center"/>
    </xf>
    <xf numFmtId="0" fontId="36" fillId="0" borderId="0" xfId="0" applyFont="1" applyFill="1" applyAlignment="1">
      <alignment vertical="top"/>
    </xf>
    <xf numFmtId="164" fontId="20" fillId="0" borderId="0" xfId="0" applyNumberFormat="1" applyFont="1" applyFill="1" applyAlignment="1">
      <alignment horizontal="center"/>
    </xf>
    <xf numFmtId="164" fontId="36" fillId="0" borderId="0" xfId="0" applyNumberFormat="1" applyFont="1" applyFill="1" applyAlignment="1">
      <alignment horizontal="center"/>
    </xf>
    <xf numFmtId="0" fontId="12" fillId="0" borderId="0" xfId="0" applyFont="1" applyFill="1" applyAlignment="1">
      <alignment vertical="center"/>
    </xf>
    <xf numFmtId="0" fontId="27" fillId="0" borderId="0" xfId="0" applyFont="1" applyFill="1"/>
    <xf numFmtId="0" fontId="23" fillId="0" borderId="0" xfId="0" applyFont="1" applyFill="1"/>
    <xf numFmtId="0" fontId="23" fillId="0" borderId="0" xfId="0" applyFont="1" applyFill="1" applyAlignment="1">
      <alignment horizontal="center" wrapText="1"/>
    </xf>
    <xf numFmtId="0" fontId="24" fillId="0" borderId="0" xfId="0" applyFont="1" applyFill="1"/>
    <xf numFmtId="164" fontId="23" fillId="0" borderId="0" xfId="0" applyNumberFormat="1" applyFont="1" applyFill="1" applyAlignment="1">
      <alignment horizontal="center"/>
    </xf>
    <xf numFmtId="165" fontId="23" fillId="0" borderId="0" xfId="0" applyNumberFormat="1" applyFont="1" applyFill="1" applyAlignment="1">
      <alignment horizontal="center"/>
    </xf>
    <xf numFmtId="165" fontId="23" fillId="0" borderId="0" xfId="0" applyNumberFormat="1" applyFont="1" applyFill="1"/>
    <xf numFmtId="0" fontId="13" fillId="0" borderId="0" xfId="0" applyFont="1" applyFill="1" applyBorder="1"/>
    <xf numFmtId="0" fontId="5" fillId="0" borderId="0" xfId="0" applyFont="1" applyFill="1" applyBorder="1" applyAlignment="1">
      <alignment horizontal="center"/>
    </xf>
    <xf numFmtId="165" fontId="5" fillId="0" borderId="0" xfId="0" applyNumberFormat="1" applyFont="1" applyFill="1" applyBorder="1" applyAlignment="1">
      <alignment horizontal="center"/>
    </xf>
    <xf numFmtId="3" fontId="0" fillId="0" borderId="0" xfId="0" applyNumberFormat="1" applyFill="1" applyBorder="1" applyAlignment="1">
      <alignment horizontal="center"/>
    </xf>
    <xf numFmtId="165" fontId="0" fillId="0" borderId="0" xfId="0" applyNumberFormat="1" applyFill="1" applyBorder="1" applyAlignment="1">
      <alignment horizont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3" fontId="5" fillId="0" borderId="0" xfId="0" applyNumberFormat="1" applyFont="1" applyFill="1" applyAlignment="1">
      <alignment horizontal="center" vertical="center"/>
    </xf>
    <xf numFmtId="4" fontId="5" fillId="0" borderId="0" xfId="0" applyNumberFormat="1" applyFont="1" applyFill="1"/>
    <xf numFmtId="0" fontId="34" fillId="0" borderId="0" xfId="0" applyFont="1" applyAlignment="1">
      <alignment horizontal="center" wrapText="1"/>
    </xf>
    <xf numFmtId="0" fontId="38" fillId="0" borderId="0" xfId="0" applyFont="1"/>
    <xf numFmtId="0" fontId="13" fillId="0" borderId="1" xfId="0" applyFont="1" applyBorder="1" applyAlignment="1">
      <alignment horizontal="center"/>
    </xf>
    <xf numFmtId="0" fontId="13"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5" fillId="0" borderId="7" xfId="0" applyFont="1" applyBorder="1" applyAlignment="1">
      <alignment horizontal="center"/>
    </xf>
    <xf numFmtId="0" fontId="5" fillId="0" borderId="0" xfId="0" applyFont="1" applyBorder="1" applyAlignment="1">
      <alignment horizontal="center"/>
    </xf>
    <xf numFmtId="0" fontId="5" fillId="0" borderId="6" xfId="0" applyFont="1" applyBorder="1" applyAlignment="1">
      <alignment horizontal="center"/>
    </xf>
    <xf numFmtId="0" fontId="5" fillId="0" borderId="0" xfId="0" applyFont="1" applyFill="1" applyAlignment="1">
      <alignment horizontal="center"/>
    </xf>
    <xf numFmtId="0" fontId="5" fillId="0" borderId="7" xfId="0" applyFont="1" applyFill="1" applyBorder="1" applyAlignment="1">
      <alignment horizontal="center"/>
    </xf>
    <xf numFmtId="0" fontId="5" fillId="0" borderId="6" xfId="0" applyFont="1" applyFill="1" applyBorder="1" applyAlignment="1">
      <alignment horizontal="center"/>
    </xf>
    <xf numFmtId="0" fontId="5" fillId="0" borderId="0" xfId="0" applyFont="1" applyFill="1" applyAlignment="1">
      <alignment horizontal="left" vertical="top"/>
    </xf>
    <xf numFmtId="0" fontId="6" fillId="0" borderId="0" xfId="0" applyFont="1" applyAlignment="1">
      <alignment horizontal="center"/>
    </xf>
    <xf numFmtId="0" fontId="5" fillId="0" borderId="0" xfId="0" applyFont="1" applyFill="1" applyAlignment="1">
      <alignment horizontal="left" vertical="top" wrapText="1"/>
    </xf>
    <xf numFmtId="1" fontId="5" fillId="0" borderId="0" xfId="0" applyNumberFormat="1" applyFont="1" applyFill="1" applyAlignment="1">
      <alignment horizontal="center"/>
    </xf>
    <xf numFmtId="0" fontId="5" fillId="0" borderId="0" xfId="0" applyFont="1" applyFill="1" applyAlignment="1">
      <alignment horizontal="center" wrapText="1"/>
    </xf>
    <xf numFmtId="1" fontId="5" fillId="0" borderId="0" xfId="0" applyNumberFormat="1" applyFont="1" applyAlignment="1">
      <alignment horizont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Fill="1" applyBorder="1" applyAlignment="1">
      <alignment horizontal="center"/>
    </xf>
    <xf numFmtId="0" fontId="5" fillId="0" borderId="0" xfId="0" applyFont="1" applyAlignment="1">
      <alignment horizontal="center" vertical="top" wrapText="1"/>
    </xf>
    <xf numFmtId="0" fontId="21" fillId="0" borderId="0" xfId="0" applyFont="1" applyAlignment="1">
      <alignment vertical="top"/>
    </xf>
    <xf numFmtId="0" fontId="21" fillId="0" borderId="0" xfId="0" applyFont="1" applyAlignment="1">
      <alignment horizontal="center" wrapText="1"/>
    </xf>
    <xf numFmtId="0" fontId="21" fillId="0" borderId="0" xfId="0" applyFont="1" applyAlignment="1">
      <alignment horizontal="center"/>
    </xf>
    <xf numFmtId="0" fontId="5" fillId="0" borderId="0" xfId="0" applyFont="1" applyAlignment="1">
      <alignment vertical="top"/>
    </xf>
    <xf numFmtId="0" fontId="36" fillId="0" borderId="0" xfId="0" applyFont="1" applyFill="1" applyAlignment="1">
      <alignment horizontal="center" wrapText="1"/>
    </xf>
    <xf numFmtId="0" fontId="36" fillId="0" borderId="0" xfId="0" applyFont="1" applyFill="1" applyAlignment="1">
      <alignment horizontal="left" vertical="top" wrapText="1"/>
    </xf>
    <xf numFmtId="3" fontId="37" fillId="0" borderId="0" xfId="0" applyNumberFormat="1" applyFont="1" applyFill="1" applyAlignment="1">
      <alignment horizontal="center"/>
    </xf>
    <xf numFmtId="0" fontId="6" fillId="0" borderId="0" xfId="0" applyFont="1" applyAlignment="1">
      <alignment horizontal="center" wrapText="1"/>
    </xf>
    <xf numFmtId="0" fontId="5" fillId="0" borderId="0" xfId="0" applyFont="1" applyFill="1" applyAlignment="1">
      <alignment horizontal="left" wrapText="1"/>
    </xf>
    <xf numFmtId="2" fontId="5" fillId="0" borderId="0" xfId="0" applyNumberFormat="1" applyFont="1" applyAlignment="1">
      <alignment horizontal="center"/>
    </xf>
    <xf numFmtId="0" fontId="4" fillId="0" borderId="0" xfId="0" applyFont="1" applyAlignment="1">
      <alignment horizontal="center" vertical="center" wrapText="1"/>
    </xf>
    <xf numFmtId="0" fontId="10" fillId="0" borderId="0" xfId="0" applyFont="1" applyBorder="1" applyAlignment="1">
      <alignment horizontal="center" vertical="center"/>
    </xf>
    <xf numFmtId="0" fontId="32" fillId="0" borderId="0" xfId="0" applyFont="1" applyAlignment="1">
      <alignment horizontal="center"/>
    </xf>
    <xf numFmtId="0" fontId="32" fillId="0" borderId="6" xfId="0" applyFont="1" applyBorder="1" applyAlignment="1">
      <alignment horizontal="center"/>
    </xf>
    <xf numFmtId="0" fontId="32" fillId="0" borderId="7" xfId="0" applyFont="1" applyBorder="1" applyAlignment="1">
      <alignment horizontal="center"/>
    </xf>
    <xf numFmtId="0" fontId="32" fillId="0" borderId="0" xfId="0" applyFont="1" applyBorder="1" applyAlignment="1">
      <alignment horizontal="center"/>
    </xf>
    <xf numFmtId="0" fontId="30" fillId="0" borderId="0" xfId="0" applyFont="1" applyAlignment="1">
      <alignment horizontal="center"/>
    </xf>
    <xf numFmtId="0" fontId="30" fillId="0" borderId="7" xfId="0" applyFont="1" applyBorder="1" applyAlignment="1">
      <alignment horizontal="center"/>
    </xf>
    <xf numFmtId="0" fontId="30" fillId="0" borderId="6" xfId="0" applyFont="1" applyBorder="1" applyAlignment="1">
      <alignment horizontal="center"/>
    </xf>
    <xf numFmtId="0" fontId="20" fillId="0" borderId="0" xfId="0" applyFont="1" applyAlignment="1">
      <alignment horizontal="center" wrapText="1"/>
    </xf>
    <xf numFmtId="0" fontId="20" fillId="0" borderId="0" xfId="0" applyFont="1" applyAlignment="1">
      <alignment horizontal="left" vertical="top"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'T10'!$AC$4</c:f>
              <c:strCache>
                <c:ptCount val="1"/>
                <c:pt idx="0">
                  <c:v>First Quintile</c:v>
                </c:pt>
              </c:strCache>
            </c:strRef>
          </c:tx>
          <c:spPr>
            <a:ln w="28575" cap="rnd">
              <a:solidFill>
                <a:schemeClr val="accent1"/>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'T10'!$AC$5:$AC$48</c:f>
              <c:numCache>
                <c:formatCode>#,##0</c:formatCode>
                <c:ptCount val="44"/>
                <c:pt idx="0">
                  <c:v>12300</c:v>
                </c:pt>
                <c:pt idx="1">
                  <c:v>13350</c:v>
                </c:pt>
                <c:pt idx="2">
                  <c:v>13650</c:v>
                </c:pt>
                <c:pt idx="3">
                  <c:v>14950</c:v>
                </c:pt>
                <c:pt idx="4">
                  <c:v>14600</c:v>
                </c:pt>
                <c:pt idx="5">
                  <c:v>14500</c:v>
                </c:pt>
                <c:pt idx="6">
                  <c:v>14050</c:v>
                </c:pt>
                <c:pt idx="7">
                  <c:v>12500</c:v>
                </c:pt>
                <c:pt idx="8">
                  <c:v>14200</c:v>
                </c:pt>
                <c:pt idx="9">
                  <c:v>15050</c:v>
                </c:pt>
                <c:pt idx="10">
                  <c:v>15200</c:v>
                </c:pt>
                <c:pt idx="11">
                  <c:v>14550</c:v>
                </c:pt>
                <c:pt idx="12">
                  <c:v>16100</c:v>
                </c:pt>
                <c:pt idx="13">
                  <c:v>16200</c:v>
                </c:pt>
                <c:pt idx="14">
                  <c:v>15750</c:v>
                </c:pt>
                <c:pt idx="15">
                  <c:v>14950</c:v>
                </c:pt>
                <c:pt idx="16">
                  <c:v>14700</c:v>
                </c:pt>
                <c:pt idx="17">
                  <c:v>14350</c:v>
                </c:pt>
                <c:pt idx="18">
                  <c:v>14400</c:v>
                </c:pt>
                <c:pt idx="19">
                  <c:v>15000</c:v>
                </c:pt>
                <c:pt idx="20">
                  <c:v>14450</c:v>
                </c:pt>
                <c:pt idx="21">
                  <c:v>13450</c:v>
                </c:pt>
                <c:pt idx="22">
                  <c:v>14400</c:v>
                </c:pt>
                <c:pt idx="23">
                  <c:v>14900</c:v>
                </c:pt>
                <c:pt idx="24">
                  <c:v>14500</c:v>
                </c:pt>
                <c:pt idx="25">
                  <c:v>14800</c:v>
                </c:pt>
                <c:pt idx="26">
                  <c:v>14700</c:v>
                </c:pt>
                <c:pt idx="27">
                  <c:v>14600</c:v>
                </c:pt>
                <c:pt idx="28">
                  <c:v>14950</c:v>
                </c:pt>
                <c:pt idx="29">
                  <c:v>14250</c:v>
                </c:pt>
                <c:pt idx="30">
                  <c:v>15000</c:v>
                </c:pt>
                <c:pt idx="31">
                  <c:v>16400</c:v>
                </c:pt>
                <c:pt idx="32">
                  <c:v>14900</c:v>
                </c:pt>
                <c:pt idx="33">
                  <c:v>15350</c:v>
                </c:pt>
                <c:pt idx="34">
                  <c:v>16250</c:v>
                </c:pt>
                <c:pt idx="35">
                  <c:v>16900</c:v>
                </c:pt>
                <c:pt idx="36">
                  <c:v>16050</c:v>
                </c:pt>
                <c:pt idx="37">
                  <c:v>16750</c:v>
                </c:pt>
                <c:pt idx="38">
                  <c:v>17900</c:v>
                </c:pt>
                <c:pt idx="39">
                  <c:v>15650</c:v>
                </c:pt>
                <c:pt idx="40">
                  <c:v>17450</c:v>
                </c:pt>
                <c:pt idx="41">
                  <c:v>18000</c:v>
                </c:pt>
                <c:pt idx="42">
                  <c:v>17750</c:v>
                </c:pt>
                <c:pt idx="43">
                  <c:v>18350</c:v>
                </c:pt>
              </c:numCache>
            </c:numRef>
          </c:val>
          <c:smooth val="0"/>
          <c:extLst>
            <c:ext xmlns:c16="http://schemas.microsoft.com/office/drawing/2014/chart" uri="{C3380CC4-5D6E-409C-BE32-E72D297353CC}">
              <c16:uniqueId val="{00000000-9792-644A-9960-81D6DC4CC55A}"/>
            </c:ext>
          </c:extLst>
        </c:ser>
        <c:ser>
          <c:idx val="1"/>
          <c:order val="1"/>
          <c:tx>
            <c:strRef>
              <c:f>'T10'!$AD$4</c:f>
              <c:strCache>
                <c:ptCount val="1"/>
                <c:pt idx="0">
                  <c:v>Second Quintile</c:v>
                </c:pt>
              </c:strCache>
            </c:strRef>
          </c:tx>
          <c:spPr>
            <a:ln w="28575" cap="rnd">
              <a:solidFill>
                <a:schemeClr val="accent2"/>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'T10'!$AD$5:$AD$48</c:f>
              <c:numCache>
                <c:formatCode>#,##0</c:formatCode>
                <c:ptCount val="44"/>
                <c:pt idx="0">
                  <c:v>30800</c:v>
                </c:pt>
                <c:pt idx="1">
                  <c:v>30900</c:v>
                </c:pt>
                <c:pt idx="2">
                  <c:v>31550</c:v>
                </c:pt>
                <c:pt idx="3">
                  <c:v>31400</c:v>
                </c:pt>
                <c:pt idx="4">
                  <c:v>31900</c:v>
                </c:pt>
                <c:pt idx="5">
                  <c:v>29650</c:v>
                </c:pt>
                <c:pt idx="6">
                  <c:v>28850</c:v>
                </c:pt>
                <c:pt idx="7">
                  <c:v>26500</c:v>
                </c:pt>
                <c:pt idx="8">
                  <c:v>29450</c:v>
                </c:pt>
                <c:pt idx="9">
                  <c:v>31100</c:v>
                </c:pt>
                <c:pt idx="10">
                  <c:v>31350</c:v>
                </c:pt>
                <c:pt idx="11">
                  <c:v>28900</c:v>
                </c:pt>
                <c:pt idx="12">
                  <c:v>31050</c:v>
                </c:pt>
                <c:pt idx="13">
                  <c:v>31750</c:v>
                </c:pt>
                <c:pt idx="14">
                  <c:v>30650</c:v>
                </c:pt>
                <c:pt idx="15">
                  <c:v>29100</c:v>
                </c:pt>
                <c:pt idx="16">
                  <c:v>28650</c:v>
                </c:pt>
                <c:pt idx="17">
                  <c:v>28950</c:v>
                </c:pt>
                <c:pt idx="18">
                  <c:v>28800</c:v>
                </c:pt>
                <c:pt idx="19">
                  <c:v>28700</c:v>
                </c:pt>
                <c:pt idx="20">
                  <c:v>28300</c:v>
                </c:pt>
                <c:pt idx="21">
                  <c:v>27850</c:v>
                </c:pt>
                <c:pt idx="22">
                  <c:v>28600</c:v>
                </c:pt>
                <c:pt idx="23">
                  <c:v>30100</c:v>
                </c:pt>
                <c:pt idx="24">
                  <c:v>30200</c:v>
                </c:pt>
                <c:pt idx="25">
                  <c:v>30550</c:v>
                </c:pt>
                <c:pt idx="26">
                  <c:v>29600</c:v>
                </c:pt>
                <c:pt idx="27">
                  <c:v>30000</c:v>
                </c:pt>
                <c:pt idx="28">
                  <c:v>30350</c:v>
                </c:pt>
                <c:pt idx="29">
                  <c:v>30900</c:v>
                </c:pt>
                <c:pt idx="30">
                  <c:v>31700</c:v>
                </c:pt>
                <c:pt idx="31">
                  <c:v>32900</c:v>
                </c:pt>
                <c:pt idx="32">
                  <c:v>33800</c:v>
                </c:pt>
                <c:pt idx="33">
                  <c:v>34300</c:v>
                </c:pt>
                <c:pt idx="34">
                  <c:v>33850</c:v>
                </c:pt>
                <c:pt idx="35">
                  <c:v>34250</c:v>
                </c:pt>
                <c:pt idx="36">
                  <c:v>34500</c:v>
                </c:pt>
                <c:pt idx="37">
                  <c:v>34850</c:v>
                </c:pt>
                <c:pt idx="38">
                  <c:v>35350</c:v>
                </c:pt>
                <c:pt idx="39">
                  <c:v>33900</c:v>
                </c:pt>
                <c:pt idx="40">
                  <c:v>35600</c:v>
                </c:pt>
                <c:pt idx="41">
                  <c:v>36150</c:v>
                </c:pt>
                <c:pt idx="42">
                  <c:v>36900</c:v>
                </c:pt>
                <c:pt idx="43">
                  <c:v>37400</c:v>
                </c:pt>
              </c:numCache>
            </c:numRef>
          </c:val>
          <c:smooth val="0"/>
          <c:extLst>
            <c:ext xmlns:c16="http://schemas.microsoft.com/office/drawing/2014/chart" uri="{C3380CC4-5D6E-409C-BE32-E72D297353CC}">
              <c16:uniqueId val="{00000001-9792-644A-9960-81D6DC4CC55A}"/>
            </c:ext>
          </c:extLst>
        </c:ser>
        <c:ser>
          <c:idx val="2"/>
          <c:order val="2"/>
          <c:tx>
            <c:strRef>
              <c:f>'T10'!$AE$4</c:f>
              <c:strCache>
                <c:ptCount val="1"/>
                <c:pt idx="0">
                  <c:v>Third Quintile</c:v>
                </c:pt>
              </c:strCache>
            </c:strRef>
          </c:tx>
          <c:spPr>
            <a:ln w="28575" cap="rnd">
              <a:solidFill>
                <a:schemeClr val="accent3"/>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'T10'!$AE$5:$AE$48</c:f>
              <c:numCache>
                <c:formatCode>#,##0</c:formatCode>
                <c:ptCount val="44"/>
                <c:pt idx="0">
                  <c:v>47400</c:v>
                </c:pt>
                <c:pt idx="1">
                  <c:v>47650</c:v>
                </c:pt>
                <c:pt idx="2">
                  <c:v>49850</c:v>
                </c:pt>
                <c:pt idx="3">
                  <c:v>48700</c:v>
                </c:pt>
                <c:pt idx="4">
                  <c:v>47700</c:v>
                </c:pt>
                <c:pt idx="5">
                  <c:v>45600</c:v>
                </c:pt>
                <c:pt idx="6">
                  <c:v>44400</c:v>
                </c:pt>
                <c:pt idx="7">
                  <c:v>42000</c:v>
                </c:pt>
                <c:pt idx="8">
                  <c:v>45800</c:v>
                </c:pt>
                <c:pt idx="9">
                  <c:v>45900</c:v>
                </c:pt>
                <c:pt idx="10">
                  <c:v>47100</c:v>
                </c:pt>
                <c:pt idx="11">
                  <c:v>44300</c:v>
                </c:pt>
                <c:pt idx="12">
                  <c:v>46250</c:v>
                </c:pt>
                <c:pt idx="13">
                  <c:v>47250</c:v>
                </c:pt>
                <c:pt idx="14">
                  <c:v>45900</c:v>
                </c:pt>
                <c:pt idx="15">
                  <c:v>43700</c:v>
                </c:pt>
                <c:pt idx="16">
                  <c:v>43800</c:v>
                </c:pt>
                <c:pt idx="17">
                  <c:v>44400</c:v>
                </c:pt>
                <c:pt idx="18">
                  <c:v>44000</c:v>
                </c:pt>
                <c:pt idx="19">
                  <c:v>43350</c:v>
                </c:pt>
                <c:pt idx="20">
                  <c:v>42800</c:v>
                </c:pt>
                <c:pt idx="21">
                  <c:v>42750</c:v>
                </c:pt>
                <c:pt idx="22">
                  <c:v>43250</c:v>
                </c:pt>
                <c:pt idx="23">
                  <c:v>45400</c:v>
                </c:pt>
                <c:pt idx="24">
                  <c:v>45650</c:v>
                </c:pt>
                <c:pt idx="25">
                  <c:v>46900</c:v>
                </c:pt>
                <c:pt idx="26">
                  <c:v>45900</c:v>
                </c:pt>
                <c:pt idx="27">
                  <c:v>46000</c:v>
                </c:pt>
                <c:pt idx="28">
                  <c:v>46600</c:v>
                </c:pt>
                <c:pt idx="29">
                  <c:v>47150</c:v>
                </c:pt>
                <c:pt idx="30">
                  <c:v>47700</c:v>
                </c:pt>
                <c:pt idx="31">
                  <c:v>49550</c:v>
                </c:pt>
                <c:pt idx="32">
                  <c:v>49950</c:v>
                </c:pt>
                <c:pt idx="33">
                  <c:v>50700</c:v>
                </c:pt>
                <c:pt idx="34">
                  <c:v>51250</c:v>
                </c:pt>
                <c:pt idx="35">
                  <c:v>51700</c:v>
                </c:pt>
                <c:pt idx="36">
                  <c:v>51800</c:v>
                </c:pt>
                <c:pt idx="37">
                  <c:v>52200</c:v>
                </c:pt>
                <c:pt idx="38">
                  <c:v>53250</c:v>
                </c:pt>
                <c:pt idx="39">
                  <c:v>54400</c:v>
                </c:pt>
                <c:pt idx="40">
                  <c:v>53300</c:v>
                </c:pt>
                <c:pt idx="41">
                  <c:v>55600</c:v>
                </c:pt>
                <c:pt idx="42">
                  <c:v>55850</c:v>
                </c:pt>
                <c:pt idx="43">
                  <c:v>56350</c:v>
                </c:pt>
              </c:numCache>
            </c:numRef>
          </c:val>
          <c:smooth val="0"/>
          <c:extLst>
            <c:ext xmlns:c16="http://schemas.microsoft.com/office/drawing/2014/chart" uri="{C3380CC4-5D6E-409C-BE32-E72D297353CC}">
              <c16:uniqueId val="{00000002-9792-644A-9960-81D6DC4CC55A}"/>
            </c:ext>
          </c:extLst>
        </c:ser>
        <c:ser>
          <c:idx val="3"/>
          <c:order val="3"/>
          <c:tx>
            <c:strRef>
              <c:f>'T10'!$AF$4</c:f>
              <c:strCache>
                <c:ptCount val="1"/>
                <c:pt idx="0">
                  <c:v>Fourth Quintile</c:v>
                </c:pt>
              </c:strCache>
            </c:strRef>
          </c:tx>
          <c:spPr>
            <a:ln w="28575" cap="rnd">
              <a:solidFill>
                <a:schemeClr val="accent4"/>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'T10'!$AF$5:$AF$48</c:f>
              <c:numCache>
                <c:formatCode>#,##0</c:formatCode>
                <c:ptCount val="44"/>
                <c:pt idx="0">
                  <c:v>63850</c:v>
                </c:pt>
                <c:pt idx="1">
                  <c:v>65800</c:v>
                </c:pt>
                <c:pt idx="2">
                  <c:v>67400</c:v>
                </c:pt>
                <c:pt idx="3">
                  <c:v>64900</c:v>
                </c:pt>
                <c:pt idx="4">
                  <c:v>63900</c:v>
                </c:pt>
                <c:pt idx="5">
                  <c:v>63000</c:v>
                </c:pt>
                <c:pt idx="6">
                  <c:v>62850</c:v>
                </c:pt>
                <c:pt idx="7">
                  <c:v>58850</c:v>
                </c:pt>
                <c:pt idx="8">
                  <c:v>64600</c:v>
                </c:pt>
                <c:pt idx="9">
                  <c:v>64100</c:v>
                </c:pt>
                <c:pt idx="10">
                  <c:v>63550</c:v>
                </c:pt>
                <c:pt idx="11">
                  <c:v>63200</c:v>
                </c:pt>
                <c:pt idx="12">
                  <c:v>63850</c:v>
                </c:pt>
                <c:pt idx="13">
                  <c:v>64650</c:v>
                </c:pt>
                <c:pt idx="14">
                  <c:v>63750</c:v>
                </c:pt>
                <c:pt idx="15">
                  <c:v>61800</c:v>
                </c:pt>
                <c:pt idx="16">
                  <c:v>61950</c:v>
                </c:pt>
                <c:pt idx="17">
                  <c:v>61550</c:v>
                </c:pt>
                <c:pt idx="18">
                  <c:v>60700</c:v>
                </c:pt>
                <c:pt idx="19">
                  <c:v>60800</c:v>
                </c:pt>
                <c:pt idx="20">
                  <c:v>60800</c:v>
                </c:pt>
                <c:pt idx="21">
                  <c:v>60450</c:v>
                </c:pt>
                <c:pt idx="22">
                  <c:v>62650</c:v>
                </c:pt>
                <c:pt idx="23">
                  <c:v>64800</c:v>
                </c:pt>
                <c:pt idx="24">
                  <c:v>65000</c:v>
                </c:pt>
                <c:pt idx="25">
                  <c:v>66900</c:v>
                </c:pt>
                <c:pt idx="26">
                  <c:v>67250</c:v>
                </c:pt>
                <c:pt idx="27">
                  <c:v>66200</c:v>
                </c:pt>
                <c:pt idx="28">
                  <c:v>67250</c:v>
                </c:pt>
                <c:pt idx="29">
                  <c:v>65950</c:v>
                </c:pt>
                <c:pt idx="30">
                  <c:v>67350</c:v>
                </c:pt>
                <c:pt idx="31">
                  <c:v>70450</c:v>
                </c:pt>
                <c:pt idx="32">
                  <c:v>71850</c:v>
                </c:pt>
                <c:pt idx="33">
                  <c:v>74000</c:v>
                </c:pt>
                <c:pt idx="34">
                  <c:v>75400</c:v>
                </c:pt>
                <c:pt idx="35">
                  <c:v>75500</c:v>
                </c:pt>
                <c:pt idx="36">
                  <c:v>75500</c:v>
                </c:pt>
                <c:pt idx="37">
                  <c:v>75900</c:v>
                </c:pt>
                <c:pt idx="38">
                  <c:v>77250</c:v>
                </c:pt>
                <c:pt idx="39">
                  <c:v>77850</c:v>
                </c:pt>
                <c:pt idx="40">
                  <c:v>76550</c:v>
                </c:pt>
                <c:pt idx="41">
                  <c:v>78950</c:v>
                </c:pt>
                <c:pt idx="42">
                  <c:v>79800</c:v>
                </c:pt>
                <c:pt idx="43">
                  <c:v>77900</c:v>
                </c:pt>
              </c:numCache>
            </c:numRef>
          </c:val>
          <c:smooth val="0"/>
          <c:extLst>
            <c:ext xmlns:c16="http://schemas.microsoft.com/office/drawing/2014/chart" uri="{C3380CC4-5D6E-409C-BE32-E72D297353CC}">
              <c16:uniqueId val="{00000003-9792-644A-9960-81D6DC4CC55A}"/>
            </c:ext>
          </c:extLst>
        </c:ser>
        <c:ser>
          <c:idx val="4"/>
          <c:order val="4"/>
          <c:tx>
            <c:strRef>
              <c:f>'T10'!$AG$4</c:f>
              <c:strCache>
                <c:ptCount val="1"/>
                <c:pt idx="0">
                  <c:v>Fifth Quintile</c:v>
                </c:pt>
              </c:strCache>
            </c:strRef>
          </c:tx>
          <c:spPr>
            <a:ln w="28575" cap="rnd">
              <a:solidFill>
                <a:schemeClr val="accent5"/>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'T10'!$AG$5:$AG$48</c:f>
              <c:numCache>
                <c:formatCode>#,##0</c:formatCode>
                <c:ptCount val="44"/>
                <c:pt idx="0">
                  <c:v>98800</c:v>
                </c:pt>
                <c:pt idx="1">
                  <c:v>105600</c:v>
                </c:pt>
                <c:pt idx="2">
                  <c:v>98950</c:v>
                </c:pt>
                <c:pt idx="3">
                  <c:v>102050</c:v>
                </c:pt>
                <c:pt idx="4">
                  <c:v>99500</c:v>
                </c:pt>
                <c:pt idx="5">
                  <c:v>104200</c:v>
                </c:pt>
                <c:pt idx="6">
                  <c:v>101350</c:v>
                </c:pt>
                <c:pt idx="7">
                  <c:v>99200</c:v>
                </c:pt>
                <c:pt idx="8">
                  <c:v>102450</c:v>
                </c:pt>
                <c:pt idx="9">
                  <c:v>103150</c:v>
                </c:pt>
                <c:pt idx="10">
                  <c:v>98800</c:v>
                </c:pt>
                <c:pt idx="11">
                  <c:v>98800</c:v>
                </c:pt>
                <c:pt idx="12">
                  <c:v>100050</c:v>
                </c:pt>
                <c:pt idx="13">
                  <c:v>103800</c:v>
                </c:pt>
                <c:pt idx="14">
                  <c:v>99700</c:v>
                </c:pt>
                <c:pt idx="15">
                  <c:v>99000</c:v>
                </c:pt>
                <c:pt idx="16">
                  <c:v>100550</c:v>
                </c:pt>
                <c:pt idx="17">
                  <c:v>97100</c:v>
                </c:pt>
                <c:pt idx="18">
                  <c:v>96000</c:v>
                </c:pt>
                <c:pt idx="19">
                  <c:v>97650</c:v>
                </c:pt>
                <c:pt idx="20">
                  <c:v>98750</c:v>
                </c:pt>
                <c:pt idx="21">
                  <c:v>97600</c:v>
                </c:pt>
                <c:pt idx="22">
                  <c:v>104900</c:v>
                </c:pt>
                <c:pt idx="23">
                  <c:v>105700</c:v>
                </c:pt>
                <c:pt idx="24">
                  <c:v>111650</c:v>
                </c:pt>
                <c:pt idx="25">
                  <c:v>115950</c:v>
                </c:pt>
                <c:pt idx="26">
                  <c:v>113250</c:v>
                </c:pt>
                <c:pt idx="27">
                  <c:v>114250</c:v>
                </c:pt>
                <c:pt idx="28">
                  <c:v>116300</c:v>
                </c:pt>
                <c:pt idx="29">
                  <c:v>115100</c:v>
                </c:pt>
                <c:pt idx="30">
                  <c:v>117200</c:v>
                </c:pt>
                <c:pt idx="31">
                  <c:v>121550</c:v>
                </c:pt>
                <c:pt idx="32">
                  <c:v>122600</c:v>
                </c:pt>
                <c:pt idx="33">
                  <c:v>128550</c:v>
                </c:pt>
                <c:pt idx="34">
                  <c:v>125900</c:v>
                </c:pt>
                <c:pt idx="35">
                  <c:v>131900</c:v>
                </c:pt>
                <c:pt idx="36">
                  <c:v>131150</c:v>
                </c:pt>
                <c:pt idx="37">
                  <c:v>129750</c:v>
                </c:pt>
                <c:pt idx="38">
                  <c:v>126800</c:v>
                </c:pt>
                <c:pt idx="39">
                  <c:v>126000</c:v>
                </c:pt>
                <c:pt idx="40">
                  <c:v>131400</c:v>
                </c:pt>
                <c:pt idx="41">
                  <c:v>135100</c:v>
                </c:pt>
                <c:pt idx="42">
                  <c:v>139300</c:v>
                </c:pt>
                <c:pt idx="43">
                  <c:v>136900</c:v>
                </c:pt>
              </c:numCache>
            </c:numRef>
          </c:val>
          <c:smooth val="0"/>
          <c:extLst>
            <c:ext xmlns:c16="http://schemas.microsoft.com/office/drawing/2014/chart" uri="{C3380CC4-5D6E-409C-BE32-E72D297353CC}">
              <c16:uniqueId val="{00000004-9792-644A-9960-81D6DC4CC55A}"/>
            </c:ext>
          </c:extLst>
        </c:ser>
        <c:dLbls>
          <c:showLegendKey val="0"/>
          <c:showVal val="0"/>
          <c:showCatName val="0"/>
          <c:showSerName val="0"/>
          <c:showPercent val="0"/>
          <c:showBubbleSize val="0"/>
        </c:dLbls>
        <c:smooth val="0"/>
        <c:axId val="1659588784"/>
        <c:axId val="1659590432"/>
      </c:lineChart>
      <c:catAx>
        <c:axId val="165958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9590432"/>
        <c:crosses val="autoZero"/>
        <c:auto val="1"/>
        <c:lblAlgn val="ctr"/>
        <c:lblOffset val="100"/>
        <c:noMultiLvlLbl val="0"/>
      </c:catAx>
      <c:valAx>
        <c:axId val="1659590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9588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'T10'!$AC$4</c:f>
              <c:strCache>
                <c:ptCount val="1"/>
                <c:pt idx="0">
                  <c:v>First Quintile</c:v>
                </c:pt>
              </c:strCache>
            </c:strRef>
          </c:tx>
          <c:spPr>
            <a:ln w="28575" cap="rnd">
              <a:solidFill>
                <a:schemeClr val="accent1"/>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'T10'!$AC$5:$AC$48</c:f>
              <c:numCache>
                <c:formatCode>#,##0</c:formatCode>
                <c:ptCount val="44"/>
                <c:pt idx="0">
                  <c:v>12300</c:v>
                </c:pt>
                <c:pt idx="1">
                  <c:v>13350</c:v>
                </c:pt>
                <c:pt idx="2">
                  <c:v>13650</c:v>
                </c:pt>
                <c:pt idx="3">
                  <c:v>14950</c:v>
                </c:pt>
                <c:pt idx="4">
                  <c:v>14600</c:v>
                </c:pt>
                <c:pt idx="5">
                  <c:v>14500</c:v>
                </c:pt>
                <c:pt idx="6">
                  <c:v>14050</c:v>
                </c:pt>
                <c:pt idx="7">
                  <c:v>12500</c:v>
                </c:pt>
                <c:pt idx="8">
                  <c:v>14200</c:v>
                </c:pt>
                <c:pt idx="9">
                  <c:v>15050</c:v>
                </c:pt>
                <c:pt idx="10">
                  <c:v>15200</c:v>
                </c:pt>
                <c:pt idx="11">
                  <c:v>14550</c:v>
                </c:pt>
                <c:pt idx="12">
                  <c:v>16100</c:v>
                </c:pt>
                <c:pt idx="13">
                  <c:v>16200</c:v>
                </c:pt>
                <c:pt idx="14">
                  <c:v>15750</c:v>
                </c:pt>
                <c:pt idx="15">
                  <c:v>14950</c:v>
                </c:pt>
                <c:pt idx="16">
                  <c:v>14700</c:v>
                </c:pt>
                <c:pt idx="17">
                  <c:v>14350</c:v>
                </c:pt>
                <c:pt idx="18">
                  <c:v>14400</c:v>
                </c:pt>
                <c:pt idx="19">
                  <c:v>15000</c:v>
                </c:pt>
                <c:pt idx="20">
                  <c:v>14450</c:v>
                </c:pt>
                <c:pt idx="21">
                  <c:v>13450</c:v>
                </c:pt>
                <c:pt idx="22">
                  <c:v>14400</c:v>
                </c:pt>
                <c:pt idx="23">
                  <c:v>14900</c:v>
                </c:pt>
                <c:pt idx="24">
                  <c:v>14500</c:v>
                </c:pt>
                <c:pt idx="25">
                  <c:v>14800</c:v>
                </c:pt>
                <c:pt idx="26">
                  <c:v>14700</c:v>
                </c:pt>
                <c:pt idx="27">
                  <c:v>14600</c:v>
                </c:pt>
                <c:pt idx="28">
                  <c:v>14950</c:v>
                </c:pt>
                <c:pt idx="29">
                  <c:v>14250</c:v>
                </c:pt>
                <c:pt idx="30">
                  <c:v>15000</c:v>
                </c:pt>
                <c:pt idx="31">
                  <c:v>16400</c:v>
                </c:pt>
                <c:pt idx="32">
                  <c:v>14900</c:v>
                </c:pt>
                <c:pt idx="33">
                  <c:v>15350</c:v>
                </c:pt>
                <c:pt idx="34">
                  <c:v>16250</c:v>
                </c:pt>
                <c:pt idx="35">
                  <c:v>16900</c:v>
                </c:pt>
                <c:pt idx="36">
                  <c:v>16050</c:v>
                </c:pt>
                <c:pt idx="37">
                  <c:v>16750</c:v>
                </c:pt>
                <c:pt idx="38">
                  <c:v>17900</c:v>
                </c:pt>
                <c:pt idx="39">
                  <c:v>15650</c:v>
                </c:pt>
                <c:pt idx="40">
                  <c:v>17450</c:v>
                </c:pt>
                <c:pt idx="41">
                  <c:v>18000</c:v>
                </c:pt>
                <c:pt idx="42">
                  <c:v>17750</c:v>
                </c:pt>
                <c:pt idx="43">
                  <c:v>18350</c:v>
                </c:pt>
              </c:numCache>
            </c:numRef>
          </c:val>
          <c:smooth val="0"/>
          <c:extLst>
            <c:ext xmlns:c16="http://schemas.microsoft.com/office/drawing/2014/chart" uri="{C3380CC4-5D6E-409C-BE32-E72D297353CC}">
              <c16:uniqueId val="{00000000-3631-2047-8C0E-89036F488C3B}"/>
            </c:ext>
          </c:extLst>
        </c:ser>
        <c:ser>
          <c:idx val="2"/>
          <c:order val="1"/>
          <c:tx>
            <c:strRef>
              <c:f>'T10'!$AE$4</c:f>
              <c:strCache>
                <c:ptCount val="1"/>
                <c:pt idx="0">
                  <c:v>Third Quintile</c:v>
                </c:pt>
              </c:strCache>
            </c:strRef>
          </c:tx>
          <c:spPr>
            <a:ln w="28575" cap="rnd">
              <a:solidFill>
                <a:schemeClr val="accent3"/>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'T10'!$AE$5:$AE$48</c:f>
              <c:numCache>
                <c:formatCode>#,##0</c:formatCode>
                <c:ptCount val="44"/>
                <c:pt idx="0">
                  <c:v>47400</c:v>
                </c:pt>
                <c:pt idx="1">
                  <c:v>47650</c:v>
                </c:pt>
                <c:pt idx="2">
                  <c:v>49850</c:v>
                </c:pt>
                <c:pt idx="3">
                  <c:v>48700</c:v>
                </c:pt>
                <c:pt idx="4">
                  <c:v>47700</c:v>
                </c:pt>
                <c:pt idx="5">
                  <c:v>45600</c:v>
                </c:pt>
                <c:pt idx="6">
                  <c:v>44400</c:v>
                </c:pt>
                <c:pt idx="7">
                  <c:v>42000</c:v>
                </c:pt>
                <c:pt idx="8">
                  <c:v>45800</c:v>
                </c:pt>
                <c:pt idx="9">
                  <c:v>45900</c:v>
                </c:pt>
                <c:pt idx="10">
                  <c:v>47100</c:v>
                </c:pt>
                <c:pt idx="11">
                  <c:v>44300</c:v>
                </c:pt>
                <c:pt idx="12">
                  <c:v>46250</c:v>
                </c:pt>
                <c:pt idx="13">
                  <c:v>47250</c:v>
                </c:pt>
                <c:pt idx="14">
                  <c:v>45900</c:v>
                </c:pt>
                <c:pt idx="15">
                  <c:v>43700</c:v>
                </c:pt>
                <c:pt idx="16">
                  <c:v>43800</c:v>
                </c:pt>
                <c:pt idx="17">
                  <c:v>44400</c:v>
                </c:pt>
                <c:pt idx="18">
                  <c:v>44000</c:v>
                </c:pt>
                <c:pt idx="19">
                  <c:v>43350</c:v>
                </c:pt>
                <c:pt idx="20">
                  <c:v>42800</c:v>
                </c:pt>
                <c:pt idx="21">
                  <c:v>42750</c:v>
                </c:pt>
                <c:pt idx="22">
                  <c:v>43250</c:v>
                </c:pt>
                <c:pt idx="23">
                  <c:v>45400</c:v>
                </c:pt>
                <c:pt idx="24">
                  <c:v>45650</c:v>
                </c:pt>
                <c:pt idx="25">
                  <c:v>46900</c:v>
                </c:pt>
                <c:pt idx="26">
                  <c:v>45900</c:v>
                </c:pt>
                <c:pt idx="27">
                  <c:v>46000</c:v>
                </c:pt>
                <c:pt idx="28">
                  <c:v>46600</c:v>
                </c:pt>
                <c:pt idx="29">
                  <c:v>47150</c:v>
                </c:pt>
                <c:pt idx="30">
                  <c:v>47700</c:v>
                </c:pt>
                <c:pt idx="31">
                  <c:v>49550</c:v>
                </c:pt>
                <c:pt idx="32">
                  <c:v>49950</c:v>
                </c:pt>
                <c:pt idx="33">
                  <c:v>50700</c:v>
                </c:pt>
                <c:pt idx="34">
                  <c:v>51250</c:v>
                </c:pt>
                <c:pt idx="35">
                  <c:v>51700</c:v>
                </c:pt>
                <c:pt idx="36">
                  <c:v>51800</c:v>
                </c:pt>
                <c:pt idx="37">
                  <c:v>52200</c:v>
                </c:pt>
                <c:pt idx="38">
                  <c:v>53250</c:v>
                </c:pt>
                <c:pt idx="39">
                  <c:v>54400</c:v>
                </c:pt>
                <c:pt idx="40">
                  <c:v>53300</c:v>
                </c:pt>
                <c:pt idx="41">
                  <c:v>55600</c:v>
                </c:pt>
                <c:pt idx="42">
                  <c:v>55850</c:v>
                </c:pt>
                <c:pt idx="43">
                  <c:v>56350</c:v>
                </c:pt>
              </c:numCache>
            </c:numRef>
          </c:val>
          <c:smooth val="0"/>
          <c:extLst>
            <c:ext xmlns:c16="http://schemas.microsoft.com/office/drawing/2014/chart" uri="{C3380CC4-5D6E-409C-BE32-E72D297353CC}">
              <c16:uniqueId val="{00000002-3631-2047-8C0E-89036F488C3B}"/>
            </c:ext>
          </c:extLst>
        </c:ser>
        <c:ser>
          <c:idx val="4"/>
          <c:order val="2"/>
          <c:tx>
            <c:strRef>
              <c:f>'T10'!$AG$4</c:f>
              <c:strCache>
                <c:ptCount val="1"/>
                <c:pt idx="0">
                  <c:v>Fifth Quintile</c:v>
                </c:pt>
              </c:strCache>
            </c:strRef>
          </c:tx>
          <c:spPr>
            <a:ln w="28575" cap="rnd">
              <a:solidFill>
                <a:schemeClr val="accent5"/>
              </a:solidFill>
              <a:round/>
            </a:ln>
            <a:effectLst/>
          </c:spPr>
          <c:marker>
            <c:symbol val="none"/>
          </c:marker>
          <c:cat>
            <c:numRef>
              <c:f>'T10'!$AB$5:$AB$48</c:f>
              <c:numCache>
                <c:formatCode>General</c:formatCode>
                <c:ptCount val="44"/>
                <c:pt idx="0">
                  <c:v>1976</c:v>
                </c:pt>
                <c:pt idx="1">
                  <c:v>1977</c:v>
                </c:pt>
                <c:pt idx="2">
                  <c:v>1978</c:v>
                </c:pt>
                <c:pt idx="3">
                  <c:v>1979</c:v>
                </c:pt>
                <c:pt idx="4">
                  <c:v>1980</c:v>
                </c:pt>
                <c:pt idx="5">
                  <c:v>1981</c:v>
                </c:pt>
                <c:pt idx="6">
                  <c:v>1982</c:v>
                </c:pt>
                <c:pt idx="7">
                  <c:v>1983</c:v>
                </c:pt>
                <c:pt idx="8">
                  <c:v>1984</c:v>
                </c:pt>
                <c:pt idx="9">
                  <c:v>1985</c:v>
                </c:pt>
                <c:pt idx="10">
                  <c:v>1986</c:v>
                </c:pt>
                <c:pt idx="11">
                  <c:v>1987</c:v>
                </c:pt>
                <c:pt idx="12">
                  <c:v>1988</c:v>
                </c:pt>
                <c:pt idx="13">
                  <c:v>1989</c:v>
                </c:pt>
                <c:pt idx="14">
                  <c:v>1990</c:v>
                </c:pt>
                <c:pt idx="15">
                  <c:v>1991</c:v>
                </c:pt>
                <c:pt idx="16">
                  <c:v>1992</c:v>
                </c:pt>
                <c:pt idx="17">
                  <c:v>1993</c:v>
                </c:pt>
                <c:pt idx="18">
                  <c:v>1994</c:v>
                </c:pt>
                <c:pt idx="19">
                  <c:v>1995</c:v>
                </c:pt>
                <c:pt idx="20">
                  <c:v>1996</c:v>
                </c:pt>
                <c:pt idx="21">
                  <c:v>1997</c:v>
                </c:pt>
                <c:pt idx="22">
                  <c:v>1998</c:v>
                </c:pt>
                <c:pt idx="23">
                  <c:v>1999</c:v>
                </c:pt>
                <c:pt idx="24">
                  <c:v>2000</c:v>
                </c:pt>
                <c:pt idx="25">
                  <c:v>2001</c:v>
                </c:pt>
                <c:pt idx="26">
                  <c:v>2002</c:v>
                </c:pt>
                <c:pt idx="27">
                  <c:v>2003</c:v>
                </c:pt>
                <c:pt idx="28">
                  <c:v>2004</c:v>
                </c:pt>
                <c:pt idx="29">
                  <c:v>2005</c:v>
                </c:pt>
                <c:pt idx="30">
                  <c:v>2006</c:v>
                </c:pt>
                <c:pt idx="31">
                  <c:v>2007</c:v>
                </c:pt>
                <c:pt idx="32">
                  <c:v>2008</c:v>
                </c:pt>
                <c:pt idx="33">
                  <c:v>2009</c:v>
                </c:pt>
                <c:pt idx="34">
                  <c:v>2010</c:v>
                </c:pt>
                <c:pt idx="35">
                  <c:v>2011</c:v>
                </c:pt>
                <c:pt idx="36">
                  <c:v>2012</c:v>
                </c:pt>
                <c:pt idx="37">
                  <c:v>2013</c:v>
                </c:pt>
                <c:pt idx="38">
                  <c:v>2014</c:v>
                </c:pt>
                <c:pt idx="39">
                  <c:v>2015</c:v>
                </c:pt>
                <c:pt idx="40">
                  <c:v>2016</c:v>
                </c:pt>
                <c:pt idx="41">
                  <c:v>2017</c:v>
                </c:pt>
                <c:pt idx="42">
                  <c:v>2018</c:v>
                </c:pt>
                <c:pt idx="43">
                  <c:v>2019</c:v>
                </c:pt>
              </c:numCache>
            </c:numRef>
          </c:cat>
          <c:val>
            <c:numRef>
              <c:f>'T10'!$AG$5:$AG$48</c:f>
              <c:numCache>
                <c:formatCode>#,##0</c:formatCode>
                <c:ptCount val="44"/>
                <c:pt idx="0">
                  <c:v>98800</c:v>
                </c:pt>
                <c:pt idx="1">
                  <c:v>105600</c:v>
                </c:pt>
                <c:pt idx="2">
                  <c:v>98950</c:v>
                </c:pt>
                <c:pt idx="3">
                  <c:v>102050</c:v>
                </c:pt>
                <c:pt idx="4">
                  <c:v>99500</c:v>
                </c:pt>
                <c:pt idx="5">
                  <c:v>104200</c:v>
                </c:pt>
                <c:pt idx="6">
                  <c:v>101350</c:v>
                </c:pt>
                <c:pt idx="7">
                  <c:v>99200</c:v>
                </c:pt>
                <c:pt idx="8">
                  <c:v>102450</c:v>
                </c:pt>
                <c:pt idx="9">
                  <c:v>103150</c:v>
                </c:pt>
                <c:pt idx="10">
                  <c:v>98800</c:v>
                </c:pt>
                <c:pt idx="11">
                  <c:v>98800</c:v>
                </c:pt>
                <c:pt idx="12">
                  <c:v>100050</c:v>
                </c:pt>
                <c:pt idx="13">
                  <c:v>103800</c:v>
                </c:pt>
                <c:pt idx="14">
                  <c:v>99700</c:v>
                </c:pt>
                <c:pt idx="15">
                  <c:v>99000</c:v>
                </c:pt>
                <c:pt idx="16">
                  <c:v>100550</c:v>
                </c:pt>
                <c:pt idx="17">
                  <c:v>97100</c:v>
                </c:pt>
                <c:pt idx="18">
                  <c:v>96000</c:v>
                </c:pt>
                <c:pt idx="19">
                  <c:v>97650</c:v>
                </c:pt>
                <c:pt idx="20">
                  <c:v>98750</c:v>
                </c:pt>
                <c:pt idx="21">
                  <c:v>97600</c:v>
                </c:pt>
                <c:pt idx="22">
                  <c:v>104900</c:v>
                </c:pt>
                <c:pt idx="23">
                  <c:v>105700</c:v>
                </c:pt>
                <c:pt idx="24">
                  <c:v>111650</c:v>
                </c:pt>
                <c:pt idx="25">
                  <c:v>115950</c:v>
                </c:pt>
                <c:pt idx="26">
                  <c:v>113250</c:v>
                </c:pt>
                <c:pt idx="27">
                  <c:v>114250</c:v>
                </c:pt>
                <c:pt idx="28">
                  <c:v>116300</c:v>
                </c:pt>
                <c:pt idx="29">
                  <c:v>115100</c:v>
                </c:pt>
                <c:pt idx="30">
                  <c:v>117200</c:v>
                </c:pt>
                <c:pt idx="31">
                  <c:v>121550</c:v>
                </c:pt>
                <c:pt idx="32">
                  <c:v>122600</c:v>
                </c:pt>
                <c:pt idx="33">
                  <c:v>128550</c:v>
                </c:pt>
                <c:pt idx="34">
                  <c:v>125900</c:v>
                </c:pt>
                <c:pt idx="35">
                  <c:v>131900</c:v>
                </c:pt>
                <c:pt idx="36">
                  <c:v>131150</c:v>
                </c:pt>
                <c:pt idx="37">
                  <c:v>129750</c:v>
                </c:pt>
                <c:pt idx="38">
                  <c:v>126800</c:v>
                </c:pt>
                <c:pt idx="39">
                  <c:v>126000</c:v>
                </c:pt>
                <c:pt idx="40">
                  <c:v>131400</c:v>
                </c:pt>
                <c:pt idx="41">
                  <c:v>135100</c:v>
                </c:pt>
                <c:pt idx="42">
                  <c:v>139300</c:v>
                </c:pt>
                <c:pt idx="43">
                  <c:v>136900</c:v>
                </c:pt>
              </c:numCache>
            </c:numRef>
          </c:val>
          <c:smooth val="0"/>
          <c:extLst>
            <c:ext xmlns:c16="http://schemas.microsoft.com/office/drawing/2014/chart" uri="{C3380CC4-5D6E-409C-BE32-E72D297353CC}">
              <c16:uniqueId val="{00000004-3631-2047-8C0E-89036F488C3B}"/>
            </c:ext>
          </c:extLst>
        </c:ser>
        <c:dLbls>
          <c:showLegendKey val="0"/>
          <c:showVal val="0"/>
          <c:showCatName val="0"/>
          <c:showSerName val="0"/>
          <c:showPercent val="0"/>
          <c:showBubbleSize val="0"/>
        </c:dLbls>
        <c:smooth val="0"/>
        <c:axId val="1768623152"/>
        <c:axId val="1875584768"/>
      </c:lineChart>
      <c:catAx>
        <c:axId val="1768623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5584768"/>
        <c:crosses val="autoZero"/>
        <c:auto val="1"/>
        <c:lblAlgn val="ctr"/>
        <c:lblOffset val="100"/>
        <c:noMultiLvlLbl val="0"/>
      </c:catAx>
      <c:valAx>
        <c:axId val="1875584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8623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30</xdr:col>
      <xdr:colOff>51960</xdr:colOff>
      <xdr:row>50</xdr:row>
      <xdr:rowOff>61548</xdr:rowOff>
    </xdr:from>
    <xdr:to>
      <xdr:col>35</xdr:col>
      <xdr:colOff>414468</xdr:colOff>
      <xdr:row>58</xdr:row>
      <xdr:rowOff>0</xdr:rowOff>
    </xdr:to>
    <xdr:graphicFrame macro="">
      <xdr:nvGraphicFramePr>
        <xdr:cNvPr id="2" name="Chart 1">
          <a:extLst>
            <a:ext uri="{FF2B5EF4-FFF2-40B4-BE49-F238E27FC236}">
              <a16:creationId xmlns:a16="http://schemas.microsoft.com/office/drawing/2014/main" id="{9D2CA3CF-95A7-2448-A8BF-182F69DD1F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257970</xdr:colOff>
      <xdr:row>47</xdr:row>
      <xdr:rowOff>196271</xdr:rowOff>
    </xdr:from>
    <xdr:to>
      <xdr:col>44</xdr:col>
      <xdr:colOff>486568</xdr:colOff>
      <xdr:row>58</xdr:row>
      <xdr:rowOff>0</xdr:rowOff>
    </xdr:to>
    <xdr:graphicFrame macro="">
      <xdr:nvGraphicFramePr>
        <xdr:cNvPr id="4" name="Chart 3">
          <a:extLst>
            <a:ext uri="{FF2B5EF4-FFF2-40B4-BE49-F238E27FC236}">
              <a16:creationId xmlns:a16="http://schemas.microsoft.com/office/drawing/2014/main" id="{125D309F-1089-6A44-978B-5926381F1B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s://www150.statcan.gc.ca/t1/tbl1/en/tv.action?pid=1110019001"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7.xml.rels><?xml version="1.0" encoding="UTF-8" standalone="yes"?>
<Relationships xmlns="http://schemas.openxmlformats.org/package/2006/relationships"><Relationship Id="rId1" Type="http://schemas.openxmlformats.org/officeDocument/2006/relationships/hyperlink" Target="https://www150.statcan.gc.ca/n1/pub/75f0002m/75f0002m2020002-eng.htm" TargetMode="External"/></Relationships>
</file>

<file path=xl/worksheets/_rels/sheet59.xml.rels><?xml version="1.0" encoding="UTF-8" standalone="yes"?>
<Relationships xmlns="http://schemas.openxmlformats.org/package/2006/relationships"><Relationship Id="rId1" Type="http://schemas.openxmlformats.org/officeDocument/2006/relationships/hyperlink" Target="https://www150.statcan.gc.ca/n1/pub/75f0002m/75f0002m2020002-e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7FE5A-231A-EF4A-86A3-C146ABECB7EE}">
  <dimension ref="A1:A223"/>
  <sheetViews>
    <sheetView tabSelected="1" zoomScale="125" workbookViewId="0">
      <selection activeCell="D156" sqref="D156"/>
    </sheetView>
  </sheetViews>
  <sheetFormatPr baseColWidth="10" defaultRowHeight="16"/>
  <cols>
    <col min="1" max="16384" width="10.83203125" style="5"/>
  </cols>
  <sheetData>
    <row r="1" spans="1:1">
      <c r="A1" s="102" t="s">
        <v>0</v>
      </c>
    </row>
    <row r="2" spans="1:1">
      <c r="A2" s="272" t="s">
        <v>1</v>
      </c>
    </row>
    <row r="3" spans="1:1">
      <c r="A3" s="272"/>
    </row>
    <row r="4" spans="1:1">
      <c r="A4" s="274"/>
    </row>
    <row r="5" spans="1:1">
      <c r="A5" s="102" t="s">
        <v>742</v>
      </c>
    </row>
    <row r="6" spans="1:1">
      <c r="A6" s="274"/>
    </row>
    <row r="7" spans="1:1">
      <c r="A7" s="5" t="s">
        <v>2</v>
      </c>
    </row>
    <row r="9" spans="1:1">
      <c r="A9" s="5" t="s">
        <v>20</v>
      </c>
    </row>
    <row r="11" spans="1:1">
      <c r="A11" s="6" t="s">
        <v>25</v>
      </c>
    </row>
    <row r="13" spans="1:1">
      <c r="A13" s="6" t="s">
        <v>33</v>
      </c>
    </row>
    <row r="15" spans="1:1">
      <c r="A15" s="5" t="s">
        <v>610</v>
      </c>
    </row>
    <row r="17" spans="1:1">
      <c r="A17" s="5" t="s">
        <v>48</v>
      </c>
    </row>
    <row r="19" spans="1:1">
      <c r="A19" s="5" t="s">
        <v>611</v>
      </c>
    </row>
    <row r="21" spans="1:1">
      <c r="A21" s="5" t="s">
        <v>612</v>
      </c>
    </row>
    <row r="23" spans="1:1">
      <c r="A23" s="5" t="s">
        <v>613</v>
      </c>
    </row>
    <row r="25" spans="1:1">
      <c r="A25" s="5" t="s">
        <v>613</v>
      </c>
    </row>
    <row r="27" spans="1:1">
      <c r="A27" s="5" t="s">
        <v>614</v>
      </c>
    </row>
    <row r="29" spans="1:1">
      <c r="A29" s="5" t="s">
        <v>615</v>
      </c>
    </row>
    <row r="31" spans="1:1">
      <c r="A31" s="5" t="s">
        <v>616</v>
      </c>
    </row>
    <row r="33" spans="1:1">
      <c r="A33" s="5" t="s">
        <v>617</v>
      </c>
    </row>
    <row r="35" spans="1:1">
      <c r="A35" s="5" t="s">
        <v>619</v>
      </c>
    </row>
    <row r="37" spans="1:1">
      <c r="A37" s="5" t="s">
        <v>620</v>
      </c>
    </row>
    <row r="39" spans="1:1">
      <c r="A39" s="5" t="s">
        <v>621</v>
      </c>
    </row>
    <row r="41" spans="1:1">
      <c r="A41" s="5" t="s">
        <v>622</v>
      </c>
    </row>
    <row r="43" spans="1:1">
      <c r="A43" s="5" t="s">
        <v>623</v>
      </c>
    </row>
    <row r="45" spans="1:1">
      <c r="A45" s="5" t="s">
        <v>624</v>
      </c>
    </row>
    <row r="47" spans="1:1">
      <c r="A47" s="5" t="s">
        <v>625</v>
      </c>
    </row>
    <row r="49" spans="1:1">
      <c r="A49" s="5" t="s">
        <v>626</v>
      </c>
    </row>
    <row r="51" spans="1:1">
      <c r="A51" s="5" t="s">
        <v>630</v>
      </c>
    </row>
    <row r="53" spans="1:1">
      <c r="A53" s="5" t="s">
        <v>632</v>
      </c>
    </row>
    <row r="55" spans="1:1">
      <c r="A55" s="5" t="s">
        <v>633</v>
      </c>
    </row>
    <row r="57" spans="1:1">
      <c r="A57" s="5" t="s">
        <v>634</v>
      </c>
    </row>
    <row r="59" spans="1:1">
      <c r="A59" s="5" t="s">
        <v>635</v>
      </c>
    </row>
    <row r="61" spans="1:1">
      <c r="A61" s="5" t="s">
        <v>637</v>
      </c>
    </row>
    <row r="63" spans="1:1">
      <c r="A63" s="5" t="s">
        <v>639</v>
      </c>
    </row>
    <row r="65" spans="1:1">
      <c r="A65" s="5" t="s">
        <v>641</v>
      </c>
    </row>
    <row r="67" spans="1:1">
      <c r="A67" s="5" t="s">
        <v>642</v>
      </c>
    </row>
    <row r="69" spans="1:1">
      <c r="A69" s="5" t="s">
        <v>643</v>
      </c>
    </row>
    <row r="71" spans="1:1">
      <c r="A71" s="5" t="s">
        <v>644</v>
      </c>
    </row>
    <row r="73" spans="1:1">
      <c r="A73" s="5" t="s">
        <v>646</v>
      </c>
    </row>
    <row r="75" spans="1:1">
      <c r="A75" s="5" t="s">
        <v>648</v>
      </c>
    </row>
    <row r="77" spans="1:1">
      <c r="A77" s="5" t="s">
        <v>649</v>
      </c>
    </row>
    <row r="79" spans="1:1">
      <c r="A79" s="5" t="s">
        <v>650</v>
      </c>
    </row>
    <row r="81" spans="1:1">
      <c r="A81" s="5" t="s">
        <v>651</v>
      </c>
    </row>
    <row r="83" spans="1:1">
      <c r="A83" s="5" t="s">
        <v>652</v>
      </c>
    </row>
    <row r="85" spans="1:1">
      <c r="A85" s="5" t="s">
        <v>653</v>
      </c>
    </row>
    <row r="87" spans="1:1">
      <c r="A87" s="5" t="s">
        <v>655</v>
      </c>
    </row>
    <row r="89" spans="1:1">
      <c r="A89" s="5" t="s">
        <v>656</v>
      </c>
    </row>
    <row r="91" spans="1:1">
      <c r="A91" s="5" t="s">
        <v>658</v>
      </c>
    </row>
    <row r="93" spans="1:1">
      <c r="A93" s="6" t="s">
        <v>659</v>
      </c>
    </row>
    <row r="95" spans="1:1">
      <c r="A95" s="5" t="s">
        <v>661</v>
      </c>
    </row>
    <row r="97" spans="1:1">
      <c r="A97" s="324" t="s">
        <v>662</v>
      </c>
    </row>
    <row r="99" spans="1:1">
      <c r="A99" s="324" t="s">
        <v>666</v>
      </c>
    </row>
    <row r="101" spans="1:1">
      <c r="A101" s="6" t="s">
        <v>667</v>
      </c>
    </row>
    <row r="103" spans="1:1">
      <c r="A103" s="6" t="s">
        <v>669</v>
      </c>
    </row>
    <row r="105" spans="1:1">
      <c r="A105" s="6" t="s">
        <v>670</v>
      </c>
    </row>
    <row r="107" spans="1:1">
      <c r="A107" s="5" t="s">
        <v>671</v>
      </c>
    </row>
    <row r="109" spans="1:1">
      <c r="A109" s="5" t="s">
        <v>677</v>
      </c>
    </row>
    <row r="111" spans="1:1">
      <c r="A111" s="5" t="s">
        <v>678</v>
      </c>
    </row>
    <row r="113" spans="1:1">
      <c r="A113" s="5" t="s">
        <v>681</v>
      </c>
    </row>
    <row r="115" spans="1:1">
      <c r="A115" s="5" t="s">
        <v>683</v>
      </c>
    </row>
    <row r="117" spans="1:1">
      <c r="A117" s="31" t="s">
        <v>684</v>
      </c>
    </row>
    <row r="120" spans="1:1">
      <c r="A120" s="19" t="s">
        <v>743</v>
      </c>
    </row>
    <row r="122" spans="1:1">
      <c r="A122" s="5" t="s">
        <v>685</v>
      </c>
    </row>
    <row r="124" spans="1:1">
      <c r="A124" s="5" t="s">
        <v>687</v>
      </c>
    </row>
    <row r="126" spans="1:1">
      <c r="A126" s="5" t="s">
        <v>688</v>
      </c>
    </row>
    <row r="128" spans="1:1">
      <c r="A128" s="5" t="s">
        <v>689</v>
      </c>
    </row>
    <row r="130" spans="1:1">
      <c r="A130" s="5" t="s">
        <v>690</v>
      </c>
    </row>
    <row r="132" spans="1:1">
      <c r="A132" s="5" t="s">
        <v>691</v>
      </c>
    </row>
    <row r="134" spans="1:1">
      <c r="A134" s="5" t="s">
        <v>692</v>
      </c>
    </row>
    <row r="136" spans="1:1">
      <c r="A136" s="5" t="s">
        <v>693</v>
      </c>
    </row>
    <row r="138" spans="1:1">
      <c r="A138" s="5" t="s">
        <v>694</v>
      </c>
    </row>
    <row r="140" spans="1:1">
      <c r="A140" s="5" t="s">
        <v>696</v>
      </c>
    </row>
    <row r="142" spans="1:1">
      <c r="A142" s="5" t="s">
        <v>695</v>
      </c>
    </row>
    <row r="144" spans="1:1">
      <c r="A144" s="6" t="s">
        <v>697</v>
      </c>
    </row>
    <row r="146" spans="1:1">
      <c r="A146" s="5" t="s">
        <v>698</v>
      </c>
    </row>
    <row r="148" spans="1:1">
      <c r="A148" s="6" t="s">
        <v>699</v>
      </c>
    </row>
    <row r="150" spans="1:1">
      <c r="A150" s="22" t="s">
        <v>700</v>
      </c>
    </row>
    <row r="152" spans="1:1">
      <c r="A152" s="22" t="s">
        <v>701</v>
      </c>
    </row>
    <row r="155" spans="1:1">
      <c r="A155" s="19" t="s">
        <v>744</v>
      </c>
    </row>
    <row r="157" spans="1:1">
      <c r="A157" s="5" t="s">
        <v>703</v>
      </c>
    </row>
    <row r="159" spans="1:1">
      <c r="A159" s="6" t="s">
        <v>704</v>
      </c>
    </row>
    <row r="161" spans="1:1">
      <c r="A161" s="5" t="s">
        <v>705</v>
      </c>
    </row>
    <row r="163" spans="1:1">
      <c r="A163" s="5" t="s">
        <v>707</v>
      </c>
    </row>
    <row r="165" spans="1:1">
      <c r="A165" s="5" t="s">
        <v>708</v>
      </c>
    </row>
    <row r="167" spans="1:1">
      <c r="A167" s="5" t="s">
        <v>709</v>
      </c>
    </row>
    <row r="169" spans="1:1">
      <c r="A169" s="5" t="s">
        <v>710</v>
      </c>
    </row>
    <row r="171" spans="1:1">
      <c r="A171" s="5" t="s">
        <v>711</v>
      </c>
    </row>
    <row r="173" spans="1:1">
      <c r="A173" s="5" t="s">
        <v>712</v>
      </c>
    </row>
    <row r="175" spans="1:1">
      <c r="A175" s="5" t="s">
        <v>713</v>
      </c>
    </row>
    <row r="177" spans="1:1">
      <c r="A177" s="5" t="s">
        <v>714</v>
      </c>
    </row>
    <row r="179" spans="1:1">
      <c r="A179" s="5" t="s">
        <v>715</v>
      </c>
    </row>
    <row r="181" spans="1:1">
      <c r="A181" s="5" t="s">
        <v>716</v>
      </c>
    </row>
    <row r="183" spans="1:1">
      <c r="A183" s="5" t="s">
        <v>717</v>
      </c>
    </row>
    <row r="185" spans="1:1">
      <c r="A185" s="6" t="s">
        <v>718</v>
      </c>
    </row>
    <row r="187" spans="1:1">
      <c r="A187" s="5" t="s">
        <v>719</v>
      </c>
    </row>
    <row r="189" spans="1:1">
      <c r="A189" s="5" t="s">
        <v>720</v>
      </c>
    </row>
    <row r="191" spans="1:1">
      <c r="A191" s="5" t="s">
        <v>721</v>
      </c>
    </row>
    <row r="193" spans="1:1">
      <c r="A193" s="5" t="s">
        <v>722</v>
      </c>
    </row>
    <row r="195" spans="1:1">
      <c r="A195" s="5" t="s">
        <v>723</v>
      </c>
    </row>
    <row r="197" spans="1:1">
      <c r="A197" s="6" t="s">
        <v>724</v>
      </c>
    </row>
    <row r="199" spans="1:1">
      <c r="A199" s="5" t="s">
        <v>725</v>
      </c>
    </row>
    <row r="201" spans="1:1">
      <c r="A201" s="5" t="s">
        <v>726</v>
      </c>
    </row>
    <row r="203" spans="1:1">
      <c r="A203" s="5" t="s">
        <v>727</v>
      </c>
    </row>
    <row r="205" spans="1:1">
      <c r="A205" s="5" t="s">
        <v>728</v>
      </c>
    </row>
    <row r="207" spans="1:1">
      <c r="A207" s="5" t="s">
        <v>730</v>
      </c>
    </row>
    <row r="209" spans="1:1">
      <c r="A209" s="5" t="s">
        <v>732</v>
      </c>
    </row>
    <row r="211" spans="1:1">
      <c r="A211" s="5" t="s">
        <v>733</v>
      </c>
    </row>
    <row r="213" spans="1:1">
      <c r="A213" s="5" t="s">
        <v>734</v>
      </c>
    </row>
    <row r="215" spans="1:1">
      <c r="A215" s="5" t="s">
        <v>735</v>
      </c>
    </row>
    <row r="217" spans="1:1">
      <c r="A217" s="5" t="s">
        <v>737</v>
      </c>
    </row>
    <row r="219" spans="1:1">
      <c r="A219" s="5" t="s">
        <v>738</v>
      </c>
    </row>
    <row r="221" spans="1:1">
      <c r="A221" s="5" t="s">
        <v>739</v>
      </c>
    </row>
    <row r="223" spans="1:1">
      <c r="A223" s="5" t="s">
        <v>741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4729D-7C5B-7448-961B-875A817BEF7A}">
  <sheetPr codeName="Sheet10"/>
  <dimension ref="A1:D55"/>
  <sheetViews>
    <sheetView zoomScale="108" workbookViewId="0"/>
  </sheetViews>
  <sheetFormatPr baseColWidth="10" defaultColWidth="11" defaultRowHeight="16"/>
  <cols>
    <col min="1" max="1" width="16.6640625" style="5" customWidth="1"/>
    <col min="2" max="2" width="21.33203125" style="5" customWidth="1"/>
    <col min="3" max="3" width="21.6640625" style="5" customWidth="1"/>
    <col min="4" max="4" width="21.83203125" style="5" customWidth="1"/>
    <col min="5" max="5" width="17" style="5" customWidth="1"/>
    <col min="6" max="16384" width="11" style="5"/>
  </cols>
  <sheetData>
    <row r="1" spans="1:4">
      <c r="A1" s="19" t="s">
        <v>613</v>
      </c>
    </row>
    <row r="3" spans="1:4">
      <c r="B3" s="135" t="s">
        <v>61</v>
      </c>
      <c r="C3" s="135" t="s">
        <v>62</v>
      </c>
      <c r="D3" s="330" t="s">
        <v>79</v>
      </c>
    </row>
    <row r="4" spans="1:4" ht="47" customHeight="1">
      <c r="B4" s="137" t="s">
        <v>64</v>
      </c>
      <c r="C4" s="137" t="s">
        <v>64</v>
      </c>
      <c r="D4" s="330"/>
    </row>
    <row r="5" spans="1:4">
      <c r="A5" s="5">
        <v>1976</v>
      </c>
      <c r="B5" s="135">
        <v>635</v>
      </c>
      <c r="C5" s="135">
        <v>169</v>
      </c>
      <c r="D5" s="143">
        <f>B5/C5</f>
        <v>3.7573964497041419</v>
      </c>
    </row>
    <row r="6" spans="1:4">
      <c r="A6" s="5">
        <v>1977</v>
      </c>
      <c r="B6" s="135">
        <v>638</v>
      </c>
      <c r="C6" s="135">
        <v>173</v>
      </c>
      <c r="D6" s="143">
        <f t="shared" ref="D6:D48" si="0">B6/C6</f>
        <v>3.6878612716763004</v>
      </c>
    </row>
    <row r="7" spans="1:4">
      <c r="A7" s="5">
        <v>1978</v>
      </c>
      <c r="B7" s="135">
        <v>639</v>
      </c>
      <c r="C7" s="135">
        <v>175</v>
      </c>
      <c r="D7" s="143">
        <f t="shared" si="0"/>
        <v>3.6514285714285712</v>
      </c>
    </row>
    <row r="8" spans="1:4">
      <c r="A8" s="5">
        <v>1979</v>
      </c>
      <c r="B8" s="135">
        <v>640</v>
      </c>
      <c r="C8" s="135">
        <v>177</v>
      </c>
      <c r="D8" s="143">
        <f t="shared" si="0"/>
        <v>3.615819209039548</v>
      </c>
    </row>
    <row r="9" spans="1:4">
      <c r="A9" s="5">
        <v>1980</v>
      </c>
      <c r="B9" s="135">
        <v>639</v>
      </c>
      <c r="C9" s="135">
        <v>180</v>
      </c>
      <c r="D9" s="143">
        <f t="shared" si="0"/>
        <v>3.55</v>
      </c>
    </row>
    <row r="10" spans="1:4">
      <c r="A10" s="5">
        <v>1981</v>
      </c>
      <c r="B10" s="135">
        <v>637</v>
      </c>
      <c r="C10" s="135">
        <v>182</v>
      </c>
      <c r="D10" s="143">
        <f t="shared" si="0"/>
        <v>3.5</v>
      </c>
    </row>
    <row r="11" spans="1:4">
      <c r="A11" s="5">
        <v>1982</v>
      </c>
      <c r="B11" s="135">
        <v>641</v>
      </c>
      <c r="C11" s="135">
        <v>186</v>
      </c>
      <c r="D11" s="143">
        <f t="shared" si="0"/>
        <v>3.446236559139785</v>
      </c>
    </row>
    <row r="12" spans="1:4">
      <c r="A12" s="5">
        <v>1983</v>
      </c>
      <c r="B12" s="135">
        <v>646</v>
      </c>
      <c r="C12" s="135">
        <v>190</v>
      </c>
      <c r="D12" s="143">
        <f t="shared" si="0"/>
        <v>3.4</v>
      </c>
    </row>
    <row r="13" spans="1:4">
      <c r="A13" s="5">
        <v>1984</v>
      </c>
      <c r="B13" s="135">
        <v>649</v>
      </c>
      <c r="C13" s="135">
        <v>191</v>
      </c>
      <c r="D13" s="143">
        <f t="shared" si="0"/>
        <v>3.3979057591623039</v>
      </c>
    </row>
    <row r="14" spans="1:4">
      <c r="A14" s="5">
        <v>1985</v>
      </c>
      <c r="B14" s="135">
        <v>649</v>
      </c>
      <c r="C14" s="135">
        <v>193</v>
      </c>
      <c r="D14" s="143">
        <f t="shared" si="0"/>
        <v>3.3626943005181347</v>
      </c>
    </row>
    <row r="15" spans="1:4">
      <c r="A15" s="5">
        <v>1986</v>
      </c>
      <c r="B15" s="135">
        <v>648</v>
      </c>
      <c r="C15" s="135">
        <v>195</v>
      </c>
      <c r="D15" s="143">
        <f t="shared" si="0"/>
        <v>3.3230769230769233</v>
      </c>
    </row>
    <row r="16" spans="1:4">
      <c r="A16" s="5">
        <v>1987</v>
      </c>
      <c r="B16" s="135">
        <v>648</v>
      </c>
      <c r="C16" s="135">
        <v>196</v>
      </c>
      <c r="D16" s="143">
        <f t="shared" si="0"/>
        <v>3.306122448979592</v>
      </c>
    </row>
    <row r="17" spans="1:4">
      <c r="A17" s="5">
        <v>1988</v>
      </c>
      <c r="B17" s="135">
        <v>649</v>
      </c>
      <c r="C17" s="135">
        <v>200</v>
      </c>
      <c r="D17" s="143">
        <f t="shared" si="0"/>
        <v>3.2450000000000001</v>
      </c>
    </row>
    <row r="18" spans="1:4">
      <c r="A18" s="5">
        <v>1989</v>
      </c>
      <c r="B18" s="135">
        <v>651</v>
      </c>
      <c r="C18" s="135">
        <v>201</v>
      </c>
      <c r="D18" s="143">
        <f t="shared" si="0"/>
        <v>3.2388059701492535</v>
      </c>
    </row>
    <row r="19" spans="1:4">
      <c r="A19" s="5">
        <v>1990</v>
      </c>
      <c r="B19" s="135">
        <v>654</v>
      </c>
      <c r="C19" s="135">
        <v>206</v>
      </c>
      <c r="D19" s="143">
        <f t="shared" si="0"/>
        <v>3.174757281553398</v>
      </c>
    </row>
    <row r="20" spans="1:4">
      <c r="A20" s="5">
        <v>1991</v>
      </c>
      <c r="B20" s="135">
        <v>655</v>
      </c>
      <c r="C20" s="135">
        <v>207</v>
      </c>
      <c r="D20" s="143">
        <f t="shared" si="0"/>
        <v>3.1642512077294684</v>
      </c>
    </row>
    <row r="21" spans="1:4">
      <c r="A21" s="5">
        <v>1992</v>
      </c>
      <c r="B21" s="135">
        <v>655</v>
      </c>
      <c r="C21" s="135">
        <v>207</v>
      </c>
      <c r="D21" s="143">
        <f t="shared" si="0"/>
        <v>3.1642512077294684</v>
      </c>
    </row>
    <row r="22" spans="1:4">
      <c r="A22" s="5">
        <v>1993</v>
      </c>
      <c r="B22" s="135">
        <v>656</v>
      </c>
      <c r="C22" s="135">
        <v>209</v>
      </c>
      <c r="D22" s="143">
        <f t="shared" si="0"/>
        <v>3.138755980861244</v>
      </c>
    </row>
    <row r="23" spans="1:4">
      <c r="A23" s="5">
        <v>1994</v>
      </c>
      <c r="B23" s="135">
        <v>656</v>
      </c>
      <c r="C23" s="135">
        <v>211</v>
      </c>
      <c r="D23" s="143">
        <f t="shared" si="0"/>
        <v>3.109004739336493</v>
      </c>
    </row>
    <row r="24" spans="1:4">
      <c r="A24" s="5">
        <v>1995</v>
      </c>
      <c r="B24" s="135">
        <v>655</v>
      </c>
      <c r="C24" s="135">
        <v>213</v>
      </c>
      <c r="D24" s="143">
        <f t="shared" si="0"/>
        <v>3.075117370892019</v>
      </c>
    </row>
    <row r="25" spans="1:4">
      <c r="A25" s="5">
        <v>1996</v>
      </c>
      <c r="B25" s="135">
        <v>653</v>
      </c>
      <c r="C25" s="135">
        <v>213</v>
      </c>
      <c r="D25" s="143">
        <f t="shared" si="0"/>
        <v>3.0657276995305165</v>
      </c>
    </row>
    <row r="26" spans="1:4">
      <c r="A26" s="5">
        <v>1997</v>
      </c>
      <c r="B26" s="135">
        <v>650</v>
      </c>
      <c r="C26" s="135">
        <v>214</v>
      </c>
      <c r="D26" s="143">
        <f t="shared" si="0"/>
        <v>3.0373831775700935</v>
      </c>
    </row>
    <row r="27" spans="1:4">
      <c r="A27" s="5">
        <v>1998</v>
      </c>
      <c r="B27" s="135">
        <v>647</v>
      </c>
      <c r="C27" s="135">
        <v>215</v>
      </c>
      <c r="D27" s="143">
        <f t="shared" si="0"/>
        <v>3.0093023255813955</v>
      </c>
    </row>
    <row r="28" spans="1:4">
      <c r="A28" s="5">
        <v>1999</v>
      </c>
      <c r="B28" s="135">
        <v>646</v>
      </c>
      <c r="C28" s="135">
        <v>216</v>
      </c>
      <c r="D28" s="143">
        <f t="shared" si="0"/>
        <v>2.9907407407407409</v>
      </c>
    </row>
    <row r="29" spans="1:4">
      <c r="A29" s="5">
        <v>2000</v>
      </c>
      <c r="B29" s="135">
        <v>643</v>
      </c>
      <c r="C29" s="135">
        <v>215</v>
      </c>
      <c r="D29" s="143">
        <f t="shared" si="0"/>
        <v>2.9906976744186045</v>
      </c>
    </row>
    <row r="30" spans="1:4">
      <c r="A30" s="5">
        <v>2001</v>
      </c>
      <c r="B30" s="135">
        <v>640</v>
      </c>
      <c r="C30" s="135">
        <v>216</v>
      </c>
      <c r="D30" s="143">
        <f t="shared" si="0"/>
        <v>2.9629629629629628</v>
      </c>
    </row>
    <row r="31" spans="1:4">
      <c r="A31" s="5">
        <v>2002</v>
      </c>
      <c r="B31" s="135">
        <v>640</v>
      </c>
      <c r="C31" s="135">
        <v>218</v>
      </c>
      <c r="D31" s="143">
        <f t="shared" si="0"/>
        <v>2.9357798165137616</v>
      </c>
    </row>
    <row r="32" spans="1:4">
      <c r="A32" s="5">
        <v>2003</v>
      </c>
      <c r="B32" s="135">
        <v>639</v>
      </c>
      <c r="C32" s="135">
        <v>218</v>
      </c>
      <c r="D32" s="143">
        <f t="shared" si="0"/>
        <v>2.9311926605504586</v>
      </c>
    </row>
    <row r="33" spans="1:4">
      <c r="A33" s="5">
        <v>2004</v>
      </c>
      <c r="B33" s="135">
        <v>638</v>
      </c>
      <c r="C33" s="135">
        <v>219</v>
      </c>
      <c r="D33" s="143">
        <f t="shared" si="0"/>
        <v>2.91324200913242</v>
      </c>
    </row>
    <row r="34" spans="1:4">
      <c r="A34" s="5">
        <v>2005</v>
      </c>
      <c r="B34" s="135">
        <v>636</v>
      </c>
      <c r="C34" s="135">
        <v>223</v>
      </c>
      <c r="D34" s="143">
        <f t="shared" si="0"/>
        <v>2.8520179372197307</v>
      </c>
    </row>
    <row r="35" spans="1:4">
      <c r="A35" s="5">
        <v>2006</v>
      </c>
      <c r="B35" s="135">
        <v>621</v>
      </c>
      <c r="C35" s="135">
        <v>215</v>
      </c>
      <c r="D35" s="143">
        <f t="shared" si="0"/>
        <v>2.8883720930232557</v>
      </c>
    </row>
    <row r="36" spans="1:4">
      <c r="A36" s="5">
        <v>2007</v>
      </c>
      <c r="B36" s="135">
        <v>620</v>
      </c>
      <c r="C36" s="135">
        <v>216</v>
      </c>
      <c r="D36" s="143">
        <f t="shared" si="0"/>
        <v>2.8703703703703702</v>
      </c>
    </row>
    <row r="37" spans="1:4">
      <c r="A37" s="5">
        <v>2008</v>
      </c>
      <c r="B37" s="135">
        <v>621</v>
      </c>
      <c r="C37" s="135">
        <v>219</v>
      </c>
      <c r="D37" s="143">
        <f t="shared" si="0"/>
        <v>2.8356164383561642</v>
      </c>
    </row>
    <row r="38" spans="1:4">
      <c r="A38" s="5">
        <v>2009</v>
      </c>
      <c r="B38" s="135">
        <v>623</v>
      </c>
      <c r="C38" s="135">
        <v>219</v>
      </c>
      <c r="D38" s="143">
        <f t="shared" si="0"/>
        <v>2.8447488584474887</v>
      </c>
    </row>
    <row r="39" spans="1:4">
      <c r="A39" s="5">
        <v>2010</v>
      </c>
      <c r="B39" s="135">
        <v>624</v>
      </c>
      <c r="C39" s="135">
        <v>219</v>
      </c>
      <c r="D39" s="143">
        <f t="shared" si="0"/>
        <v>2.8493150684931505</v>
      </c>
    </row>
    <row r="40" spans="1:4">
      <c r="A40" s="5">
        <v>2011</v>
      </c>
      <c r="B40" s="135">
        <v>625</v>
      </c>
      <c r="C40" s="135">
        <v>220</v>
      </c>
      <c r="D40" s="143">
        <f t="shared" si="0"/>
        <v>2.8409090909090908</v>
      </c>
    </row>
    <row r="41" spans="1:4">
      <c r="A41" s="5">
        <v>2012</v>
      </c>
      <c r="B41" s="135">
        <v>623</v>
      </c>
      <c r="C41" s="135">
        <v>220</v>
      </c>
      <c r="D41" s="143">
        <f t="shared" si="0"/>
        <v>2.831818181818182</v>
      </c>
    </row>
    <row r="42" spans="1:4">
      <c r="A42" s="5">
        <v>2013</v>
      </c>
      <c r="B42" s="135">
        <v>620</v>
      </c>
      <c r="C42" s="135">
        <v>221</v>
      </c>
      <c r="D42" s="143">
        <f t="shared" si="0"/>
        <v>2.8054298642533935</v>
      </c>
    </row>
    <row r="43" spans="1:4">
      <c r="A43" s="5">
        <v>2014</v>
      </c>
      <c r="B43" s="135">
        <v>618</v>
      </c>
      <c r="C43" s="135">
        <v>222</v>
      </c>
      <c r="D43" s="143">
        <f t="shared" si="0"/>
        <v>2.7837837837837838</v>
      </c>
    </row>
    <row r="44" spans="1:4">
      <c r="A44" s="5">
        <v>2015</v>
      </c>
      <c r="B44" s="135">
        <v>616</v>
      </c>
      <c r="C44" s="135">
        <v>223</v>
      </c>
      <c r="D44" s="143">
        <f t="shared" si="0"/>
        <v>2.7623318385650224</v>
      </c>
    </row>
    <row r="45" spans="1:4">
      <c r="A45" s="5">
        <v>2016</v>
      </c>
      <c r="B45" s="135">
        <v>618</v>
      </c>
      <c r="C45" s="135">
        <v>224</v>
      </c>
      <c r="D45" s="143">
        <f t="shared" si="0"/>
        <v>2.7589285714285716</v>
      </c>
    </row>
    <row r="46" spans="1:4">
      <c r="A46" s="5">
        <v>2017</v>
      </c>
      <c r="B46" s="135">
        <v>620</v>
      </c>
      <c r="C46" s="135">
        <v>224</v>
      </c>
      <c r="D46" s="143">
        <f t="shared" si="0"/>
        <v>2.7678571428571428</v>
      </c>
    </row>
    <row r="47" spans="1:4">
      <c r="A47" s="5">
        <v>2018</v>
      </c>
      <c r="B47" s="135">
        <v>622</v>
      </c>
      <c r="C47" s="135">
        <v>225</v>
      </c>
      <c r="D47" s="143">
        <f t="shared" si="0"/>
        <v>2.7644444444444445</v>
      </c>
    </row>
    <row r="48" spans="1:4">
      <c r="A48" s="5">
        <v>2019</v>
      </c>
      <c r="B48" s="135">
        <v>627</v>
      </c>
      <c r="C48" s="135">
        <v>227</v>
      </c>
      <c r="D48" s="143">
        <f t="shared" si="0"/>
        <v>2.7621145374449338</v>
      </c>
    </row>
    <row r="49" spans="1:4" ht="13" customHeight="1"/>
    <row r="50" spans="1:4">
      <c r="A50" s="5" t="s">
        <v>9</v>
      </c>
      <c r="B50" s="28">
        <f t="shared" ref="B50:C50" si="1">100*((B48/B5)^(1/43)-1)</f>
        <v>-2.9480440314588741E-2</v>
      </c>
      <c r="C50" s="28">
        <f t="shared" si="1"/>
        <v>0.68852533119783121</v>
      </c>
      <c r="D50" s="28">
        <f t="shared" ref="D50" si="2">100*((D48/D5)^(1/43)-1)</f>
        <v>-0.71309592543009614</v>
      </c>
    </row>
    <row r="51" spans="1:4">
      <c r="A51" s="5" t="s">
        <v>10</v>
      </c>
      <c r="B51" s="28">
        <f t="shared" ref="B51:C51" si="3">100*((B29/B5)^(1/24)-1)</f>
        <v>5.217913084532011E-2</v>
      </c>
      <c r="C51" s="28">
        <f t="shared" si="3"/>
        <v>1.0081281872815984</v>
      </c>
      <c r="D51" s="28">
        <f t="shared" ref="D51" si="4">100*((D29/D5)^(1/24)-1)</f>
        <v>-0.94640805011635409</v>
      </c>
    </row>
    <row r="52" spans="1:4">
      <c r="A52" s="5" t="s">
        <v>11</v>
      </c>
      <c r="B52" s="28">
        <f t="shared" ref="B52:C52" si="5">100*((B48/B29)^(1/19)-1)</f>
        <v>-0.13253411483689082</v>
      </c>
      <c r="C52" s="28">
        <f t="shared" si="5"/>
        <v>0.2862615235907251</v>
      </c>
      <c r="D52" s="28">
        <f t="shared" ref="D52" si="6">100*((D48/D29)^(1/19)-1)</f>
        <v>-0.41760020970480483</v>
      </c>
    </row>
    <row r="55" spans="1:4">
      <c r="A55" s="5" t="s">
        <v>607</v>
      </c>
    </row>
  </sheetData>
  <mergeCells count="1">
    <mergeCell ref="D3:D4"/>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5992-4CDA-FC4C-91E5-F49E89D8D767}">
  <sheetPr codeName="Sheet106"/>
  <dimension ref="A1:G22"/>
  <sheetViews>
    <sheetView workbookViewId="0">
      <selection activeCell="A22" sqref="A22"/>
    </sheetView>
  </sheetViews>
  <sheetFormatPr baseColWidth="10" defaultColWidth="10.83203125" defaultRowHeight="16"/>
  <cols>
    <col min="1" max="1" width="21.1640625" style="5" customWidth="1"/>
    <col min="2" max="16384" width="10.83203125" style="5"/>
  </cols>
  <sheetData>
    <row r="1" spans="1:7">
      <c r="A1" s="19" t="s">
        <v>733</v>
      </c>
    </row>
    <row r="4" spans="1:7" ht="34">
      <c r="B4" s="137" t="s">
        <v>490</v>
      </c>
      <c r="C4" s="137" t="s">
        <v>491</v>
      </c>
      <c r="D4" s="137" t="s">
        <v>104</v>
      </c>
      <c r="E4" s="137" t="s">
        <v>105</v>
      </c>
      <c r="F4" s="137" t="s">
        <v>106</v>
      </c>
      <c r="G4" s="137" t="s">
        <v>492</v>
      </c>
    </row>
    <row r="5" spans="1:7">
      <c r="A5" s="5">
        <v>1999</v>
      </c>
      <c r="B5" s="8">
        <v>77.531025473546705</v>
      </c>
      <c r="C5" s="8">
        <v>53.333333333333336</v>
      </c>
      <c r="D5" s="8">
        <v>96.15384615384616</v>
      </c>
      <c r="E5" s="8">
        <v>77.531025473546705</v>
      </c>
      <c r="F5" s="8">
        <v>68.018275271273552</v>
      </c>
      <c r="G5" s="8">
        <v>72.861495195687837</v>
      </c>
    </row>
    <row r="6" spans="1:7">
      <c r="A6" s="5">
        <v>2005</v>
      </c>
      <c r="B6" s="8">
        <v>69.830328738069994</v>
      </c>
      <c r="C6" s="8" t="s">
        <v>87</v>
      </c>
      <c r="D6" s="8">
        <v>51.265822784810126</v>
      </c>
      <c r="E6" s="8">
        <v>69.830328738069994</v>
      </c>
      <c r="F6" s="8">
        <v>47.810934436941842</v>
      </c>
      <c r="G6" s="8">
        <v>64.198319941563184</v>
      </c>
    </row>
    <row r="7" spans="1:7">
      <c r="A7" s="5">
        <v>2012</v>
      </c>
      <c r="B7" s="8">
        <v>71.806167400881051</v>
      </c>
      <c r="C7" s="8">
        <v>125</v>
      </c>
      <c r="D7" s="8">
        <v>108.33333333333333</v>
      </c>
      <c r="E7" s="8">
        <v>71.806167400881051</v>
      </c>
      <c r="F7" s="8">
        <v>71.988795518207283</v>
      </c>
      <c r="G7" s="8">
        <v>69.964297306069454</v>
      </c>
    </row>
    <row r="8" spans="1:7">
      <c r="A8" s="5">
        <v>2016</v>
      </c>
      <c r="B8" s="8">
        <v>53.695999999999998</v>
      </c>
      <c r="C8" s="8">
        <v>100</v>
      </c>
      <c r="D8" s="8">
        <v>75.100401606425706</v>
      </c>
      <c r="E8" s="8">
        <v>53.695999999999998</v>
      </c>
      <c r="F8" s="8">
        <v>60.321605277625068</v>
      </c>
      <c r="G8" s="8">
        <v>71.162098758368145</v>
      </c>
    </row>
    <row r="9" spans="1:7">
      <c r="A9" s="5">
        <v>2019</v>
      </c>
      <c r="B9" s="8">
        <v>56.077599272506824</v>
      </c>
      <c r="C9" s="8">
        <v>70</v>
      </c>
      <c r="D9" s="8">
        <v>68.181818181818187</v>
      </c>
      <c r="E9" s="8">
        <v>56.077599272506824</v>
      </c>
      <c r="F9" s="8">
        <v>52.519685039370081</v>
      </c>
      <c r="G9" s="8">
        <v>59.661689349275441</v>
      </c>
    </row>
    <row r="12" spans="1:7">
      <c r="A12" s="5" t="s">
        <v>418</v>
      </c>
      <c r="B12" s="143">
        <f>B9-B5</f>
        <v>-21.453426201039882</v>
      </c>
      <c r="C12" s="143">
        <f t="shared" ref="C12:G12" si="0">C9-C5</f>
        <v>16.666666666666664</v>
      </c>
      <c r="D12" s="143">
        <f t="shared" si="0"/>
        <v>-27.972027972027973</v>
      </c>
      <c r="E12" s="143">
        <f t="shared" si="0"/>
        <v>-21.453426201039882</v>
      </c>
      <c r="F12" s="143">
        <f t="shared" si="0"/>
        <v>-15.498590231903471</v>
      </c>
      <c r="G12" s="143">
        <f t="shared" si="0"/>
        <v>-13.199805846412396</v>
      </c>
    </row>
    <row r="13" spans="1:7">
      <c r="A13" s="5" t="s">
        <v>449</v>
      </c>
      <c r="B13" s="143">
        <f>B6-B5</f>
        <v>-7.7006967354767113</v>
      </c>
      <c r="C13" s="8" t="s">
        <v>87</v>
      </c>
      <c r="D13" s="143">
        <f t="shared" ref="D13:G13" si="1">D6-D5</f>
        <v>-44.888023369036034</v>
      </c>
      <c r="E13" s="143">
        <f t="shared" si="1"/>
        <v>-7.7006967354767113</v>
      </c>
      <c r="F13" s="143">
        <f t="shared" si="1"/>
        <v>-20.20734083433171</v>
      </c>
      <c r="G13" s="143">
        <f t="shared" si="1"/>
        <v>-8.6631752541246527</v>
      </c>
    </row>
    <row r="14" spans="1:7">
      <c r="A14" s="5" t="s">
        <v>450</v>
      </c>
      <c r="B14" s="143">
        <f>B7-B6</f>
        <v>1.9758386628110571</v>
      </c>
      <c r="C14" s="8" t="s">
        <v>87</v>
      </c>
      <c r="D14" s="143">
        <f t="shared" ref="D14:G14" si="2">D7-D6</f>
        <v>57.067510548523202</v>
      </c>
      <c r="E14" s="143">
        <f t="shared" si="2"/>
        <v>1.9758386628110571</v>
      </c>
      <c r="F14" s="143">
        <f t="shared" si="2"/>
        <v>24.177861081265441</v>
      </c>
      <c r="G14" s="143">
        <f t="shared" si="2"/>
        <v>5.76597736450627</v>
      </c>
    </row>
    <row r="15" spans="1:7">
      <c r="A15" s="5" t="s">
        <v>451</v>
      </c>
      <c r="B15" s="143">
        <f>B9-B7</f>
        <v>-15.728568128374228</v>
      </c>
      <c r="C15" s="143">
        <f t="shared" ref="C15:G15" si="3">C9-C7</f>
        <v>-55</v>
      </c>
      <c r="D15" s="143">
        <f t="shared" si="3"/>
        <v>-40.151515151515142</v>
      </c>
      <c r="E15" s="143">
        <f t="shared" si="3"/>
        <v>-15.728568128374228</v>
      </c>
      <c r="F15" s="143">
        <f t="shared" si="3"/>
        <v>-19.469110478837202</v>
      </c>
      <c r="G15" s="143">
        <f t="shared" si="3"/>
        <v>-10.302607956794013</v>
      </c>
    </row>
    <row r="18" spans="1:2">
      <c r="A18" s="5" t="s">
        <v>153</v>
      </c>
    </row>
    <row r="19" spans="1:2">
      <c r="A19" s="5">
        <v>1</v>
      </c>
      <c r="B19" s="5" t="s">
        <v>493</v>
      </c>
    </row>
    <row r="22" spans="1:2">
      <c r="A22" s="5" t="s">
        <v>731</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52415-53EE-D64D-A6EB-608F74A4BCFF}">
  <sheetPr codeName="Sheet107"/>
  <dimension ref="A1:H45"/>
  <sheetViews>
    <sheetView zoomScale="86" zoomScaleNormal="86" workbookViewId="0"/>
  </sheetViews>
  <sheetFormatPr baseColWidth="10" defaultColWidth="10.83203125" defaultRowHeight="16"/>
  <cols>
    <col min="1" max="1" width="16.1640625" style="5" customWidth="1"/>
    <col min="2" max="16384" width="10.83203125" style="5"/>
  </cols>
  <sheetData>
    <row r="1" spans="1:7">
      <c r="A1" s="19" t="s">
        <v>734</v>
      </c>
    </row>
    <row r="2" spans="1:7">
      <c r="A2" s="5" t="s">
        <v>455</v>
      </c>
    </row>
    <row r="5" spans="1:7" ht="34">
      <c r="B5" s="137" t="s">
        <v>490</v>
      </c>
      <c r="C5" s="137" t="s">
        <v>491</v>
      </c>
      <c r="D5" s="137" t="s">
        <v>104</v>
      </c>
      <c r="E5" s="137" t="s">
        <v>105</v>
      </c>
      <c r="F5" s="137" t="s">
        <v>106</v>
      </c>
      <c r="G5" s="137" t="s">
        <v>492</v>
      </c>
    </row>
    <row r="6" spans="1:7">
      <c r="A6" s="5">
        <v>1999</v>
      </c>
      <c r="B6" s="20">
        <v>77546</v>
      </c>
      <c r="C6" s="20">
        <v>3694</v>
      </c>
      <c r="D6" s="20">
        <v>8178</v>
      </c>
      <c r="E6" s="20">
        <v>14579</v>
      </c>
      <c r="F6" s="20">
        <v>18920</v>
      </c>
      <c r="G6" s="20">
        <v>32175</v>
      </c>
    </row>
    <row r="7" spans="1:7">
      <c r="A7" s="5">
        <v>2005</v>
      </c>
      <c r="B7" s="20">
        <v>81090</v>
      </c>
      <c r="C7" s="135" t="s">
        <v>87</v>
      </c>
      <c r="D7" s="20">
        <v>10021</v>
      </c>
      <c r="E7" s="135" t="s">
        <v>87</v>
      </c>
      <c r="F7" s="20">
        <v>15857</v>
      </c>
      <c r="G7" s="20">
        <v>44401</v>
      </c>
    </row>
    <row r="8" spans="1:7">
      <c r="A8" s="5">
        <v>2012</v>
      </c>
      <c r="B8" s="20">
        <v>137731</v>
      </c>
      <c r="C8" s="20">
        <v>4053</v>
      </c>
      <c r="D8" s="20">
        <v>13189</v>
      </c>
      <c r="E8" s="20">
        <v>24641</v>
      </c>
      <c r="F8" s="20">
        <v>28760</v>
      </c>
      <c r="G8" s="20">
        <v>67088</v>
      </c>
    </row>
    <row r="9" spans="1:7">
      <c r="A9" s="5">
        <v>2016</v>
      </c>
      <c r="B9" s="20">
        <v>144860</v>
      </c>
      <c r="C9" s="20">
        <v>6405</v>
      </c>
      <c r="D9" s="20">
        <v>14425</v>
      </c>
      <c r="E9" s="20">
        <v>21767</v>
      </c>
      <c r="F9" s="20">
        <v>26992</v>
      </c>
      <c r="G9" s="20">
        <v>75272</v>
      </c>
    </row>
    <row r="10" spans="1:7">
      <c r="A10" s="5">
        <v>2019</v>
      </c>
      <c r="B10" s="20">
        <v>132783</v>
      </c>
      <c r="C10" s="20">
        <v>6651</v>
      </c>
      <c r="D10" s="20">
        <v>11561</v>
      </c>
      <c r="E10" s="20">
        <v>21742</v>
      </c>
      <c r="F10" s="20">
        <v>30624</v>
      </c>
      <c r="G10" s="20">
        <v>62205</v>
      </c>
    </row>
    <row r="13" spans="1:7">
      <c r="A13" s="5" t="s">
        <v>479</v>
      </c>
      <c r="B13" s="143">
        <f>100*((B10/B6)^(1/20)-1)</f>
        <v>2.7257105127912906</v>
      </c>
      <c r="C13" s="143">
        <f t="shared" ref="C13:G13" si="0">100*((C10/C6)^(1/20)-1)</f>
        <v>2.9839399095764607</v>
      </c>
      <c r="D13" s="143">
        <f t="shared" si="0"/>
        <v>1.7460164436784886</v>
      </c>
      <c r="E13" s="143">
        <f t="shared" si="0"/>
        <v>2.0184187355403393</v>
      </c>
      <c r="F13" s="143">
        <f t="shared" si="0"/>
        <v>2.4370443658134677</v>
      </c>
      <c r="G13" s="143">
        <f t="shared" si="0"/>
        <v>3.3511555942834059</v>
      </c>
    </row>
    <row r="14" spans="1:7">
      <c r="A14" s="5" t="s">
        <v>461</v>
      </c>
      <c r="B14" s="143">
        <f>100*((B7/B6)^(1/6)-1)</f>
        <v>0.74758624795576711</v>
      </c>
      <c r="C14" s="135" t="s">
        <v>87</v>
      </c>
      <c r="D14" s="143">
        <f t="shared" ref="D14:G14" si="1">100*((D7/D6)^(1/6)-1)</f>
        <v>3.4452752000657894</v>
      </c>
      <c r="E14" s="135" t="s">
        <v>87</v>
      </c>
      <c r="F14" s="143">
        <f t="shared" si="1"/>
        <v>-2.9005770356113736</v>
      </c>
      <c r="G14" s="143">
        <f t="shared" si="1"/>
        <v>5.5145536149494134</v>
      </c>
    </row>
    <row r="15" spans="1:7">
      <c r="A15" s="5" t="s">
        <v>462</v>
      </c>
      <c r="B15" s="143">
        <f>100*((B8/B7)^(1/7)-1)</f>
        <v>7.8614720075418143</v>
      </c>
      <c r="C15" s="135" t="s">
        <v>87</v>
      </c>
      <c r="D15" s="143">
        <f t="shared" ref="D15:G15" si="2">100*((D8/D7)^(1/7)-1)</f>
        <v>4.0023068301888731</v>
      </c>
      <c r="E15" s="135" t="s">
        <v>87</v>
      </c>
      <c r="F15" s="143">
        <f t="shared" si="2"/>
        <v>8.8775313009039856</v>
      </c>
      <c r="G15" s="143">
        <f t="shared" si="2"/>
        <v>6.0736325962803761</v>
      </c>
    </row>
    <row r="16" spans="1:7">
      <c r="A16" s="5" t="s">
        <v>463</v>
      </c>
      <c r="B16" s="143">
        <f>100*((B10/B8)^(1/7)-1)</f>
        <v>-0.52129779788067099</v>
      </c>
      <c r="C16" s="143">
        <f t="shared" ref="C16:G16" si="3">100*((C10/C8)^(1/7)-1)</f>
        <v>7.3322044293296251</v>
      </c>
      <c r="D16" s="143">
        <f t="shared" si="3"/>
        <v>-1.8644820477139334</v>
      </c>
      <c r="E16" s="143">
        <f t="shared" si="3"/>
        <v>-1.7721921936222906</v>
      </c>
      <c r="F16" s="143">
        <f t="shared" si="3"/>
        <v>0.9011573702484732</v>
      </c>
      <c r="G16" s="143">
        <f t="shared" si="3"/>
        <v>-1.0737622574351846</v>
      </c>
    </row>
    <row r="19" spans="1:8">
      <c r="A19" s="5" t="s">
        <v>153</v>
      </c>
    </row>
    <row r="20" spans="1:8">
      <c r="A20" s="5">
        <v>1</v>
      </c>
      <c r="B20" s="5" t="s">
        <v>493</v>
      </c>
    </row>
    <row r="23" spans="1:8">
      <c r="A23" s="5" t="s">
        <v>588</v>
      </c>
    </row>
    <row r="25" spans="1:8">
      <c r="A25" s="5" t="s">
        <v>587</v>
      </c>
    </row>
    <row r="27" spans="1:8" ht="34">
      <c r="B27" s="206" t="s">
        <v>490</v>
      </c>
      <c r="C27" s="206" t="s">
        <v>491</v>
      </c>
      <c r="D27" s="206" t="s">
        <v>104</v>
      </c>
      <c r="E27" s="206" t="s">
        <v>105</v>
      </c>
      <c r="F27" s="206" t="s">
        <v>106</v>
      </c>
      <c r="G27" s="206" t="s">
        <v>492</v>
      </c>
    </row>
    <row r="28" spans="1:8">
      <c r="A28" s="5">
        <v>1999</v>
      </c>
      <c r="B28" s="8">
        <f>100*B6/$B6</f>
        <v>100</v>
      </c>
      <c r="C28" s="8">
        <f t="shared" ref="C28:F28" si="4">100*C6/$B6</f>
        <v>4.7636241714595204</v>
      </c>
      <c r="D28" s="8">
        <f t="shared" si="4"/>
        <v>10.545998504113687</v>
      </c>
      <c r="E28" s="8">
        <f t="shared" si="4"/>
        <v>18.800453924122458</v>
      </c>
      <c r="F28" s="8">
        <f t="shared" si="4"/>
        <v>24.398421582028732</v>
      </c>
      <c r="G28" s="8">
        <f>100*G6/$B6</f>
        <v>41.491501818275601</v>
      </c>
      <c r="H28" s="115">
        <f>SUM(C28:G28)</f>
        <v>100</v>
      </c>
    </row>
    <row r="29" spans="1:8">
      <c r="A29" s="5">
        <v>2005</v>
      </c>
      <c r="B29" s="8">
        <f t="shared" ref="B29:G29" si="5">100*B7/$B7</f>
        <v>100</v>
      </c>
      <c r="C29" s="205" t="s">
        <v>87</v>
      </c>
      <c r="D29" s="8">
        <f t="shared" si="5"/>
        <v>12.357873967196941</v>
      </c>
      <c r="E29" s="205" t="s">
        <v>87</v>
      </c>
      <c r="F29" s="8">
        <f t="shared" si="5"/>
        <v>19.554815636946604</v>
      </c>
      <c r="G29" s="8">
        <f t="shared" si="5"/>
        <v>54.755210260204713</v>
      </c>
      <c r="H29" s="115">
        <f t="shared" ref="H29:H32" si="6">SUM(C29:G29)</f>
        <v>86.667899864348257</v>
      </c>
    </row>
    <row r="30" spans="1:8">
      <c r="A30" s="5">
        <v>2012</v>
      </c>
      <c r="B30" s="8">
        <f t="shared" ref="B30:G30" si="7">100*B8/$B8</f>
        <v>100</v>
      </c>
      <c r="C30" s="8">
        <f t="shared" si="7"/>
        <v>2.9426926400011615</v>
      </c>
      <c r="D30" s="8">
        <f t="shared" si="7"/>
        <v>9.5759124670553462</v>
      </c>
      <c r="E30" s="8">
        <f t="shared" si="7"/>
        <v>17.890670945538769</v>
      </c>
      <c r="F30" s="8">
        <f t="shared" si="7"/>
        <v>20.881283080787913</v>
      </c>
      <c r="G30" s="8">
        <f t="shared" si="7"/>
        <v>48.709440866616809</v>
      </c>
      <c r="H30" s="115">
        <f t="shared" si="6"/>
        <v>100</v>
      </c>
    </row>
    <row r="31" spans="1:8">
      <c r="A31" s="5">
        <v>2016</v>
      </c>
      <c r="B31" s="8">
        <f t="shared" ref="B31:G31" si="8">100*B9/$B9</f>
        <v>100</v>
      </c>
      <c r="C31" s="8">
        <f t="shared" si="8"/>
        <v>4.4215104238575176</v>
      </c>
      <c r="D31" s="8">
        <f t="shared" si="8"/>
        <v>9.9578903769156426</v>
      </c>
      <c r="E31" s="8">
        <f t="shared" si="8"/>
        <v>15.026232224216486</v>
      </c>
      <c r="F31" s="8">
        <f t="shared" si="8"/>
        <v>18.633163053983157</v>
      </c>
      <c r="G31" s="8">
        <f t="shared" si="8"/>
        <v>51.961894242717108</v>
      </c>
      <c r="H31" s="115">
        <f t="shared" si="6"/>
        <v>100.00069032168992</v>
      </c>
    </row>
    <row r="32" spans="1:8">
      <c r="A32" s="5">
        <v>2019</v>
      </c>
      <c r="B32" s="8">
        <f t="shared" ref="B32:G32" si="9">100*B10/$B10</f>
        <v>100</v>
      </c>
      <c r="C32" s="8">
        <f>100*C10/$B10</f>
        <v>5.0089243351935115</v>
      </c>
      <c r="D32" s="8">
        <f t="shared" si="9"/>
        <v>8.7066868499732646</v>
      </c>
      <c r="E32" s="8">
        <f>100*E10/$B10</f>
        <v>16.374084031841427</v>
      </c>
      <c r="F32" s="8">
        <f t="shared" si="9"/>
        <v>23.06319333047152</v>
      </c>
      <c r="G32" s="8">
        <f t="shared" si="9"/>
        <v>46.847111452520281</v>
      </c>
      <c r="H32" s="115">
        <f t="shared" si="6"/>
        <v>100</v>
      </c>
    </row>
    <row r="36" spans="2:6">
      <c r="B36" s="115"/>
      <c r="C36" s="115"/>
      <c r="D36" s="115"/>
      <c r="E36" s="115"/>
      <c r="F36" s="115"/>
    </row>
    <row r="37" spans="2:6">
      <c r="B37" s="115"/>
      <c r="C37" s="115"/>
      <c r="D37" s="115"/>
      <c r="E37" s="115"/>
      <c r="F37" s="115"/>
    </row>
    <row r="41" spans="2:6">
      <c r="B41" s="115"/>
      <c r="C41" s="115"/>
    </row>
    <row r="42" spans="2:6">
      <c r="B42" s="115"/>
      <c r="C42" s="115"/>
    </row>
    <row r="43" spans="2:6">
      <c r="B43" s="115"/>
      <c r="C43" s="115"/>
    </row>
    <row r="44" spans="2:6">
      <c r="B44" s="115"/>
      <c r="C44" s="115"/>
    </row>
    <row r="45" spans="2:6">
      <c r="B45" s="115"/>
      <c r="C45" s="115"/>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B07B1-D5B8-FF4F-9CDA-45B8A9C236AB}">
  <sheetPr codeName="Sheet108"/>
  <dimension ref="A1:G22"/>
  <sheetViews>
    <sheetView workbookViewId="0">
      <selection activeCell="K28" sqref="K28"/>
    </sheetView>
  </sheetViews>
  <sheetFormatPr baseColWidth="10" defaultColWidth="10.83203125" defaultRowHeight="16"/>
  <cols>
    <col min="1" max="1" width="22.33203125" style="5" customWidth="1"/>
    <col min="2" max="16384" width="10.83203125" style="5"/>
  </cols>
  <sheetData>
    <row r="1" spans="1:7">
      <c r="A1" s="19" t="s">
        <v>735</v>
      </c>
    </row>
    <row r="4" spans="1:7" ht="34">
      <c r="B4" s="137" t="s">
        <v>490</v>
      </c>
      <c r="C4" s="137" t="s">
        <v>491</v>
      </c>
      <c r="D4" s="137" t="s">
        <v>104</v>
      </c>
      <c r="E4" s="137" t="s">
        <v>105</v>
      </c>
      <c r="F4" s="137" t="s">
        <v>106</v>
      </c>
      <c r="G4" s="137" t="s">
        <v>492</v>
      </c>
    </row>
    <row r="5" spans="1:7">
      <c r="A5" s="5">
        <v>1999</v>
      </c>
      <c r="B5" s="143">
        <v>1.7779153411859112</v>
      </c>
      <c r="C5" s="143">
        <v>1.5544979022273842</v>
      </c>
      <c r="D5" s="143">
        <v>1.6942656421241922</v>
      </c>
      <c r="E5" s="143">
        <v>2.0652686662520736</v>
      </c>
      <c r="F5" s="143">
        <v>1.9025094622695771</v>
      </c>
      <c r="G5" s="143">
        <v>1.6577224362105316</v>
      </c>
    </row>
    <row r="6" spans="1:7">
      <c r="A6" s="5">
        <v>2005</v>
      </c>
      <c r="B6" s="143">
        <v>1.3120603408606235</v>
      </c>
      <c r="C6" s="135" t="s">
        <v>87</v>
      </c>
      <c r="D6" s="143">
        <v>1.8424173339094143</v>
      </c>
      <c r="E6" s="135" t="s">
        <v>87</v>
      </c>
      <c r="F6" s="143">
        <v>1.1132390996361983</v>
      </c>
      <c r="G6" s="143">
        <v>1.6253397945236068</v>
      </c>
    </row>
    <row r="7" spans="1:7">
      <c r="A7" s="5">
        <v>2012</v>
      </c>
      <c r="B7" s="143">
        <v>1.5265707615219621</v>
      </c>
      <c r="C7" s="143">
        <v>1.1080552031844626</v>
      </c>
      <c r="D7" s="143">
        <v>1.5245389624951162</v>
      </c>
      <c r="E7" s="143">
        <v>1.7133877321132431</v>
      </c>
      <c r="F7" s="143">
        <v>1.3423219743147903</v>
      </c>
      <c r="G7" s="143">
        <v>1.5932905482446089</v>
      </c>
    </row>
    <row r="8" spans="1:7">
      <c r="A8" s="5">
        <v>2016</v>
      </c>
      <c r="B8" s="143">
        <v>1.3313638290339882</v>
      </c>
      <c r="C8" s="143">
        <v>1.3029706918052195</v>
      </c>
      <c r="D8" s="143">
        <v>1.291495735601949</v>
      </c>
      <c r="E8" s="143">
        <v>1.2732739407907436</v>
      </c>
      <c r="F8" s="143">
        <v>1.0962700742882185</v>
      </c>
      <c r="G8" s="143">
        <v>1.4758104487818957</v>
      </c>
    </row>
    <row r="9" spans="1:7">
      <c r="A9" s="5">
        <v>2019</v>
      </c>
      <c r="B9" s="143">
        <v>1.1301872597459426</v>
      </c>
      <c r="C9" s="143">
        <v>0.95103547186430692</v>
      </c>
      <c r="D9" s="143">
        <v>0.94826575063588181</v>
      </c>
      <c r="E9" s="143">
        <v>1.1472763663284782</v>
      </c>
      <c r="F9" s="143">
        <v>1.1209690467004549</v>
      </c>
      <c r="G9" s="143">
        <v>1.1955085547905386</v>
      </c>
    </row>
    <row r="12" spans="1:7">
      <c r="A12" s="5" t="s">
        <v>418</v>
      </c>
      <c r="B12" s="143">
        <f>B9-B5</f>
        <v>-0.64772808143996863</v>
      </c>
      <c r="C12" s="143">
        <f t="shared" ref="C12:G12" si="0">C9-C5</f>
        <v>-0.60346243036307723</v>
      </c>
      <c r="D12" s="143">
        <f t="shared" si="0"/>
        <v>-0.74599989148831036</v>
      </c>
      <c r="E12" s="143">
        <f t="shared" si="0"/>
        <v>-0.91799229992359543</v>
      </c>
      <c r="F12" s="143">
        <f t="shared" si="0"/>
        <v>-0.78154041556912213</v>
      </c>
      <c r="G12" s="143">
        <f t="shared" si="0"/>
        <v>-0.46221388141999298</v>
      </c>
    </row>
    <row r="13" spans="1:7">
      <c r="A13" s="5" t="s">
        <v>449</v>
      </c>
      <c r="B13" s="143">
        <f>B6-B5</f>
        <v>-0.4658550003252877</v>
      </c>
      <c r="C13" s="8" t="s">
        <v>87</v>
      </c>
      <c r="D13" s="143">
        <f t="shared" ref="D13:G14" si="1">D6-D5</f>
        <v>0.14815169178522214</v>
      </c>
      <c r="E13" s="8" t="s">
        <v>87</v>
      </c>
      <c r="F13" s="143">
        <f t="shared" si="1"/>
        <v>-0.7892703626333788</v>
      </c>
      <c r="G13" s="143">
        <f t="shared" si="1"/>
        <v>-3.238264168692484E-2</v>
      </c>
    </row>
    <row r="14" spans="1:7">
      <c r="A14" s="5" t="s">
        <v>450</v>
      </c>
      <c r="B14" s="143">
        <f>B7-B6</f>
        <v>0.21451042066133863</v>
      </c>
      <c r="C14" s="8" t="s">
        <v>87</v>
      </c>
      <c r="D14" s="143">
        <f t="shared" si="1"/>
        <v>-0.31787837141429809</v>
      </c>
      <c r="E14" s="8" t="s">
        <v>87</v>
      </c>
      <c r="F14" s="143">
        <f t="shared" si="1"/>
        <v>0.22908287467859201</v>
      </c>
      <c r="G14" s="143">
        <f t="shared" si="1"/>
        <v>-3.2049246278997856E-2</v>
      </c>
    </row>
    <row r="15" spans="1:7">
      <c r="A15" s="5" t="s">
        <v>451</v>
      </c>
      <c r="B15" s="143">
        <f>B9-B7</f>
        <v>-0.39638350177601955</v>
      </c>
      <c r="C15" s="143">
        <f t="shared" ref="C15:G15" si="2">C9-C7</f>
        <v>-0.15701973132015568</v>
      </c>
      <c r="D15" s="143">
        <f t="shared" si="2"/>
        <v>-0.57627321185923441</v>
      </c>
      <c r="E15" s="143">
        <f t="shared" si="2"/>
        <v>-0.56611136578476495</v>
      </c>
      <c r="F15" s="143">
        <f t="shared" si="2"/>
        <v>-0.22135292761433534</v>
      </c>
      <c r="G15" s="143">
        <f t="shared" si="2"/>
        <v>-0.39778199345407028</v>
      </c>
    </row>
    <row r="18" spans="1:2">
      <c r="A18" s="5" t="s">
        <v>153</v>
      </c>
    </row>
    <row r="19" spans="1:2">
      <c r="A19" s="5">
        <v>1</v>
      </c>
      <c r="B19" s="5" t="s">
        <v>493</v>
      </c>
    </row>
    <row r="22" spans="1:2">
      <c r="A22" s="5" t="s">
        <v>736</v>
      </c>
    </row>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0B803-CD76-1D49-A620-CC229EC09300}">
  <sheetPr codeName="Sheet109"/>
  <dimension ref="A1:S41"/>
  <sheetViews>
    <sheetView workbookViewId="0"/>
  </sheetViews>
  <sheetFormatPr baseColWidth="10" defaultColWidth="11" defaultRowHeight="16"/>
  <cols>
    <col min="1" max="1" width="17" customWidth="1"/>
    <col min="10" max="10" width="8.6640625" customWidth="1"/>
    <col min="11" max="11" width="8.6640625" style="2" customWidth="1"/>
    <col min="12" max="12" width="8.6640625" customWidth="1"/>
    <col min="13" max="13" width="8.6640625" style="2" customWidth="1"/>
    <col min="14" max="14" width="8.6640625" customWidth="1"/>
    <col min="15" max="15" width="8.6640625" style="2" customWidth="1"/>
    <col min="16" max="16" width="8.6640625" customWidth="1"/>
    <col min="17" max="17" width="8.6640625" style="2" customWidth="1"/>
    <col min="18" max="18" width="8.6640625" customWidth="1"/>
  </cols>
  <sheetData>
    <row r="1" spans="1:19">
      <c r="A1" s="19" t="s">
        <v>737</v>
      </c>
      <c r="B1" s="2"/>
      <c r="C1" s="2"/>
      <c r="D1" s="2"/>
      <c r="E1" s="2"/>
      <c r="F1" s="2"/>
      <c r="G1" s="2"/>
      <c r="H1" s="2"/>
      <c r="I1" s="2"/>
      <c r="J1" s="2"/>
      <c r="L1" s="2"/>
    </row>
    <row r="2" spans="1:19">
      <c r="A2" s="5" t="s">
        <v>3</v>
      </c>
      <c r="B2" s="2"/>
      <c r="C2" s="2"/>
      <c r="D2" s="2"/>
      <c r="E2" s="2"/>
      <c r="F2" s="2"/>
      <c r="G2" s="2"/>
      <c r="H2" s="2"/>
      <c r="I2" s="2"/>
      <c r="J2" s="2"/>
      <c r="L2" s="2"/>
    </row>
    <row r="3" spans="1:19">
      <c r="A3" s="5"/>
      <c r="B3" s="2"/>
      <c r="C3" s="2"/>
      <c r="D3" s="2"/>
      <c r="E3" s="2"/>
      <c r="F3" s="2"/>
      <c r="G3" s="2"/>
      <c r="H3" s="2"/>
      <c r="I3" s="2"/>
      <c r="J3" s="2"/>
      <c r="L3" s="2"/>
    </row>
    <row r="4" spans="1:19">
      <c r="A4" s="5"/>
      <c r="B4" s="2"/>
      <c r="C4" s="2"/>
      <c r="D4" s="2"/>
      <c r="E4" s="2"/>
      <c r="F4" s="2"/>
      <c r="G4" s="2"/>
      <c r="H4" s="2"/>
      <c r="I4" s="2"/>
      <c r="J4" s="2"/>
      <c r="L4" s="2"/>
    </row>
    <row r="5" spans="1:19" ht="34">
      <c r="A5" s="5"/>
      <c r="B5" s="137" t="s">
        <v>490</v>
      </c>
      <c r="C5" s="137" t="s">
        <v>103</v>
      </c>
      <c r="D5" s="137" t="s">
        <v>104</v>
      </c>
      <c r="E5" s="137" t="s">
        <v>105</v>
      </c>
      <c r="F5" s="137" t="s">
        <v>106</v>
      </c>
      <c r="G5" s="137" t="s">
        <v>107</v>
      </c>
      <c r="H5" s="2"/>
      <c r="I5" s="367"/>
      <c r="J5" s="366"/>
      <c r="K5" s="366"/>
      <c r="L5" s="366"/>
      <c r="M5" s="366"/>
      <c r="N5" s="366"/>
      <c r="O5" s="366"/>
      <c r="P5" s="366"/>
      <c r="Q5" s="366"/>
      <c r="R5" s="366"/>
      <c r="S5" s="366"/>
    </row>
    <row r="6" spans="1:19">
      <c r="A6" s="5">
        <v>1999</v>
      </c>
      <c r="B6" s="20">
        <v>258100</v>
      </c>
      <c r="C6" s="20">
        <v>61500</v>
      </c>
      <c r="D6" s="20">
        <v>136100</v>
      </c>
      <c r="E6" s="20">
        <v>242700</v>
      </c>
      <c r="F6" s="20">
        <v>314900</v>
      </c>
      <c r="G6" s="20">
        <v>535500</v>
      </c>
      <c r="H6" s="2"/>
      <c r="I6" s="367"/>
      <c r="J6" s="213"/>
      <c r="K6" s="213"/>
      <c r="L6" s="213"/>
      <c r="M6" s="213"/>
      <c r="N6" s="213"/>
      <c r="O6" s="213"/>
      <c r="P6" s="213"/>
      <c r="Q6" s="213"/>
      <c r="R6" s="213"/>
      <c r="S6" s="213"/>
    </row>
    <row r="7" spans="1:19">
      <c r="A7" s="5">
        <v>2005</v>
      </c>
      <c r="B7" s="20">
        <v>250400</v>
      </c>
      <c r="C7" s="135" t="s">
        <v>87</v>
      </c>
      <c r="D7" s="20">
        <v>154700</v>
      </c>
      <c r="E7" s="135" t="s">
        <v>87</v>
      </c>
      <c r="F7" s="20">
        <v>244900</v>
      </c>
      <c r="G7" s="20">
        <v>685600</v>
      </c>
      <c r="H7" s="2"/>
      <c r="I7" s="244"/>
      <c r="J7" s="173"/>
      <c r="K7" s="173"/>
      <c r="L7" s="173"/>
      <c r="M7" s="173"/>
      <c r="N7" s="173"/>
      <c r="O7" s="173"/>
      <c r="P7" s="173"/>
      <c r="Q7" s="173"/>
      <c r="R7" s="173"/>
      <c r="S7" s="173"/>
    </row>
    <row r="8" spans="1:19">
      <c r="A8" s="5">
        <v>2012</v>
      </c>
      <c r="B8" s="20">
        <v>417100</v>
      </c>
      <c r="C8" s="20">
        <v>61400</v>
      </c>
      <c r="D8" s="20">
        <v>199700</v>
      </c>
      <c r="E8" s="20">
        <v>373100</v>
      </c>
      <c r="F8" s="20">
        <v>435500</v>
      </c>
      <c r="G8" s="20">
        <v>1015800</v>
      </c>
      <c r="H8" s="2"/>
      <c r="I8" s="244"/>
      <c r="J8" s="173"/>
      <c r="K8" s="173"/>
      <c r="L8" s="173"/>
      <c r="M8" s="173"/>
      <c r="N8" s="173"/>
      <c r="O8" s="173"/>
      <c r="P8" s="173"/>
      <c r="Q8" s="173"/>
      <c r="R8" s="173"/>
      <c r="S8" s="173"/>
    </row>
    <row r="9" spans="1:19">
      <c r="A9" s="5">
        <v>2016</v>
      </c>
      <c r="B9" s="20">
        <v>429800</v>
      </c>
      <c r="C9" s="20">
        <v>95000</v>
      </c>
      <c r="D9" s="20">
        <v>214000</v>
      </c>
      <c r="E9" s="20">
        <v>322900</v>
      </c>
      <c r="F9" s="20">
        <v>400400</v>
      </c>
      <c r="G9" s="20">
        <v>1116600</v>
      </c>
      <c r="H9" s="2"/>
      <c r="I9" s="2"/>
      <c r="J9" s="2"/>
      <c r="L9" s="2"/>
    </row>
    <row r="10" spans="1:19">
      <c r="A10" s="5">
        <v>2019</v>
      </c>
      <c r="B10" s="20">
        <v>378800</v>
      </c>
      <c r="C10" s="20">
        <v>94900</v>
      </c>
      <c r="D10" s="20">
        <v>164900</v>
      </c>
      <c r="E10" s="20">
        <v>310200</v>
      </c>
      <c r="F10" s="20">
        <v>436900</v>
      </c>
      <c r="G10" s="20">
        <v>887400</v>
      </c>
      <c r="H10" s="2"/>
      <c r="I10" s="20"/>
      <c r="J10" s="2"/>
      <c r="L10" s="2"/>
    </row>
    <row r="11" spans="1:19">
      <c r="B11">
        <f>B10/B6</f>
        <v>1.4676481983727236</v>
      </c>
      <c r="C11" s="2">
        <f t="shared" ref="C11:G11" si="0">C10/C6</f>
        <v>1.5430894308943088</v>
      </c>
      <c r="D11" s="2">
        <f t="shared" si="0"/>
        <v>1.2116091109478324</v>
      </c>
      <c r="E11" s="2">
        <f t="shared" si="0"/>
        <v>1.2781211372064276</v>
      </c>
      <c r="F11" s="2">
        <f t="shared" si="0"/>
        <v>1.3874245792315021</v>
      </c>
      <c r="G11" s="2">
        <f t="shared" si="0"/>
        <v>1.6571428571428573</v>
      </c>
    </row>
    <row r="13" spans="1:19">
      <c r="A13" s="5" t="s">
        <v>479</v>
      </c>
      <c r="B13" s="143">
        <f>100*((B10/B6)^(1/20)-1)</f>
        <v>1.9368239870156456</v>
      </c>
      <c r="C13" s="143">
        <f t="shared" ref="C13:G13" si="1">100*((C10/C6)^(1/20)-1)</f>
        <v>2.1926249784481433</v>
      </c>
      <c r="D13" s="143">
        <f t="shared" si="1"/>
        <v>0.96436693656376526</v>
      </c>
      <c r="E13" s="143">
        <f t="shared" si="1"/>
        <v>1.2345136707697657</v>
      </c>
      <c r="F13" s="143">
        <f t="shared" si="1"/>
        <v>1.6507223585976005</v>
      </c>
      <c r="G13" s="143">
        <f t="shared" si="1"/>
        <v>2.5576350212137333</v>
      </c>
      <c r="H13" s="5"/>
      <c r="I13" s="5"/>
      <c r="J13" s="5"/>
      <c r="K13" s="5"/>
      <c r="L13" s="5"/>
      <c r="M13" s="5"/>
    </row>
    <row r="14" spans="1:19">
      <c r="A14" s="5" t="s">
        <v>461</v>
      </c>
      <c r="B14" s="143">
        <f>100*((B7/B6)^(1/6)-1)</f>
        <v>-0.50351919567320769</v>
      </c>
      <c r="C14" s="135" t="s">
        <v>87</v>
      </c>
      <c r="D14" s="143">
        <f t="shared" ref="D14:G14" si="2">100*((D7/D6)^(1/6)-1)</f>
        <v>2.157917549293864</v>
      </c>
      <c r="E14" s="135" t="s">
        <v>87</v>
      </c>
      <c r="F14" s="143">
        <f t="shared" si="2"/>
        <v>-4.1035153028174403</v>
      </c>
      <c r="G14" s="143">
        <f t="shared" si="2"/>
        <v>4.204199646959772</v>
      </c>
      <c r="H14" s="5"/>
      <c r="I14" s="5"/>
      <c r="J14" s="5"/>
      <c r="K14" s="5"/>
      <c r="L14" s="5"/>
      <c r="M14" s="5"/>
    </row>
    <row r="15" spans="1:19">
      <c r="A15" s="5" t="s">
        <v>462</v>
      </c>
      <c r="B15" s="143">
        <f>100*((B8/B7)^(1/7)-1)</f>
        <v>7.5617800419015113</v>
      </c>
      <c r="C15" s="135" t="s">
        <v>87</v>
      </c>
      <c r="D15" s="143">
        <f t="shared" ref="D15:G15" si="3">100*((D8/D7)^(1/7)-1)</f>
        <v>3.7148891016491659</v>
      </c>
      <c r="E15" s="135" t="s">
        <v>87</v>
      </c>
      <c r="F15" s="143">
        <f t="shared" si="3"/>
        <v>8.5710895914165022</v>
      </c>
      <c r="G15" s="143">
        <f t="shared" si="3"/>
        <v>5.776954086621533</v>
      </c>
      <c r="H15" s="5"/>
      <c r="I15" s="5"/>
      <c r="J15" s="206"/>
      <c r="K15" s="206"/>
      <c r="L15" s="206"/>
      <c r="M15" s="206"/>
      <c r="N15" s="206"/>
      <c r="O15" s="206"/>
    </row>
    <row r="16" spans="1:19">
      <c r="A16" s="5" t="s">
        <v>463</v>
      </c>
      <c r="B16" s="143">
        <f>100*((B10/B8)^(1/7)-1)</f>
        <v>-1.3665431373673154</v>
      </c>
      <c r="C16" s="143">
        <f t="shared" ref="C16:G16" si="4">100*((C10/C8)^(1/7)-1)</f>
        <v>6.4177267137152993</v>
      </c>
      <c r="D16" s="143">
        <f t="shared" si="4"/>
        <v>-2.6983129880130075</v>
      </c>
      <c r="E16" s="143">
        <f t="shared" si="4"/>
        <v>-2.6030806034626819</v>
      </c>
      <c r="F16" s="143">
        <f t="shared" si="4"/>
        <v>4.5861079619458067E-2</v>
      </c>
      <c r="G16" s="143">
        <f t="shared" si="4"/>
        <v>-1.9119980664934921</v>
      </c>
      <c r="H16" s="5"/>
      <c r="I16" s="5"/>
      <c r="J16" s="20"/>
      <c r="K16" s="20"/>
      <c r="L16" s="20"/>
      <c r="M16" s="20"/>
      <c r="N16" s="20"/>
      <c r="O16" s="20"/>
    </row>
    <row r="17" spans="1:15">
      <c r="A17" s="5"/>
      <c r="B17" s="5"/>
      <c r="C17" s="5"/>
      <c r="D17" s="5"/>
      <c r="E17" s="5"/>
      <c r="F17" s="5"/>
      <c r="G17" s="5"/>
      <c r="H17" s="5"/>
      <c r="I17" s="5"/>
      <c r="J17" s="20"/>
      <c r="K17" s="20"/>
      <c r="L17" s="20"/>
      <c r="M17" s="20"/>
      <c r="N17" s="20"/>
      <c r="O17" s="20"/>
    </row>
    <row r="18" spans="1:15">
      <c r="A18" s="5"/>
      <c r="B18" s="5"/>
      <c r="C18" s="5"/>
      <c r="D18" s="5"/>
      <c r="E18" s="5"/>
      <c r="F18" s="5"/>
      <c r="G18" s="5"/>
      <c r="H18" s="5"/>
      <c r="I18" s="5"/>
      <c r="J18" s="20"/>
      <c r="K18" s="20"/>
      <c r="L18" s="20"/>
      <c r="M18" s="20"/>
      <c r="N18" s="20"/>
      <c r="O18" s="20"/>
    </row>
    <row r="19" spans="1:15">
      <c r="A19" s="5" t="s">
        <v>153</v>
      </c>
      <c r="B19" s="5"/>
      <c r="C19" s="5"/>
      <c r="D19" s="5"/>
      <c r="E19" s="5"/>
      <c r="F19" s="5"/>
      <c r="G19" s="5"/>
      <c r="H19" s="5"/>
      <c r="I19" s="5"/>
      <c r="J19" s="20"/>
      <c r="K19" s="20"/>
      <c r="L19" s="20"/>
      <c r="M19" s="20"/>
      <c r="N19" s="20"/>
      <c r="O19" s="20"/>
    </row>
    <row r="20" spans="1:15">
      <c r="A20" s="5">
        <v>1</v>
      </c>
      <c r="B20" s="5" t="s">
        <v>493</v>
      </c>
      <c r="C20" s="5"/>
      <c r="D20" s="5"/>
      <c r="E20" s="5"/>
      <c r="F20" s="5"/>
      <c r="G20" s="5"/>
      <c r="H20" s="5"/>
      <c r="I20" s="5"/>
      <c r="J20" s="20"/>
      <c r="K20" s="20"/>
      <c r="L20" s="20"/>
      <c r="M20" s="20"/>
      <c r="N20" s="20"/>
      <c r="O20" s="20"/>
    </row>
    <row r="21" spans="1:15">
      <c r="A21" s="5"/>
      <c r="B21" s="5"/>
      <c r="C21" s="5"/>
      <c r="D21" s="5"/>
      <c r="E21" s="5"/>
      <c r="F21" s="5"/>
      <c r="G21" s="5"/>
      <c r="H21" s="5"/>
      <c r="I21" s="5"/>
      <c r="J21" s="5"/>
      <c r="K21" s="5"/>
      <c r="L21" s="5"/>
      <c r="M21" s="5"/>
    </row>
    <row r="22" spans="1:15">
      <c r="A22" s="5"/>
      <c r="B22" s="5"/>
      <c r="C22" s="5"/>
      <c r="D22" s="5"/>
      <c r="E22" s="5"/>
      <c r="F22" s="5"/>
      <c r="G22" s="5"/>
      <c r="H22" s="5"/>
      <c r="I22" s="5"/>
      <c r="J22" s="242"/>
      <c r="K22" s="242"/>
      <c r="L22" s="242"/>
      <c r="M22" s="242"/>
      <c r="N22" s="242"/>
    </row>
    <row r="23" spans="1:15">
      <c r="A23" s="5" t="s">
        <v>588</v>
      </c>
      <c r="B23" s="5"/>
      <c r="C23" s="5"/>
      <c r="D23" s="5"/>
      <c r="E23" s="5"/>
      <c r="F23" s="5"/>
      <c r="G23" s="5"/>
      <c r="H23" s="5"/>
      <c r="I23" s="5"/>
      <c r="J23" s="8"/>
      <c r="K23" s="8"/>
      <c r="L23" s="8"/>
      <c r="M23" s="8"/>
      <c r="N23" s="119"/>
    </row>
    <row r="24" spans="1:15">
      <c r="A24" s="5"/>
      <c r="B24" s="5"/>
      <c r="C24" s="5"/>
      <c r="D24" s="5"/>
      <c r="E24" s="5"/>
      <c r="F24" s="5"/>
      <c r="G24" s="5"/>
      <c r="H24" s="5"/>
      <c r="I24" s="5"/>
      <c r="J24" s="8"/>
      <c r="K24" s="8"/>
      <c r="L24" s="8"/>
      <c r="M24" s="8"/>
      <c r="N24" s="119"/>
    </row>
    <row r="26" spans="1:15">
      <c r="B26" s="206"/>
      <c r="C26" s="206"/>
      <c r="D26" s="206"/>
      <c r="E26" s="206"/>
      <c r="F26" s="206"/>
    </row>
    <row r="27" spans="1:15">
      <c r="B27" s="104"/>
      <c r="C27" s="104"/>
      <c r="D27" s="104"/>
      <c r="E27" s="104"/>
      <c r="F27" s="104"/>
    </row>
    <row r="29" spans="1:15">
      <c r="B29" s="206"/>
      <c r="C29" s="104"/>
      <c r="D29" s="27"/>
    </row>
    <row r="30" spans="1:15">
      <c r="B30" s="206"/>
      <c r="C30" s="104"/>
      <c r="D30" s="27"/>
    </row>
    <row r="31" spans="1:15">
      <c r="B31" s="206"/>
      <c r="C31" s="104"/>
      <c r="D31" s="27"/>
    </row>
    <row r="32" spans="1:15">
      <c r="B32" s="206"/>
      <c r="C32" s="104"/>
      <c r="D32" s="27"/>
    </row>
    <row r="33" spans="2:4">
      <c r="B33" s="206"/>
      <c r="C33" s="104"/>
      <c r="D33" s="27"/>
    </row>
    <row r="37" spans="2:4">
      <c r="B37" s="5"/>
      <c r="C37" s="27"/>
    </row>
    <row r="38" spans="2:4">
      <c r="B38" s="5"/>
      <c r="C38" s="27"/>
    </row>
    <row r="39" spans="2:4">
      <c r="B39" s="5"/>
      <c r="C39" s="27"/>
    </row>
    <row r="40" spans="2:4">
      <c r="B40" s="5"/>
      <c r="C40" s="27"/>
    </row>
    <row r="41" spans="2:4">
      <c r="B41" s="5"/>
      <c r="C41" s="27"/>
    </row>
  </sheetData>
  <mergeCells count="6">
    <mergeCell ref="R5:S5"/>
    <mergeCell ref="I5:I6"/>
    <mergeCell ref="J5:K5"/>
    <mergeCell ref="L5:M5"/>
    <mergeCell ref="N5:O5"/>
    <mergeCell ref="P5:Q5"/>
  </mergeCell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A045-3994-E546-BBAC-1E4D572FA49B}">
  <sheetPr codeName="Sheet110"/>
  <dimension ref="A1:G22"/>
  <sheetViews>
    <sheetView workbookViewId="0"/>
  </sheetViews>
  <sheetFormatPr baseColWidth="10" defaultColWidth="10.83203125" defaultRowHeight="16"/>
  <cols>
    <col min="1" max="1" width="21.5" style="5" customWidth="1"/>
    <col min="2" max="16384" width="10.83203125" style="5"/>
  </cols>
  <sheetData>
    <row r="1" spans="1:7">
      <c r="A1" s="19" t="s">
        <v>738</v>
      </c>
    </row>
    <row r="4" spans="1:7" ht="34">
      <c r="B4" s="137" t="s">
        <v>490</v>
      </c>
      <c r="C4" s="137" t="s">
        <v>491</v>
      </c>
      <c r="D4" s="137" t="s">
        <v>104</v>
      </c>
      <c r="E4" s="137" t="s">
        <v>105</v>
      </c>
      <c r="F4" s="137" t="s">
        <v>106</v>
      </c>
      <c r="G4" s="137" t="s">
        <v>492</v>
      </c>
    </row>
    <row r="5" spans="1:7">
      <c r="A5" s="5">
        <v>1999</v>
      </c>
      <c r="B5" s="8">
        <v>72.296918767507009</v>
      </c>
      <c r="C5" s="8">
        <v>63.206577595066804</v>
      </c>
      <c r="D5" s="8">
        <v>68.876518218623488</v>
      </c>
      <c r="E5" s="8">
        <v>84.008307372793354</v>
      </c>
      <c r="F5" s="8">
        <v>77.371007371007366</v>
      </c>
      <c r="G5" s="8">
        <v>67.409365558912384</v>
      </c>
    </row>
    <row r="6" spans="1:7">
      <c r="A6" s="5">
        <v>2005</v>
      </c>
      <c r="B6" s="8">
        <v>54.08207343412527</v>
      </c>
      <c r="C6" s="135" t="s">
        <v>87</v>
      </c>
      <c r="D6" s="8">
        <v>75.945017182130584</v>
      </c>
      <c r="E6" s="135" t="s">
        <v>87</v>
      </c>
      <c r="F6" s="8">
        <v>45.895802098950526</v>
      </c>
      <c r="G6" s="8">
        <v>66.998925046418449</v>
      </c>
    </row>
    <row r="7" spans="1:7">
      <c r="A7" s="5">
        <v>2012</v>
      </c>
      <c r="B7" s="8">
        <v>67.361111111111114</v>
      </c>
      <c r="C7" s="8">
        <v>48.924302788844621</v>
      </c>
      <c r="D7" s="8">
        <v>67.26170427753452</v>
      </c>
      <c r="E7" s="8">
        <v>75.60283687943263</v>
      </c>
      <c r="F7" s="8">
        <v>59.227526179790559</v>
      </c>
      <c r="G7" s="8">
        <v>70.297577854671275</v>
      </c>
    </row>
    <row r="8" spans="1:7">
      <c r="A8" s="5">
        <v>2016</v>
      </c>
      <c r="B8" s="8">
        <v>60.629143743828465</v>
      </c>
      <c r="C8" s="8">
        <v>59.337913803872581</v>
      </c>
      <c r="D8" s="8">
        <v>58.823529411764703</v>
      </c>
      <c r="E8" s="8">
        <v>57.981684323936072</v>
      </c>
      <c r="F8" s="8">
        <v>49.918962722852513</v>
      </c>
      <c r="G8" s="8">
        <v>67.204333433644294</v>
      </c>
    </row>
    <row r="9" spans="1:7">
      <c r="A9" s="5">
        <v>2019</v>
      </c>
      <c r="B9" s="8">
        <v>51.314007044161471</v>
      </c>
      <c r="C9" s="8">
        <v>43.19526627218935</v>
      </c>
      <c r="D9" s="8">
        <v>43.054830287206265</v>
      </c>
      <c r="E9" s="8">
        <v>52.09942895532415</v>
      </c>
      <c r="F9" s="8">
        <v>50.90294768728883</v>
      </c>
      <c r="G9" s="8">
        <v>54.281869341815515</v>
      </c>
    </row>
    <row r="12" spans="1:7">
      <c r="A12" s="5" t="s">
        <v>418</v>
      </c>
      <c r="B12" s="143">
        <f>B9-B5</f>
        <v>-20.982911723345538</v>
      </c>
      <c r="C12" s="143">
        <f t="shared" ref="C12:G12" si="0">C9-C5</f>
        <v>-20.011311322877454</v>
      </c>
      <c r="D12" s="143">
        <f t="shared" si="0"/>
        <v>-25.821687931417223</v>
      </c>
      <c r="E12" s="143">
        <f t="shared" si="0"/>
        <v>-31.908878417469204</v>
      </c>
      <c r="F12" s="143">
        <f t="shared" si="0"/>
        <v>-26.468059683718536</v>
      </c>
      <c r="G12" s="143">
        <f t="shared" si="0"/>
        <v>-13.127496217096869</v>
      </c>
    </row>
    <row r="13" spans="1:7">
      <c r="A13" s="5" t="s">
        <v>449</v>
      </c>
      <c r="B13" s="143">
        <f>B6-B5</f>
        <v>-18.214845333381739</v>
      </c>
      <c r="C13" s="8" t="s">
        <v>87</v>
      </c>
      <c r="D13" s="143">
        <f t="shared" ref="D13:G14" si="1">D6-D5</f>
        <v>7.0684989635070963</v>
      </c>
      <c r="E13" s="8" t="s">
        <v>87</v>
      </c>
      <c r="F13" s="143">
        <f t="shared" si="1"/>
        <v>-31.47520527205684</v>
      </c>
      <c r="G13" s="143">
        <f t="shared" si="1"/>
        <v>-0.41044051249393476</v>
      </c>
    </row>
    <row r="14" spans="1:7">
      <c r="A14" s="5" t="s">
        <v>450</v>
      </c>
      <c r="B14" s="143">
        <f>B7-B6</f>
        <v>13.279037676985844</v>
      </c>
      <c r="C14" s="8" t="s">
        <v>87</v>
      </c>
      <c r="D14" s="143">
        <f t="shared" si="1"/>
        <v>-8.6833129045960646</v>
      </c>
      <c r="E14" s="8" t="s">
        <v>87</v>
      </c>
      <c r="F14" s="143">
        <f t="shared" si="1"/>
        <v>13.331724080840033</v>
      </c>
      <c r="G14" s="143">
        <f t="shared" si="1"/>
        <v>3.2986528082528253</v>
      </c>
    </row>
    <row r="15" spans="1:7">
      <c r="A15" s="5" t="s">
        <v>451</v>
      </c>
      <c r="B15" s="143">
        <f>B9-B7</f>
        <v>-16.047104066949643</v>
      </c>
      <c r="C15" s="143">
        <f t="shared" ref="C15:G15" si="2">C9-C7</f>
        <v>-5.7290365166552704</v>
      </c>
      <c r="D15" s="143">
        <f t="shared" si="2"/>
        <v>-24.206873990328255</v>
      </c>
      <c r="E15" s="143">
        <f t="shared" si="2"/>
        <v>-23.50340792410848</v>
      </c>
      <c r="F15" s="143">
        <f t="shared" si="2"/>
        <v>-8.324578492501729</v>
      </c>
      <c r="G15" s="143">
        <f t="shared" si="2"/>
        <v>-16.01570851285576</v>
      </c>
    </row>
    <row r="18" spans="1:2">
      <c r="A18" s="5" t="s">
        <v>153</v>
      </c>
    </row>
    <row r="19" spans="1:2">
      <c r="A19" s="5">
        <v>1</v>
      </c>
      <c r="B19" s="5" t="s">
        <v>493</v>
      </c>
    </row>
    <row r="22" spans="1:2">
      <c r="A22" s="5" t="s">
        <v>588</v>
      </c>
    </row>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9B25B-3DC5-894D-BF69-1AF0DA223494}">
  <sheetPr codeName="Sheet111"/>
  <dimension ref="A1:M33"/>
  <sheetViews>
    <sheetView workbookViewId="0">
      <selection activeCell="C23" sqref="C23"/>
    </sheetView>
  </sheetViews>
  <sheetFormatPr baseColWidth="10" defaultColWidth="11" defaultRowHeight="16"/>
  <cols>
    <col min="1" max="1" width="17.33203125" customWidth="1"/>
  </cols>
  <sheetData>
    <row r="1" spans="1:13">
      <c r="A1" s="19" t="s">
        <v>739</v>
      </c>
      <c r="B1" s="2"/>
      <c r="C1" s="2"/>
      <c r="D1" s="2"/>
      <c r="E1" s="2"/>
      <c r="F1" s="2"/>
      <c r="G1" s="2"/>
      <c r="H1" s="2"/>
      <c r="I1" s="2"/>
      <c r="J1" s="2"/>
      <c r="K1" s="2"/>
      <c r="L1" s="2"/>
      <c r="M1" s="2"/>
    </row>
    <row r="2" spans="1:13">
      <c r="A2" s="5" t="s">
        <v>3</v>
      </c>
      <c r="B2" s="2"/>
      <c r="C2" s="2"/>
      <c r="D2" s="2"/>
      <c r="E2" s="2"/>
      <c r="F2" s="2"/>
      <c r="G2" s="2"/>
      <c r="H2" s="2"/>
      <c r="I2" s="2"/>
      <c r="J2" s="2"/>
      <c r="K2" s="2"/>
      <c r="L2" s="2"/>
      <c r="M2" s="2"/>
    </row>
    <row r="3" spans="1:13">
      <c r="A3" s="5"/>
      <c r="B3" s="2"/>
      <c r="C3" s="2"/>
      <c r="D3" s="2"/>
      <c r="E3" s="2"/>
      <c r="F3" s="2"/>
      <c r="G3" s="2"/>
      <c r="H3" s="2"/>
      <c r="I3" s="2"/>
      <c r="J3" s="2"/>
      <c r="K3" s="2"/>
      <c r="L3" s="2"/>
      <c r="M3" s="2"/>
    </row>
    <row r="4" spans="1:13">
      <c r="A4" s="5"/>
      <c r="B4" s="2"/>
      <c r="C4" s="2"/>
      <c r="D4" s="2"/>
      <c r="E4" s="2"/>
      <c r="F4" s="2"/>
      <c r="G4" s="2"/>
      <c r="H4" s="2"/>
      <c r="I4" s="2"/>
      <c r="J4" s="2"/>
      <c r="K4" s="2"/>
      <c r="L4" s="2"/>
      <c r="M4" s="2"/>
    </row>
    <row r="5" spans="1:13" ht="34">
      <c r="A5" s="5"/>
      <c r="B5" s="137" t="s">
        <v>490</v>
      </c>
      <c r="C5" s="137" t="s">
        <v>103</v>
      </c>
      <c r="D5" s="137" t="s">
        <v>104</v>
      </c>
      <c r="E5" s="137" t="s">
        <v>105</v>
      </c>
      <c r="F5" s="137" t="s">
        <v>106</v>
      </c>
      <c r="G5" s="137" t="s">
        <v>107</v>
      </c>
      <c r="H5" s="2"/>
      <c r="I5" s="2"/>
      <c r="J5" s="2"/>
      <c r="K5" s="2"/>
      <c r="L5" s="2"/>
      <c r="M5" s="2"/>
    </row>
    <row r="6" spans="1:13">
      <c r="A6" s="5">
        <v>1999</v>
      </c>
      <c r="B6" s="20">
        <v>118700</v>
      </c>
      <c r="C6" s="20">
        <v>16000</v>
      </c>
      <c r="D6" s="20">
        <v>66500</v>
      </c>
      <c r="E6" s="20">
        <v>116300</v>
      </c>
      <c r="F6" s="20">
        <v>153700</v>
      </c>
      <c r="G6" s="20">
        <v>342700</v>
      </c>
      <c r="H6" s="2"/>
      <c r="I6" s="2"/>
      <c r="J6" s="2"/>
      <c r="K6" s="2"/>
      <c r="L6" s="2"/>
      <c r="M6" s="2"/>
    </row>
    <row r="7" spans="1:13">
      <c r="A7" s="5">
        <v>2005</v>
      </c>
      <c r="B7" s="20">
        <v>131700</v>
      </c>
      <c r="C7" s="135" t="s">
        <v>87</v>
      </c>
      <c r="D7" s="20">
        <v>57500</v>
      </c>
      <c r="E7" s="135" t="s">
        <v>87</v>
      </c>
      <c r="F7" s="20">
        <v>96500</v>
      </c>
      <c r="G7" s="20">
        <v>534700</v>
      </c>
      <c r="H7" s="2"/>
      <c r="I7" s="2"/>
      <c r="J7" s="2"/>
      <c r="K7" s="2"/>
      <c r="L7" s="2"/>
      <c r="M7" s="2"/>
    </row>
    <row r="8" spans="1:13">
      <c r="A8" s="5">
        <v>2012</v>
      </c>
      <c r="B8" s="20">
        <v>195600</v>
      </c>
      <c r="C8" s="20">
        <v>11200</v>
      </c>
      <c r="D8" s="20">
        <v>115900</v>
      </c>
      <c r="E8" s="20">
        <v>277700</v>
      </c>
      <c r="F8" s="20">
        <v>227100</v>
      </c>
      <c r="G8" s="20">
        <v>733100</v>
      </c>
      <c r="H8" s="2"/>
      <c r="I8" s="2"/>
      <c r="J8" s="2"/>
      <c r="K8" s="2"/>
      <c r="L8" s="2"/>
      <c r="M8" s="2"/>
    </row>
    <row r="9" spans="1:13">
      <c r="A9" s="5">
        <v>2016</v>
      </c>
      <c r="B9" s="20">
        <v>167800</v>
      </c>
      <c r="C9" s="20">
        <v>8300</v>
      </c>
      <c r="D9" s="20">
        <v>98100</v>
      </c>
      <c r="E9" s="20">
        <v>181200</v>
      </c>
      <c r="F9" s="20">
        <v>206800</v>
      </c>
      <c r="G9" s="20">
        <v>874900</v>
      </c>
      <c r="H9" s="2"/>
      <c r="I9" s="2"/>
      <c r="J9" s="2"/>
      <c r="K9" s="2"/>
      <c r="L9" s="2"/>
      <c r="M9" s="2"/>
    </row>
    <row r="10" spans="1:13">
      <c r="A10" s="5">
        <v>2019</v>
      </c>
      <c r="B10" s="20">
        <v>185000</v>
      </c>
      <c r="C10" s="20">
        <v>22200</v>
      </c>
      <c r="D10" s="20">
        <v>82300</v>
      </c>
      <c r="E10" s="20">
        <v>175000</v>
      </c>
      <c r="F10" s="20">
        <v>236800</v>
      </c>
      <c r="G10" s="20">
        <v>753200</v>
      </c>
      <c r="H10" s="2"/>
      <c r="I10" s="2"/>
      <c r="J10" s="2"/>
      <c r="K10" s="2"/>
      <c r="L10" s="2"/>
      <c r="M10" s="2"/>
    </row>
    <row r="13" spans="1:13">
      <c r="A13" s="5" t="s">
        <v>479</v>
      </c>
      <c r="B13" s="143">
        <f>100*((B10/B6)^(1/20)-1)</f>
        <v>2.2435806641316614</v>
      </c>
      <c r="C13" s="143">
        <f t="shared" ref="C13:G13" si="0">100*((C10/C6)^(1/20)-1)</f>
        <v>1.6509986394765974</v>
      </c>
      <c r="D13" s="143">
        <f t="shared" si="0"/>
        <v>1.0715461708404206</v>
      </c>
      <c r="E13" s="143">
        <f t="shared" si="0"/>
        <v>2.064077998199676</v>
      </c>
      <c r="F13" s="143">
        <f t="shared" si="0"/>
        <v>2.1845864224647737</v>
      </c>
      <c r="G13" s="143">
        <f t="shared" si="0"/>
        <v>4.0159189633607095</v>
      </c>
      <c r="H13" s="5"/>
      <c r="I13" s="5"/>
      <c r="J13" s="5"/>
      <c r="K13" s="5"/>
      <c r="L13" s="5"/>
      <c r="M13" s="5"/>
    </row>
    <row r="14" spans="1:13">
      <c r="A14" s="5" t="s">
        <v>461</v>
      </c>
      <c r="B14" s="143">
        <f>100*((B7/B6)^(1/6)-1)</f>
        <v>1.7472100045123229</v>
      </c>
      <c r="C14" s="135" t="s">
        <v>87</v>
      </c>
      <c r="D14" s="143">
        <f t="shared" ref="D14:G14" si="1">100*((D7/D6)^(1/6)-1)</f>
        <v>-2.3944829136985035</v>
      </c>
      <c r="E14" s="135" t="s">
        <v>87</v>
      </c>
      <c r="F14" s="143">
        <f t="shared" si="1"/>
        <v>-7.4643867106779949</v>
      </c>
      <c r="G14" s="143">
        <f t="shared" si="1"/>
        <v>7.6959438076976028</v>
      </c>
      <c r="H14" s="5"/>
      <c r="I14" s="5"/>
      <c r="J14" s="5"/>
      <c r="K14" s="5"/>
      <c r="L14" s="5"/>
      <c r="M14" s="5"/>
    </row>
    <row r="15" spans="1:13">
      <c r="A15" s="5" t="s">
        <v>462</v>
      </c>
      <c r="B15" s="143">
        <f>100*((B8/B7)^(1/7)-1)</f>
        <v>5.8133439565289713</v>
      </c>
      <c r="C15" s="135" t="s">
        <v>87</v>
      </c>
      <c r="D15" s="143">
        <f t="shared" ref="D15:G15" si="2">100*((D8/D7)^(1/7)-1)</f>
        <v>10.531977923609247</v>
      </c>
      <c r="E15" s="135" t="s">
        <v>87</v>
      </c>
      <c r="F15" s="143">
        <f t="shared" si="2"/>
        <v>13.005230595588868</v>
      </c>
      <c r="G15" s="143">
        <f t="shared" si="2"/>
        <v>4.6113977887579205</v>
      </c>
      <c r="H15" s="5"/>
      <c r="I15" s="5"/>
      <c r="J15" s="5"/>
      <c r="K15" s="5"/>
      <c r="L15" s="5"/>
      <c r="M15" s="5"/>
    </row>
    <row r="16" spans="1:13">
      <c r="A16" s="5" t="s">
        <v>463</v>
      </c>
      <c r="B16" s="143">
        <f>100*((B10/B8)^(1/7)-1)</f>
        <v>-0.79278266312557966</v>
      </c>
      <c r="C16" s="143">
        <f t="shared" ref="C16:G16" si="3">100*((C10/C8)^(1/7)-1)</f>
        <v>10.267581743976306</v>
      </c>
      <c r="D16" s="143">
        <f t="shared" si="3"/>
        <v>-4.7731353034601742</v>
      </c>
      <c r="E16" s="143">
        <f t="shared" si="3"/>
        <v>-6.3836426776616157</v>
      </c>
      <c r="F16" s="143">
        <f t="shared" si="3"/>
        <v>0.59929511487577525</v>
      </c>
      <c r="G16" s="143">
        <f t="shared" si="3"/>
        <v>0.3871572184033889</v>
      </c>
      <c r="H16" s="5"/>
      <c r="I16" s="5"/>
      <c r="J16" s="5"/>
      <c r="K16" s="5"/>
      <c r="L16" s="5"/>
      <c r="M16" s="5"/>
    </row>
    <row r="17" spans="1:13">
      <c r="A17" s="5"/>
      <c r="B17" s="5"/>
      <c r="C17" s="5"/>
      <c r="D17" s="5"/>
      <c r="E17" s="5"/>
      <c r="F17" s="5"/>
      <c r="G17" s="5"/>
      <c r="H17" s="5"/>
      <c r="I17" s="5"/>
      <c r="J17" s="5"/>
      <c r="K17" s="5"/>
      <c r="L17" s="5"/>
      <c r="M17" s="5"/>
    </row>
    <row r="18" spans="1:13">
      <c r="A18" s="5"/>
      <c r="B18" s="5"/>
      <c r="C18" s="5"/>
      <c r="D18" s="5"/>
      <c r="E18" s="5"/>
      <c r="F18" s="5"/>
      <c r="G18" s="5"/>
      <c r="H18" s="5"/>
      <c r="I18" s="5"/>
      <c r="J18" s="5"/>
      <c r="K18" s="5"/>
      <c r="L18" s="5"/>
      <c r="M18" s="5"/>
    </row>
    <row r="19" spans="1:13">
      <c r="A19" s="5" t="s">
        <v>153</v>
      </c>
      <c r="B19" s="5"/>
      <c r="C19" s="5"/>
      <c r="D19" s="5"/>
      <c r="E19" s="5"/>
      <c r="F19" s="5"/>
      <c r="G19" s="5"/>
      <c r="H19" s="5"/>
      <c r="I19" s="5"/>
      <c r="J19" s="5"/>
      <c r="K19" s="5"/>
      <c r="L19" s="5"/>
      <c r="M19" s="5"/>
    </row>
    <row r="20" spans="1:13">
      <c r="A20" s="5">
        <v>1</v>
      </c>
      <c r="B20" s="5" t="s">
        <v>493</v>
      </c>
      <c r="C20" s="5"/>
      <c r="D20" s="5"/>
      <c r="E20" s="5"/>
      <c r="F20" s="5"/>
      <c r="G20" s="5"/>
      <c r="H20" s="5"/>
      <c r="I20" s="5"/>
      <c r="J20" s="5"/>
      <c r="K20" s="5"/>
      <c r="L20" s="5"/>
      <c r="M20" s="5"/>
    </row>
    <row r="21" spans="1:13">
      <c r="A21" s="5"/>
      <c r="B21" s="5"/>
      <c r="C21" s="5"/>
      <c r="D21" s="5"/>
      <c r="E21" s="5"/>
      <c r="F21" s="5"/>
      <c r="G21" s="5"/>
      <c r="H21" s="5"/>
      <c r="I21" s="5"/>
      <c r="J21" s="5"/>
      <c r="K21" s="5"/>
      <c r="L21" s="5"/>
      <c r="M21" s="5"/>
    </row>
    <row r="22" spans="1:13">
      <c r="A22" s="5"/>
      <c r="B22" s="5"/>
      <c r="C22" s="5"/>
      <c r="D22" s="5"/>
      <c r="E22" s="5"/>
      <c r="F22" s="5"/>
      <c r="G22" s="5"/>
      <c r="H22" s="5"/>
      <c r="I22" s="5"/>
      <c r="J22" s="5"/>
      <c r="K22" s="5"/>
      <c r="L22" s="5"/>
      <c r="M22" s="5"/>
    </row>
    <row r="23" spans="1:13">
      <c r="A23" s="5" t="s">
        <v>740</v>
      </c>
      <c r="B23" s="5"/>
      <c r="C23" s="5"/>
      <c r="D23" s="5"/>
      <c r="E23" s="5"/>
      <c r="F23" s="5"/>
      <c r="G23" s="5"/>
      <c r="H23" s="5"/>
      <c r="I23" s="5"/>
      <c r="J23" s="5"/>
      <c r="K23" s="5"/>
      <c r="L23" s="5"/>
      <c r="M23" s="5"/>
    </row>
    <row r="24" spans="1:13">
      <c r="A24" s="5"/>
      <c r="B24" s="5"/>
      <c r="C24" s="5"/>
      <c r="D24" s="5"/>
      <c r="E24" s="5"/>
      <c r="F24" s="5"/>
      <c r="G24" s="5"/>
      <c r="H24" s="5"/>
      <c r="I24" s="5"/>
      <c r="J24" s="5"/>
      <c r="K24" s="5"/>
      <c r="L24" s="5"/>
      <c r="M24" s="5"/>
    </row>
    <row r="26" spans="1:13">
      <c r="A26" s="1"/>
      <c r="B26" s="206"/>
      <c r="C26" s="206"/>
      <c r="D26" s="206"/>
      <c r="E26" s="206"/>
      <c r="F26" s="206"/>
      <c r="G26" s="2"/>
      <c r="H26" s="2"/>
      <c r="I26" s="2"/>
      <c r="J26" s="2"/>
      <c r="K26" s="2"/>
      <c r="L26" s="2"/>
      <c r="M26" s="2"/>
    </row>
    <row r="27" spans="1:13">
      <c r="B27" s="104"/>
      <c r="C27" s="104"/>
      <c r="D27" s="104"/>
      <c r="E27" s="104"/>
      <c r="F27" s="104"/>
    </row>
    <row r="29" spans="1:13">
      <c r="B29" s="206"/>
      <c r="C29" s="104"/>
    </row>
    <row r="30" spans="1:13">
      <c r="B30" s="206"/>
      <c r="C30" s="104"/>
    </row>
    <row r="31" spans="1:13">
      <c r="B31" s="206"/>
      <c r="C31" s="104"/>
    </row>
    <row r="32" spans="1:13">
      <c r="B32" s="206"/>
      <c r="C32" s="104"/>
    </row>
    <row r="33" spans="2:3">
      <c r="B33" s="206"/>
      <c r="C33" s="104"/>
    </row>
  </sheetData>
  <sortState xmlns:xlrd2="http://schemas.microsoft.com/office/spreadsheetml/2017/richdata2" ref="B29:C33">
    <sortCondition descending="1" ref="C29:C33"/>
  </sortState>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49998-BF87-354E-A21A-4270517CA203}">
  <sheetPr codeName="Sheet112"/>
  <dimension ref="A1:L25"/>
  <sheetViews>
    <sheetView workbookViewId="0">
      <selection activeCell="R44" sqref="R44"/>
    </sheetView>
  </sheetViews>
  <sheetFormatPr baseColWidth="10" defaultColWidth="11" defaultRowHeight="16"/>
  <cols>
    <col min="1" max="1" width="21.33203125" customWidth="1"/>
  </cols>
  <sheetData>
    <row r="1" spans="1:12">
      <c r="A1" s="19" t="s">
        <v>741</v>
      </c>
      <c r="B1" s="2"/>
      <c r="C1" s="2"/>
      <c r="D1" s="2"/>
      <c r="E1" s="2"/>
      <c r="F1" s="2"/>
      <c r="G1" s="2"/>
      <c r="H1" s="2"/>
      <c r="I1" s="2"/>
      <c r="J1" s="2"/>
      <c r="K1" s="2"/>
      <c r="L1" s="2"/>
    </row>
    <row r="2" spans="1:12">
      <c r="A2" s="5"/>
      <c r="B2" s="2"/>
      <c r="C2" s="2"/>
      <c r="D2" s="2"/>
      <c r="E2" s="2"/>
      <c r="F2" s="2"/>
      <c r="G2" s="2"/>
      <c r="H2" s="2"/>
      <c r="I2" s="2"/>
      <c r="J2" s="2"/>
      <c r="K2" s="2"/>
      <c r="L2" s="2"/>
    </row>
    <row r="3" spans="1:12">
      <c r="A3" s="5"/>
      <c r="B3" s="2"/>
      <c r="C3" s="2"/>
      <c r="D3" s="2"/>
      <c r="E3" s="2"/>
      <c r="F3" s="2"/>
      <c r="G3" s="2"/>
      <c r="H3" s="2"/>
      <c r="I3" s="2"/>
      <c r="J3" s="2"/>
      <c r="K3" s="2"/>
      <c r="L3" s="2"/>
    </row>
    <row r="4" spans="1:12" ht="34">
      <c r="A4" s="5"/>
      <c r="B4" s="137" t="s">
        <v>490</v>
      </c>
      <c r="C4" s="137" t="s">
        <v>491</v>
      </c>
      <c r="D4" s="137" t="s">
        <v>104</v>
      </c>
      <c r="E4" s="137" t="s">
        <v>105</v>
      </c>
      <c r="F4" s="137" t="s">
        <v>106</v>
      </c>
      <c r="G4" s="137" t="s">
        <v>492</v>
      </c>
      <c r="H4" s="2"/>
      <c r="I4" s="2"/>
      <c r="J4" s="2"/>
      <c r="K4" s="2"/>
      <c r="L4" s="2"/>
    </row>
    <row r="5" spans="1:12">
      <c r="A5" s="5">
        <v>1999</v>
      </c>
      <c r="B5" s="8">
        <v>77.531025473546705</v>
      </c>
      <c r="C5" s="8">
        <v>192.77108433734941</v>
      </c>
      <c r="D5" s="8">
        <v>87.5</v>
      </c>
      <c r="E5" s="8">
        <v>75.372650680492541</v>
      </c>
      <c r="F5" s="8">
        <v>65.99398883641048</v>
      </c>
      <c r="G5" s="8">
        <v>72.437116888607065</v>
      </c>
      <c r="H5" s="2"/>
      <c r="I5" s="2"/>
      <c r="J5" s="2"/>
      <c r="K5" s="2"/>
      <c r="L5" s="2"/>
    </row>
    <row r="6" spans="1:12">
      <c r="A6" s="5">
        <v>2005</v>
      </c>
      <c r="B6" s="8">
        <v>69.830328738069994</v>
      </c>
      <c r="C6" s="135" t="s">
        <v>87</v>
      </c>
      <c r="D6" s="8">
        <v>76.666666666666671</v>
      </c>
      <c r="E6" s="135" t="s">
        <v>87</v>
      </c>
      <c r="F6" s="8">
        <v>29.941048712379772</v>
      </c>
      <c r="G6" s="8">
        <v>85.442633429210616</v>
      </c>
      <c r="H6" s="2"/>
      <c r="I6" s="2"/>
      <c r="J6" s="2"/>
      <c r="K6" s="2"/>
      <c r="L6" s="2"/>
    </row>
    <row r="7" spans="1:12">
      <c r="A7" s="5">
        <v>2012</v>
      </c>
      <c r="B7" s="8">
        <v>71.806167400881051</v>
      </c>
      <c r="C7" s="8">
        <v>110.89108910891089</v>
      </c>
      <c r="D7" s="8">
        <v>94.922194922194919</v>
      </c>
      <c r="E7" s="8">
        <v>104.87160120845921</v>
      </c>
      <c r="F7" s="8">
        <v>51.310438319023952</v>
      </c>
      <c r="G7" s="8">
        <v>75.406295001028596</v>
      </c>
      <c r="H7" s="2"/>
      <c r="I7" s="2"/>
      <c r="J7" s="2"/>
      <c r="K7" s="2"/>
      <c r="L7" s="2"/>
    </row>
    <row r="8" spans="1:12">
      <c r="A8" s="5">
        <v>2016</v>
      </c>
      <c r="B8" s="8">
        <v>53.695999999999998</v>
      </c>
      <c r="C8" s="8">
        <v>70.940170940170944</v>
      </c>
      <c r="D8" s="8">
        <v>59.239130434782609</v>
      </c>
      <c r="E8" s="8">
        <v>56.25582117354859</v>
      </c>
      <c r="F8" s="8">
        <v>42.455347977827962</v>
      </c>
      <c r="G8" s="8">
        <v>79.819359547486542</v>
      </c>
      <c r="H8" s="2"/>
      <c r="I8" s="2"/>
      <c r="J8" s="2"/>
      <c r="K8" s="2"/>
      <c r="L8" s="2"/>
    </row>
    <row r="9" spans="1:12">
      <c r="A9" s="5">
        <v>2019</v>
      </c>
      <c r="B9" s="8">
        <v>56.077599272506824</v>
      </c>
      <c r="C9" s="8">
        <v>99.107142857142861</v>
      </c>
      <c r="D9" s="8">
        <v>45.570321151716499</v>
      </c>
      <c r="E9" s="8">
        <v>51.944197091124963</v>
      </c>
      <c r="F9" s="8">
        <v>45.190839694656489</v>
      </c>
      <c r="G9" s="8">
        <v>73.597811217510255</v>
      </c>
      <c r="H9" s="2"/>
      <c r="I9" s="2"/>
      <c r="J9" s="2"/>
      <c r="K9" s="2"/>
      <c r="L9" s="2"/>
    </row>
    <row r="12" spans="1:12">
      <c r="A12" s="5" t="s">
        <v>418</v>
      </c>
      <c r="B12" s="143">
        <f>B9-B5</f>
        <v>-21.453426201039882</v>
      </c>
      <c r="C12" s="143">
        <f t="shared" ref="C12:G12" si="0">C9-C5</f>
        <v>-93.663941480206546</v>
      </c>
      <c r="D12" s="143">
        <f t="shared" si="0"/>
        <v>-41.929678848283501</v>
      </c>
      <c r="E12" s="143">
        <f t="shared" si="0"/>
        <v>-23.428453589367578</v>
      </c>
      <c r="F12" s="143">
        <f t="shared" si="0"/>
        <v>-20.803149141753991</v>
      </c>
      <c r="G12" s="143">
        <f t="shared" si="0"/>
        <v>1.1606943289031904</v>
      </c>
      <c r="H12" s="5"/>
      <c r="I12" s="5"/>
      <c r="J12" s="5"/>
      <c r="K12" s="5"/>
      <c r="L12" s="5"/>
    </row>
    <row r="13" spans="1:12">
      <c r="A13" s="5" t="s">
        <v>449</v>
      </c>
      <c r="B13" s="143">
        <f>B6-B5</f>
        <v>-7.7006967354767113</v>
      </c>
      <c r="C13" s="8" t="s">
        <v>87</v>
      </c>
      <c r="D13" s="143">
        <f t="shared" ref="D13:G14" si="1">D6-D5</f>
        <v>-10.833333333333329</v>
      </c>
      <c r="E13" s="8" t="s">
        <v>87</v>
      </c>
      <c r="F13" s="143">
        <f t="shared" si="1"/>
        <v>-36.052940124030712</v>
      </c>
      <c r="G13" s="143">
        <f t="shared" si="1"/>
        <v>13.005516540603551</v>
      </c>
      <c r="H13" s="5"/>
      <c r="I13" s="5"/>
      <c r="J13" s="5"/>
      <c r="K13" s="5"/>
      <c r="L13" s="5"/>
    </row>
    <row r="14" spans="1:12">
      <c r="A14" s="5" t="s">
        <v>450</v>
      </c>
      <c r="B14" s="143">
        <f>B7-B6</f>
        <v>1.9758386628110571</v>
      </c>
      <c r="C14" s="8" t="s">
        <v>87</v>
      </c>
      <c r="D14" s="143">
        <f t="shared" si="1"/>
        <v>18.255528255528247</v>
      </c>
      <c r="E14" s="8" t="s">
        <v>87</v>
      </c>
      <c r="F14" s="143">
        <f t="shared" si="1"/>
        <v>21.36938960664418</v>
      </c>
      <c r="G14" s="143">
        <f t="shared" si="1"/>
        <v>-10.03633842818202</v>
      </c>
      <c r="H14" s="5"/>
      <c r="I14" s="5"/>
      <c r="J14" s="5"/>
      <c r="K14" s="5"/>
      <c r="L14" s="5"/>
    </row>
    <row r="15" spans="1:12">
      <c r="A15" s="5" t="s">
        <v>451</v>
      </c>
      <c r="B15" s="143">
        <f>B9-B7</f>
        <v>-15.728568128374228</v>
      </c>
      <c r="C15" s="143">
        <f t="shared" ref="C15:G15" si="2">C9-C7</f>
        <v>-11.783946251768029</v>
      </c>
      <c r="D15" s="143">
        <f t="shared" si="2"/>
        <v>-49.35187377047842</v>
      </c>
      <c r="E15" s="143">
        <f t="shared" si="2"/>
        <v>-52.927404117334248</v>
      </c>
      <c r="F15" s="143">
        <f t="shared" si="2"/>
        <v>-6.1195986243674625</v>
      </c>
      <c r="G15" s="143">
        <f t="shared" si="2"/>
        <v>-1.8084837835183407</v>
      </c>
      <c r="H15" s="5"/>
      <c r="I15" s="5"/>
      <c r="J15" s="5"/>
      <c r="K15" s="5"/>
      <c r="L15" s="5"/>
    </row>
    <row r="16" spans="1:12">
      <c r="A16" s="5"/>
      <c r="B16" s="5"/>
      <c r="C16" s="5"/>
      <c r="D16" s="5"/>
      <c r="E16" s="5"/>
      <c r="F16" s="5"/>
      <c r="G16" s="5"/>
      <c r="H16" s="5"/>
      <c r="I16" s="5"/>
      <c r="J16" s="5"/>
      <c r="K16" s="5"/>
      <c r="L16" s="5"/>
    </row>
    <row r="17" spans="1:12">
      <c r="A17" s="5"/>
      <c r="B17" s="5"/>
      <c r="C17" s="5"/>
      <c r="D17" s="5"/>
      <c r="E17" s="5"/>
      <c r="F17" s="5"/>
      <c r="G17" s="5"/>
      <c r="H17" s="5"/>
      <c r="I17" s="5"/>
      <c r="J17" s="5"/>
      <c r="K17" s="5"/>
      <c r="L17" s="5"/>
    </row>
    <row r="18" spans="1:12">
      <c r="A18" s="5" t="s">
        <v>153</v>
      </c>
      <c r="B18" s="5"/>
      <c r="C18" s="5"/>
      <c r="D18" s="5"/>
      <c r="E18" s="5"/>
      <c r="F18" s="5"/>
      <c r="G18" s="5"/>
      <c r="H18" s="5"/>
      <c r="I18" s="5"/>
      <c r="J18" s="5"/>
      <c r="K18" s="5"/>
      <c r="L18" s="5"/>
    </row>
    <row r="19" spans="1:12">
      <c r="A19" s="5">
        <v>1</v>
      </c>
      <c r="B19" s="5" t="s">
        <v>493</v>
      </c>
      <c r="C19" s="5"/>
      <c r="D19" s="5"/>
      <c r="E19" s="5"/>
      <c r="F19" s="5"/>
      <c r="G19" s="5"/>
      <c r="H19" s="5"/>
      <c r="I19" s="5"/>
      <c r="J19" s="5"/>
      <c r="K19" s="5"/>
      <c r="L19" s="5"/>
    </row>
    <row r="20" spans="1:12">
      <c r="A20" s="5"/>
      <c r="B20" s="5"/>
      <c r="C20" s="5"/>
      <c r="D20" s="5"/>
      <c r="E20" s="5"/>
      <c r="F20" s="5"/>
      <c r="G20" s="5"/>
      <c r="H20" s="5"/>
      <c r="I20" s="5"/>
      <c r="J20" s="5"/>
      <c r="K20" s="5"/>
      <c r="L20" s="5"/>
    </row>
    <row r="21" spans="1:12">
      <c r="A21" s="5"/>
      <c r="B21" s="5"/>
      <c r="C21" s="5"/>
      <c r="D21" s="5"/>
      <c r="E21" s="5"/>
      <c r="F21" s="5"/>
      <c r="G21" s="5"/>
      <c r="H21" s="5"/>
      <c r="I21" s="5"/>
      <c r="J21" s="5"/>
      <c r="K21" s="5"/>
      <c r="L21" s="5"/>
    </row>
    <row r="22" spans="1:12">
      <c r="A22" s="5" t="s">
        <v>588</v>
      </c>
      <c r="B22" s="5"/>
      <c r="C22" s="5"/>
      <c r="D22" s="5"/>
      <c r="E22" s="5"/>
      <c r="F22" s="5"/>
      <c r="G22" s="5"/>
      <c r="H22" s="5"/>
      <c r="I22" s="5"/>
      <c r="J22" s="5"/>
      <c r="K22" s="5"/>
      <c r="L22" s="5"/>
    </row>
    <row r="23" spans="1:12">
      <c r="A23" s="5"/>
      <c r="B23" s="5"/>
      <c r="C23" s="5"/>
      <c r="D23" s="5"/>
      <c r="E23" s="5"/>
      <c r="F23" s="5"/>
      <c r="G23" s="5"/>
      <c r="H23" s="5"/>
      <c r="I23" s="5"/>
      <c r="J23" s="5"/>
      <c r="K23" s="5"/>
      <c r="L23" s="5"/>
    </row>
    <row r="24" spans="1:12">
      <c r="A24" s="5"/>
      <c r="B24" s="5"/>
      <c r="C24" s="5"/>
      <c r="D24" s="5"/>
      <c r="E24" s="5"/>
      <c r="F24" s="5"/>
      <c r="G24" s="5"/>
      <c r="H24" s="5"/>
      <c r="I24" s="5"/>
      <c r="J24" s="5"/>
      <c r="K24" s="5"/>
      <c r="L24" s="5"/>
    </row>
    <row r="25" spans="1:12">
      <c r="A25" s="5"/>
      <c r="B25" s="5"/>
      <c r="C25" s="5"/>
      <c r="D25" s="5"/>
      <c r="E25" s="5"/>
      <c r="F25" s="5"/>
      <c r="G25" s="5"/>
      <c r="H25" s="5"/>
      <c r="I25" s="5"/>
      <c r="J25" s="5"/>
      <c r="K25" s="5"/>
      <c r="L25"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B720-EAC1-844C-A395-CDF2F0A9D5C8}">
  <sheetPr codeName="Sheet11"/>
  <dimension ref="A1:B55"/>
  <sheetViews>
    <sheetView workbookViewId="0"/>
  </sheetViews>
  <sheetFormatPr baseColWidth="10" defaultColWidth="10.83203125" defaultRowHeight="16"/>
  <cols>
    <col min="1" max="1" width="20.83203125" style="5" customWidth="1"/>
    <col min="2" max="2" width="21.5" style="5" customWidth="1"/>
    <col min="3" max="16384" width="10.83203125" style="5"/>
  </cols>
  <sheetData>
    <row r="1" spans="1:2">
      <c r="A1" s="19" t="s">
        <v>614</v>
      </c>
    </row>
    <row r="4" spans="1:2" ht="48" customHeight="1">
      <c r="B4" s="137" t="s">
        <v>79</v>
      </c>
    </row>
    <row r="5" spans="1:2">
      <c r="A5" s="5">
        <v>1976</v>
      </c>
      <c r="B5" s="8">
        <v>107.49703748321896</v>
      </c>
    </row>
    <row r="6" spans="1:2">
      <c r="A6" s="5">
        <v>1977</v>
      </c>
      <c r="B6" s="8">
        <v>106.85417492375294</v>
      </c>
    </row>
    <row r="7" spans="1:2">
      <c r="A7" s="5">
        <v>1978</v>
      </c>
      <c r="B7" s="8">
        <v>106.86982637259501</v>
      </c>
    </row>
    <row r="8" spans="1:2">
      <c r="A8" s="5">
        <v>1979</v>
      </c>
      <c r="B8" s="8">
        <v>106.43080845305906</v>
      </c>
    </row>
    <row r="9" spans="1:2">
      <c r="A9" s="5">
        <v>1980</v>
      </c>
      <c r="B9" s="8">
        <v>106.41156933296431</v>
      </c>
    </row>
    <row r="10" spans="1:2">
      <c r="A10" s="5">
        <v>1981</v>
      </c>
      <c r="B10" s="8">
        <v>105.80985915492957</v>
      </c>
    </row>
    <row r="11" spans="1:2">
      <c r="A11" s="5">
        <v>1982</v>
      </c>
      <c r="B11" s="8">
        <v>104.64356974424088</v>
      </c>
    </row>
    <row r="12" spans="1:2">
      <c r="A12" s="5">
        <v>1983</v>
      </c>
      <c r="B12" s="8">
        <v>104.1291135821366</v>
      </c>
    </row>
    <row r="13" spans="1:2">
      <c r="A13" s="5">
        <v>1984</v>
      </c>
      <c r="B13" s="8">
        <v>104.81963685410844</v>
      </c>
    </row>
    <row r="14" spans="1:2">
      <c r="A14" s="5">
        <v>1985</v>
      </c>
      <c r="B14" s="8">
        <v>104.59161471826424</v>
      </c>
    </row>
    <row r="15" spans="1:2">
      <c r="A15" s="5">
        <v>1986</v>
      </c>
      <c r="B15" s="8">
        <v>103.7445547709529</v>
      </c>
    </row>
    <row r="16" spans="1:2">
      <c r="A16" s="5">
        <v>1987</v>
      </c>
      <c r="B16" s="8">
        <v>103.62775139324876</v>
      </c>
    </row>
    <row r="17" spans="1:2">
      <c r="A17" s="5">
        <v>1988</v>
      </c>
      <c r="B17" s="8">
        <v>102.67689944617514</v>
      </c>
    </row>
    <row r="18" spans="1:2">
      <c r="A18" s="5">
        <v>1989</v>
      </c>
      <c r="B18" s="8">
        <v>102.63265312640733</v>
      </c>
    </row>
    <row r="19" spans="1:2">
      <c r="A19" s="5">
        <v>1990</v>
      </c>
      <c r="B19" s="8">
        <v>101.07176778857348</v>
      </c>
    </row>
    <row r="20" spans="1:2">
      <c r="A20" s="5">
        <v>1991</v>
      </c>
      <c r="B20" s="8">
        <v>100.67590828205837</v>
      </c>
    </row>
    <row r="21" spans="1:2">
      <c r="A21" s="5">
        <v>1992</v>
      </c>
      <c r="B21" s="8">
        <v>101.21210161098473</v>
      </c>
    </row>
    <row r="22" spans="1:2">
      <c r="A22" s="5">
        <v>1993</v>
      </c>
      <c r="B22" s="8">
        <v>100.86022890764242</v>
      </c>
    </row>
    <row r="23" spans="1:2">
      <c r="A23" s="5">
        <v>1994</v>
      </c>
      <c r="B23" s="8">
        <v>99.489660030113782</v>
      </c>
    </row>
    <row r="24" spans="1:2">
      <c r="A24" s="5">
        <v>1995</v>
      </c>
      <c r="B24" s="8">
        <v>98.66489141135618</v>
      </c>
    </row>
    <row r="25" spans="1:2">
      <c r="A25" s="5">
        <v>1996</v>
      </c>
      <c r="B25" s="8">
        <v>98.235224165915511</v>
      </c>
    </row>
    <row r="26" spans="1:2">
      <c r="A26" s="5">
        <v>1997</v>
      </c>
      <c r="B26" s="8">
        <v>97.702432352487222</v>
      </c>
    </row>
    <row r="27" spans="1:2">
      <c r="A27" s="5">
        <v>1998</v>
      </c>
      <c r="B27" s="8">
        <v>96.779804372632583</v>
      </c>
    </row>
    <row r="28" spans="1:2">
      <c r="A28" s="5">
        <v>1999</v>
      </c>
      <c r="B28" s="8">
        <v>96.431568202559674</v>
      </c>
    </row>
    <row r="29" spans="1:2">
      <c r="A29" s="5">
        <v>2000</v>
      </c>
      <c r="B29" s="8">
        <v>96.698762851046411</v>
      </c>
    </row>
    <row r="30" spans="1:2">
      <c r="A30" s="5">
        <v>2001</v>
      </c>
      <c r="B30" s="8">
        <v>95.976601027106085</v>
      </c>
    </row>
    <row r="31" spans="1:2">
      <c r="A31" s="5">
        <v>2002</v>
      </c>
      <c r="B31" s="8">
        <v>95.689299608726188</v>
      </c>
    </row>
    <row r="32" spans="1:2">
      <c r="A32" s="5">
        <v>2003</v>
      </c>
      <c r="B32" s="8">
        <v>95.765405567667457</v>
      </c>
    </row>
    <row r="33" spans="1:2">
      <c r="A33" s="5">
        <v>2004</v>
      </c>
      <c r="B33" s="8">
        <v>95.595865284325797</v>
      </c>
    </row>
    <row r="34" spans="1:2">
      <c r="A34" s="5">
        <v>2005</v>
      </c>
      <c r="B34" s="8">
        <v>94.09711844968318</v>
      </c>
    </row>
    <row r="35" spans="1:2">
      <c r="A35" s="5">
        <v>2006</v>
      </c>
      <c r="B35" s="8">
        <v>94.061557289381298</v>
      </c>
    </row>
    <row r="36" spans="1:2">
      <c r="A36" s="5">
        <v>2007</v>
      </c>
      <c r="B36" s="8">
        <v>93.776066209526277</v>
      </c>
    </row>
    <row r="37" spans="1:2">
      <c r="A37" s="5">
        <v>2008</v>
      </c>
      <c r="B37" s="8">
        <v>92.795832831184129</v>
      </c>
    </row>
    <row r="38" spans="1:2">
      <c r="A38" s="5">
        <v>2009</v>
      </c>
      <c r="B38" s="8">
        <v>93.009837394341844</v>
      </c>
    </row>
    <row r="39" spans="1:2">
      <c r="A39" s="5">
        <v>2010</v>
      </c>
      <c r="B39" s="8">
        <v>93.170749049024124</v>
      </c>
    </row>
    <row r="40" spans="1:2">
      <c r="A40" s="5">
        <v>2011</v>
      </c>
      <c r="B40" s="8">
        <v>93.105171601841434</v>
      </c>
    </row>
    <row r="41" spans="1:2">
      <c r="A41" s="5">
        <v>2012</v>
      </c>
      <c r="B41" s="8">
        <v>92.910089039576661</v>
      </c>
    </row>
    <row r="42" spans="1:2">
      <c r="A42" s="5">
        <v>2013</v>
      </c>
      <c r="B42" s="8">
        <v>91.976073244558279</v>
      </c>
    </row>
    <row r="43" spans="1:2">
      <c r="A43" s="5">
        <v>2014</v>
      </c>
      <c r="B43" s="8">
        <v>91.321501928390944</v>
      </c>
    </row>
    <row r="44" spans="1:2">
      <c r="A44" s="5">
        <v>2015</v>
      </c>
      <c r="B44" s="8">
        <v>90.53515255242047</v>
      </c>
    </row>
    <row r="45" spans="1:2">
      <c r="A45" s="5">
        <v>2016</v>
      </c>
      <c r="B45" s="8">
        <v>90.30666089137344</v>
      </c>
    </row>
    <row r="46" spans="1:2">
      <c r="A46" s="5">
        <v>2017</v>
      </c>
      <c r="B46" s="8">
        <v>90.693791680274146</v>
      </c>
    </row>
    <row r="47" spans="1:2">
      <c r="A47" s="5">
        <v>2018</v>
      </c>
      <c r="B47" s="8">
        <v>90.463191332381086</v>
      </c>
    </row>
    <row r="48" spans="1:2">
      <c r="A48" s="5">
        <v>2019</v>
      </c>
      <c r="B48" s="8">
        <v>90.416399305020761</v>
      </c>
    </row>
    <row r="50" spans="1:2">
      <c r="A50" s="5" t="s">
        <v>22</v>
      </c>
      <c r="B50" s="58">
        <f>B48-B5</f>
        <v>-17.0806381781982</v>
      </c>
    </row>
    <row r="51" spans="1:2">
      <c r="A51" s="5" t="s">
        <v>23</v>
      </c>
      <c r="B51" s="58">
        <f>B29-B5</f>
        <v>-10.79827463217255</v>
      </c>
    </row>
    <row r="52" spans="1:2">
      <c r="A52" s="5" t="s">
        <v>24</v>
      </c>
      <c r="B52" s="58">
        <f>B48-B29</f>
        <v>-6.2823635460256497</v>
      </c>
    </row>
    <row r="55" spans="1:2">
      <c r="A55" s="59" t="s">
        <v>80</v>
      </c>
    </row>
  </sheetData>
  <hyperlinks>
    <hyperlink ref="A55" r:id="rId1" display="https://www150.statcan.gc.ca/t1/tbl1/en/tv.action?pid=1110019001" xr:uid="{80F2893B-A051-614A-B823-55A27765AE2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8858-BA2B-D847-93C3-DFFF31A70F1D}">
  <sheetPr codeName="Sheet12"/>
  <dimension ref="A1:H56"/>
  <sheetViews>
    <sheetView zoomScale="75" zoomScaleNormal="133" workbookViewId="0"/>
  </sheetViews>
  <sheetFormatPr baseColWidth="10" defaultColWidth="11" defaultRowHeight="16"/>
  <cols>
    <col min="1" max="1" width="17.5" style="5" customWidth="1"/>
    <col min="2" max="4" width="20.83203125" style="5" customWidth="1"/>
    <col min="5" max="5" width="20.83203125" style="5" hidden="1" customWidth="1"/>
    <col min="6" max="8" width="20.83203125" style="5" customWidth="1"/>
    <col min="9" max="16384" width="11" style="5"/>
  </cols>
  <sheetData>
    <row r="1" spans="1:8">
      <c r="A1" s="3" t="s">
        <v>615</v>
      </c>
    </row>
    <row r="2" spans="1:8">
      <c r="A2" s="5" t="s">
        <v>3</v>
      </c>
    </row>
    <row r="4" spans="1:8">
      <c r="B4" s="328" t="s">
        <v>8</v>
      </c>
      <c r="C4" s="328"/>
      <c r="D4" s="328"/>
      <c r="E4" s="135"/>
      <c r="F4" s="328" t="s">
        <v>30</v>
      </c>
      <c r="G4" s="328"/>
      <c r="H4" s="328"/>
    </row>
    <row r="5" spans="1:8" ht="32" customHeight="1">
      <c r="B5" s="137" t="s">
        <v>45</v>
      </c>
      <c r="C5" s="137" t="s">
        <v>77</v>
      </c>
      <c r="D5" s="137" t="s">
        <v>78</v>
      </c>
      <c r="E5" s="137" t="s">
        <v>21</v>
      </c>
      <c r="F5" s="137" t="s">
        <v>45</v>
      </c>
      <c r="G5" s="137" t="s">
        <v>77</v>
      </c>
      <c r="H5" s="137" t="s">
        <v>78</v>
      </c>
    </row>
    <row r="6" spans="1:8">
      <c r="A6" s="5">
        <v>1976</v>
      </c>
      <c r="B6" s="20">
        <v>50600</v>
      </c>
      <c r="C6" s="20">
        <v>58000</v>
      </c>
      <c r="D6" s="20">
        <v>22200</v>
      </c>
      <c r="E6" s="20"/>
      <c r="F6" s="20">
        <v>47200</v>
      </c>
      <c r="G6" s="20">
        <v>54900</v>
      </c>
      <c r="H6" s="20">
        <v>14800</v>
      </c>
    </row>
    <row r="7" spans="1:8">
      <c r="A7" s="5">
        <v>1977</v>
      </c>
      <c r="B7" s="20">
        <v>52700</v>
      </c>
      <c r="C7" s="20">
        <v>60600</v>
      </c>
      <c r="D7" s="20">
        <v>22500</v>
      </c>
      <c r="E7" s="20"/>
      <c r="F7" s="20">
        <v>47400</v>
      </c>
      <c r="G7" s="20">
        <v>55400</v>
      </c>
      <c r="H7" s="20">
        <v>18400</v>
      </c>
    </row>
    <row r="8" spans="1:8">
      <c r="A8" s="5">
        <v>1978</v>
      </c>
      <c r="B8" s="20">
        <v>52300</v>
      </c>
      <c r="C8" s="20">
        <v>59500</v>
      </c>
      <c r="D8" s="20">
        <v>25700</v>
      </c>
      <c r="E8" s="20"/>
      <c r="F8" s="20">
        <v>50400</v>
      </c>
      <c r="G8" s="20">
        <v>58300</v>
      </c>
      <c r="H8" s="20">
        <v>22300</v>
      </c>
    </row>
    <row r="9" spans="1:8">
      <c r="A9" s="5">
        <v>1979</v>
      </c>
      <c r="B9" s="20">
        <v>52400</v>
      </c>
      <c r="C9" s="20">
        <v>59700</v>
      </c>
      <c r="D9" s="20">
        <v>26000</v>
      </c>
      <c r="E9" s="20"/>
      <c r="F9" s="20">
        <v>48700</v>
      </c>
      <c r="G9" s="20">
        <v>56000</v>
      </c>
      <c r="H9" s="20">
        <v>20800</v>
      </c>
    </row>
    <row r="10" spans="1:8">
      <c r="A10" s="5">
        <v>1980</v>
      </c>
      <c r="B10" s="20">
        <v>51500</v>
      </c>
      <c r="C10" s="20">
        <v>58900</v>
      </c>
      <c r="D10" s="20">
        <v>25200</v>
      </c>
      <c r="E10" s="20"/>
      <c r="F10" s="20">
        <v>47600</v>
      </c>
      <c r="G10" s="20">
        <v>53800</v>
      </c>
      <c r="H10" s="20">
        <v>18600</v>
      </c>
    </row>
    <row r="11" spans="1:8">
      <c r="A11" s="5">
        <v>1981</v>
      </c>
      <c r="B11" s="20">
        <v>51400</v>
      </c>
      <c r="C11" s="20">
        <v>58900</v>
      </c>
      <c r="D11" s="20">
        <v>25000</v>
      </c>
      <c r="E11" s="20"/>
      <c r="F11" s="20">
        <v>45800</v>
      </c>
      <c r="G11" s="20">
        <v>53800</v>
      </c>
      <c r="H11" s="20">
        <v>20500</v>
      </c>
    </row>
    <row r="12" spans="1:8">
      <c r="A12" s="5">
        <v>1982</v>
      </c>
      <c r="B12" s="20">
        <v>50300</v>
      </c>
      <c r="C12" s="20">
        <v>57800</v>
      </c>
      <c r="D12" s="20">
        <v>24300</v>
      </c>
      <c r="E12" s="20"/>
      <c r="F12" s="20">
        <v>44700</v>
      </c>
      <c r="G12" s="20">
        <v>52000</v>
      </c>
      <c r="H12" s="20">
        <v>18900</v>
      </c>
    </row>
    <row r="13" spans="1:8">
      <c r="A13" s="5">
        <v>1983</v>
      </c>
      <c r="B13" s="20">
        <v>47800</v>
      </c>
      <c r="C13" s="20">
        <v>55400</v>
      </c>
      <c r="D13" s="20">
        <v>21800</v>
      </c>
      <c r="E13" s="20"/>
      <c r="F13" s="20">
        <v>41300</v>
      </c>
      <c r="G13" s="20">
        <v>50900</v>
      </c>
      <c r="H13" s="20">
        <v>16600</v>
      </c>
    </row>
    <row r="14" spans="1:8">
      <c r="A14" s="5">
        <v>1984</v>
      </c>
      <c r="B14" s="20">
        <v>51300</v>
      </c>
      <c r="C14" s="20">
        <v>58900</v>
      </c>
      <c r="D14" s="20">
        <v>26000</v>
      </c>
      <c r="E14" s="20"/>
      <c r="F14" s="20">
        <v>45800</v>
      </c>
      <c r="G14" s="20">
        <v>54800</v>
      </c>
      <c r="H14" s="20">
        <v>19900</v>
      </c>
    </row>
    <row r="15" spans="1:8">
      <c r="A15" s="5">
        <v>1985</v>
      </c>
      <c r="B15" s="20">
        <v>51900</v>
      </c>
      <c r="C15" s="20">
        <v>59600</v>
      </c>
      <c r="D15" s="20">
        <v>26300</v>
      </c>
      <c r="E15" s="20"/>
      <c r="F15" s="20">
        <v>46000</v>
      </c>
      <c r="G15" s="20">
        <v>54000</v>
      </c>
      <c r="H15" s="20">
        <v>20900</v>
      </c>
    </row>
    <row r="16" spans="1:8">
      <c r="A16" s="5">
        <v>1986</v>
      </c>
      <c r="B16" s="20">
        <v>51200</v>
      </c>
      <c r="C16" s="20">
        <v>58700</v>
      </c>
      <c r="D16" s="20">
        <v>27000</v>
      </c>
      <c r="E16" s="20"/>
      <c r="F16" s="20">
        <v>47300</v>
      </c>
      <c r="G16" s="20">
        <v>54500</v>
      </c>
      <c r="H16" s="20">
        <v>21200</v>
      </c>
    </row>
    <row r="17" spans="1:8">
      <c r="A17" s="5">
        <v>1987</v>
      </c>
      <c r="B17" s="20">
        <v>49900</v>
      </c>
      <c r="C17" s="20">
        <v>58500</v>
      </c>
      <c r="D17" s="20">
        <v>23300</v>
      </c>
      <c r="E17" s="20"/>
      <c r="F17" s="20">
        <v>44300</v>
      </c>
      <c r="G17" s="20">
        <v>54100</v>
      </c>
      <c r="H17" s="20">
        <v>18900</v>
      </c>
    </row>
    <row r="18" spans="1:8">
      <c r="A18" s="5">
        <v>1988</v>
      </c>
      <c r="B18" s="20">
        <v>51500</v>
      </c>
      <c r="C18" s="20">
        <v>59700</v>
      </c>
      <c r="D18" s="20">
        <v>26600</v>
      </c>
      <c r="E18" s="20"/>
      <c r="F18" s="20">
        <v>46300</v>
      </c>
      <c r="G18" s="20">
        <v>54700</v>
      </c>
      <c r="H18" s="20">
        <v>22400</v>
      </c>
    </row>
    <row r="19" spans="1:8">
      <c r="A19" s="5">
        <v>1989</v>
      </c>
      <c r="B19" s="20">
        <v>52700</v>
      </c>
      <c r="C19" s="20">
        <v>61600</v>
      </c>
      <c r="D19" s="20">
        <v>26600</v>
      </c>
      <c r="E19" s="20"/>
      <c r="F19" s="20">
        <v>47100</v>
      </c>
      <c r="G19" s="20">
        <v>56500</v>
      </c>
      <c r="H19" s="20">
        <v>22000</v>
      </c>
    </row>
    <row r="20" spans="1:8">
      <c r="A20" s="5">
        <v>1990</v>
      </c>
      <c r="B20" s="20">
        <v>51100</v>
      </c>
      <c r="C20" s="20">
        <v>59800</v>
      </c>
      <c r="D20" s="20">
        <v>26200</v>
      </c>
      <c r="E20" s="20"/>
      <c r="F20" s="20">
        <v>45800</v>
      </c>
      <c r="G20" s="20">
        <v>55200</v>
      </c>
      <c r="H20" s="20">
        <v>21300</v>
      </c>
    </row>
    <row r="21" spans="1:8">
      <c r="A21" s="5">
        <v>1991</v>
      </c>
      <c r="B21" s="20">
        <v>49700</v>
      </c>
      <c r="C21" s="20">
        <v>58200</v>
      </c>
      <c r="D21" s="20">
        <v>26000</v>
      </c>
      <c r="E21" s="20"/>
      <c r="F21" s="20">
        <v>43400</v>
      </c>
      <c r="G21" s="20">
        <v>52400</v>
      </c>
      <c r="H21" s="20">
        <v>21300</v>
      </c>
    </row>
    <row r="22" spans="1:8">
      <c r="A22" s="5">
        <v>1992</v>
      </c>
      <c r="B22" s="20">
        <v>49900</v>
      </c>
      <c r="C22" s="20">
        <v>59300</v>
      </c>
      <c r="D22" s="20">
        <v>24100</v>
      </c>
      <c r="E22" s="20"/>
      <c r="F22" s="20">
        <v>44000</v>
      </c>
      <c r="G22" s="20">
        <v>53700</v>
      </c>
      <c r="H22" s="20">
        <v>20000</v>
      </c>
    </row>
    <row r="23" spans="1:8">
      <c r="A23" s="5">
        <v>1993</v>
      </c>
      <c r="B23" s="20">
        <v>49300</v>
      </c>
      <c r="C23" s="20">
        <v>58100</v>
      </c>
      <c r="D23" s="20">
        <v>24800</v>
      </c>
      <c r="E23" s="20"/>
      <c r="F23" s="20">
        <v>44000</v>
      </c>
      <c r="G23" s="20">
        <v>53600</v>
      </c>
      <c r="H23" s="20">
        <v>20100</v>
      </c>
    </row>
    <row r="24" spans="1:8">
      <c r="A24" s="5">
        <v>1994</v>
      </c>
      <c r="B24" s="20">
        <v>48800</v>
      </c>
      <c r="C24" s="20">
        <v>57500</v>
      </c>
      <c r="D24" s="20">
        <v>24900</v>
      </c>
      <c r="E24" s="20"/>
      <c r="F24" s="20">
        <v>44300</v>
      </c>
      <c r="G24" s="20">
        <v>52500</v>
      </c>
      <c r="H24" s="20">
        <v>20900</v>
      </c>
    </row>
    <row r="25" spans="1:8">
      <c r="A25" s="5">
        <v>1995</v>
      </c>
      <c r="B25" s="20">
        <v>49100</v>
      </c>
      <c r="C25" s="20">
        <v>57500</v>
      </c>
      <c r="D25" s="20">
        <v>26200</v>
      </c>
      <c r="E25" s="20"/>
      <c r="F25" s="20">
        <v>43300</v>
      </c>
      <c r="G25" s="20">
        <v>51800</v>
      </c>
      <c r="H25" s="20">
        <v>21400</v>
      </c>
    </row>
    <row r="26" spans="1:8">
      <c r="A26" s="5">
        <v>1996</v>
      </c>
      <c r="B26" s="20">
        <v>49000</v>
      </c>
      <c r="C26" s="20">
        <v>58300</v>
      </c>
      <c r="D26" s="20">
        <v>24700</v>
      </c>
      <c r="E26" s="20"/>
      <c r="F26" s="20">
        <v>42400</v>
      </c>
      <c r="G26" s="20">
        <v>52600</v>
      </c>
      <c r="H26" s="20">
        <v>21100</v>
      </c>
    </row>
    <row r="27" spans="1:8">
      <c r="A27" s="5">
        <v>1997</v>
      </c>
      <c r="B27" s="20">
        <v>48400</v>
      </c>
      <c r="C27" s="20">
        <v>57400</v>
      </c>
      <c r="D27" s="20">
        <v>25000</v>
      </c>
      <c r="E27" s="20"/>
      <c r="F27" s="20">
        <v>42400</v>
      </c>
      <c r="G27" s="20">
        <v>52300</v>
      </c>
      <c r="H27" s="20">
        <v>20500</v>
      </c>
    </row>
    <row r="28" spans="1:8">
      <c r="A28" s="5">
        <v>1998</v>
      </c>
      <c r="B28" s="20">
        <v>50800</v>
      </c>
      <c r="C28" s="20">
        <v>60500</v>
      </c>
      <c r="D28" s="20">
        <v>25800</v>
      </c>
      <c r="E28" s="20"/>
      <c r="F28" s="20">
        <v>43200</v>
      </c>
      <c r="G28" s="20">
        <v>54700</v>
      </c>
      <c r="H28" s="20">
        <v>21000</v>
      </c>
    </row>
    <row r="29" spans="1:8">
      <c r="A29" s="5">
        <v>1999</v>
      </c>
      <c r="B29" s="20">
        <v>52200</v>
      </c>
      <c r="C29" s="20">
        <v>62400</v>
      </c>
      <c r="D29" s="20">
        <v>26300</v>
      </c>
      <c r="E29" s="20"/>
      <c r="F29" s="20">
        <v>45000</v>
      </c>
      <c r="G29" s="20">
        <v>56900</v>
      </c>
      <c r="H29" s="20">
        <v>21800</v>
      </c>
    </row>
    <row r="30" spans="1:8">
      <c r="A30" s="5">
        <v>2000</v>
      </c>
      <c r="B30" s="20">
        <v>53400</v>
      </c>
      <c r="C30" s="20">
        <v>64600</v>
      </c>
      <c r="D30" s="20">
        <v>25600</v>
      </c>
      <c r="E30" s="20">
        <v>90000</v>
      </c>
      <c r="F30" s="20">
        <v>45800</v>
      </c>
      <c r="G30" s="20">
        <v>56800</v>
      </c>
      <c r="H30" s="20">
        <v>21000</v>
      </c>
    </row>
    <row r="31" spans="1:8">
      <c r="A31" s="5">
        <v>2001</v>
      </c>
      <c r="B31" s="20">
        <v>55000</v>
      </c>
      <c r="C31" s="20">
        <v>66000</v>
      </c>
      <c r="D31" s="20">
        <v>28200</v>
      </c>
      <c r="E31" s="20"/>
      <c r="F31" s="20">
        <v>46800</v>
      </c>
      <c r="G31" s="20">
        <v>58700</v>
      </c>
      <c r="H31" s="20">
        <v>22200</v>
      </c>
    </row>
    <row r="32" spans="1:8">
      <c r="A32" s="5">
        <v>2002</v>
      </c>
      <c r="B32" s="20">
        <v>54100</v>
      </c>
      <c r="C32" s="20">
        <v>65900</v>
      </c>
      <c r="D32" s="20">
        <v>25500</v>
      </c>
      <c r="E32" s="20"/>
      <c r="F32" s="20">
        <v>45700</v>
      </c>
      <c r="G32" s="20">
        <v>59000</v>
      </c>
      <c r="H32" s="20">
        <v>21300</v>
      </c>
    </row>
    <row r="33" spans="1:8">
      <c r="A33" s="5">
        <v>2003</v>
      </c>
      <c r="B33" s="20">
        <v>54200</v>
      </c>
      <c r="C33" s="20">
        <v>65900</v>
      </c>
      <c r="D33" s="20">
        <v>25900</v>
      </c>
      <c r="E33" s="20"/>
      <c r="F33" s="20">
        <v>46000</v>
      </c>
      <c r="G33" s="20">
        <v>57900</v>
      </c>
      <c r="H33" s="20">
        <v>22400</v>
      </c>
    </row>
    <row r="34" spans="1:8">
      <c r="A34" s="5">
        <v>2004</v>
      </c>
      <c r="B34" s="20">
        <v>55100</v>
      </c>
      <c r="C34" s="20">
        <v>67400</v>
      </c>
      <c r="D34" s="20">
        <v>25600</v>
      </c>
      <c r="E34" s="20"/>
      <c r="F34" s="20">
        <v>46200</v>
      </c>
      <c r="G34" s="20">
        <v>60000</v>
      </c>
      <c r="H34" s="20">
        <v>22600</v>
      </c>
    </row>
    <row r="35" spans="1:8">
      <c r="A35" s="5">
        <v>2005</v>
      </c>
      <c r="B35" s="20">
        <v>54700</v>
      </c>
      <c r="C35" s="20">
        <v>66400</v>
      </c>
      <c r="D35" s="20">
        <v>26300</v>
      </c>
      <c r="E35" s="20"/>
      <c r="F35" s="20">
        <v>47200</v>
      </c>
      <c r="G35" s="20">
        <v>57700</v>
      </c>
      <c r="H35" s="20">
        <v>22300</v>
      </c>
    </row>
    <row r="36" spans="1:8">
      <c r="A36" s="5">
        <v>2006</v>
      </c>
      <c r="B36" s="20">
        <v>55800</v>
      </c>
      <c r="C36" s="20">
        <v>69300</v>
      </c>
      <c r="D36" s="20">
        <v>27200</v>
      </c>
      <c r="E36" s="20"/>
      <c r="F36" s="20">
        <v>46800</v>
      </c>
      <c r="G36" s="20">
        <v>60600</v>
      </c>
      <c r="H36" s="20">
        <v>24000</v>
      </c>
    </row>
    <row r="37" spans="1:8">
      <c r="A37" s="5">
        <v>2007</v>
      </c>
      <c r="B37" s="20">
        <v>58200</v>
      </c>
      <c r="C37" s="20">
        <v>71700</v>
      </c>
      <c r="D37" s="20">
        <v>29700</v>
      </c>
      <c r="E37" s="20"/>
      <c r="F37" s="20">
        <v>49700</v>
      </c>
      <c r="G37" s="20">
        <v>62700</v>
      </c>
      <c r="H37" s="20">
        <v>24700</v>
      </c>
    </row>
    <row r="38" spans="1:8">
      <c r="A38" s="5">
        <v>2008</v>
      </c>
      <c r="B38" s="20">
        <v>58600</v>
      </c>
      <c r="C38" s="20">
        <v>72400</v>
      </c>
      <c r="D38" s="20">
        <v>29600</v>
      </c>
      <c r="E38" s="20"/>
      <c r="F38" s="20">
        <v>50000</v>
      </c>
      <c r="G38" s="20">
        <v>64400</v>
      </c>
      <c r="H38" s="20">
        <v>24300</v>
      </c>
    </row>
    <row r="39" spans="1:8">
      <c r="A39" s="5">
        <v>2009</v>
      </c>
      <c r="B39" s="20">
        <v>60600</v>
      </c>
      <c r="C39" s="20">
        <v>75300</v>
      </c>
      <c r="D39" s="20">
        <v>30000</v>
      </c>
      <c r="E39" s="20"/>
      <c r="F39" s="20">
        <v>50800</v>
      </c>
      <c r="G39" s="20">
        <v>67000</v>
      </c>
      <c r="H39" s="20">
        <v>25700</v>
      </c>
    </row>
    <row r="40" spans="1:8">
      <c r="A40" s="5">
        <v>2010</v>
      </c>
      <c r="B40" s="20">
        <v>60500</v>
      </c>
      <c r="C40" s="20">
        <v>75300</v>
      </c>
      <c r="D40" s="20">
        <v>30200</v>
      </c>
      <c r="E40" s="20"/>
      <c r="F40" s="20">
        <v>51100</v>
      </c>
      <c r="G40" s="20">
        <v>69400</v>
      </c>
      <c r="H40" s="20">
        <v>25800</v>
      </c>
    </row>
    <row r="41" spans="1:8">
      <c r="A41" s="5">
        <v>2011</v>
      </c>
      <c r="B41" s="20">
        <v>62000</v>
      </c>
      <c r="C41" s="20">
        <v>77300</v>
      </c>
      <c r="D41" s="20">
        <v>30700</v>
      </c>
      <c r="E41" s="20"/>
      <c r="F41" s="20">
        <v>51200</v>
      </c>
      <c r="G41" s="20">
        <v>69000</v>
      </c>
      <c r="H41" s="20">
        <v>25600</v>
      </c>
    </row>
    <row r="42" spans="1:8">
      <c r="A42" s="5">
        <v>2012</v>
      </c>
      <c r="B42" s="20">
        <v>61800</v>
      </c>
      <c r="C42" s="20">
        <v>77000</v>
      </c>
      <c r="D42" s="20">
        <v>31000</v>
      </c>
      <c r="E42" s="20"/>
      <c r="F42" s="20">
        <v>51900</v>
      </c>
      <c r="G42" s="20">
        <v>66600</v>
      </c>
      <c r="H42" s="20">
        <v>26200</v>
      </c>
    </row>
    <row r="43" spans="1:8">
      <c r="A43" s="5">
        <v>2013</v>
      </c>
      <c r="B43" s="20">
        <v>61900</v>
      </c>
      <c r="C43" s="20">
        <v>76900</v>
      </c>
      <c r="D43" s="20">
        <v>31800</v>
      </c>
      <c r="E43" s="20"/>
      <c r="F43" s="20">
        <v>51900</v>
      </c>
      <c r="G43" s="20">
        <v>67600</v>
      </c>
      <c r="H43" s="20">
        <v>27700</v>
      </c>
    </row>
    <row r="44" spans="1:8">
      <c r="A44" s="5">
        <v>2014</v>
      </c>
      <c r="B44" s="20">
        <v>62100</v>
      </c>
      <c r="C44" s="20">
        <v>76300</v>
      </c>
      <c r="D44" s="20">
        <v>34100</v>
      </c>
      <c r="E44" s="20"/>
      <c r="F44" s="20">
        <v>53100</v>
      </c>
      <c r="G44" s="20">
        <v>69800</v>
      </c>
      <c r="H44" s="20">
        <v>28000</v>
      </c>
    </row>
    <row r="45" spans="1:8">
      <c r="A45" s="5">
        <v>2015</v>
      </c>
      <c r="B45" s="20">
        <v>61600</v>
      </c>
      <c r="C45" s="20">
        <v>77200</v>
      </c>
      <c r="D45" s="20">
        <v>30600</v>
      </c>
      <c r="E45" s="20"/>
      <c r="F45" s="20">
        <v>54600</v>
      </c>
      <c r="G45" s="20">
        <v>70800</v>
      </c>
      <c r="H45" s="20">
        <v>26000</v>
      </c>
    </row>
    <row r="46" spans="1:8">
      <c r="A46" s="5">
        <v>2016</v>
      </c>
      <c r="B46" s="20">
        <v>62900</v>
      </c>
      <c r="C46" s="20">
        <v>79500</v>
      </c>
      <c r="D46" s="20">
        <v>30100</v>
      </c>
      <c r="E46" s="20"/>
      <c r="F46" s="20">
        <v>53900</v>
      </c>
      <c r="G46" s="20">
        <v>69200</v>
      </c>
      <c r="H46" s="20">
        <v>26600</v>
      </c>
    </row>
    <row r="47" spans="1:8">
      <c r="A47" s="5">
        <v>2017</v>
      </c>
      <c r="B47" s="20">
        <v>64800</v>
      </c>
      <c r="C47" s="20">
        <v>81000</v>
      </c>
      <c r="D47" s="20">
        <v>33100</v>
      </c>
      <c r="E47" s="20"/>
      <c r="F47" s="20">
        <v>55300</v>
      </c>
      <c r="G47" s="20">
        <v>71800</v>
      </c>
      <c r="H47" s="20">
        <v>28800</v>
      </c>
    </row>
    <row r="48" spans="1:8">
      <c r="A48" s="5">
        <v>2018</v>
      </c>
      <c r="B48" s="20">
        <v>65900</v>
      </c>
      <c r="C48" s="20">
        <v>83000</v>
      </c>
      <c r="D48" s="20">
        <v>32600</v>
      </c>
      <c r="E48" s="20"/>
      <c r="F48" s="20">
        <v>56000</v>
      </c>
      <c r="G48" s="20">
        <v>72500</v>
      </c>
      <c r="H48" s="20">
        <v>27400</v>
      </c>
    </row>
    <row r="49" spans="1:8">
      <c r="A49" s="5">
        <v>2019</v>
      </c>
      <c r="B49" s="20">
        <v>65400</v>
      </c>
      <c r="C49" s="20">
        <v>81900</v>
      </c>
      <c r="D49" s="20">
        <v>33300</v>
      </c>
      <c r="E49" s="20"/>
      <c r="F49" s="20">
        <v>56400</v>
      </c>
      <c r="G49" s="20">
        <v>71800</v>
      </c>
      <c r="H49" s="20">
        <v>29000</v>
      </c>
    </row>
    <row r="51" spans="1:8">
      <c r="A51" s="5" t="s">
        <v>9</v>
      </c>
      <c r="B51" s="143">
        <f>100*((B49/B6)^(1/43)-1)</f>
        <v>0.59845966210745338</v>
      </c>
      <c r="C51" s="143">
        <f t="shared" ref="C51:H51" si="0">100*((C49/C6)^(1/43)-1)</f>
        <v>0.80568407393253327</v>
      </c>
      <c r="D51" s="143">
        <f t="shared" si="0"/>
        <v>0.94740181747028362</v>
      </c>
      <c r="E51" s="143"/>
      <c r="F51" s="143">
        <f t="shared" si="0"/>
        <v>0.41498722251631648</v>
      </c>
      <c r="G51" s="143">
        <f t="shared" si="0"/>
        <v>0.62607058142294392</v>
      </c>
      <c r="H51" s="143">
        <f t="shared" si="0"/>
        <v>1.5766456373023985</v>
      </c>
    </row>
    <row r="52" spans="1:8">
      <c r="A52" s="5" t="s">
        <v>10</v>
      </c>
      <c r="B52" s="143">
        <f>100*((B30/B6)^(1/24)-1)</f>
        <v>0.22466520187505168</v>
      </c>
      <c r="C52" s="143">
        <f t="shared" ref="C52:H52" si="1">100*((C30/C6)^(1/24)-1)</f>
        <v>0.45005723012174759</v>
      </c>
      <c r="D52" s="143">
        <f t="shared" si="1"/>
        <v>0.59551645158211208</v>
      </c>
      <c r="E52" s="143"/>
      <c r="F52" s="143">
        <f t="shared" si="1"/>
        <v>-0.12537884110198627</v>
      </c>
      <c r="G52" s="143">
        <f t="shared" si="1"/>
        <v>0.14186293544500295</v>
      </c>
      <c r="H52" s="143">
        <f t="shared" si="1"/>
        <v>1.468576054776749</v>
      </c>
    </row>
    <row r="53" spans="1:8">
      <c r="A53" s="5" t="s">
        <v>11</v>
      </c>
      <c r="B53" s="143">
        <f>100*((B49/B30)^(1/19)-1)</f>
        <v>1.0726143988739834</v>
      </c>
      <c r="C53" s="143">
        <f t="shared" ref="C53:H53" si="2">100*((C49/C30)^(1/19)-1)</f>
        <v>1.2566971101575675</v>
      </c>
      <c r="D53" s="143">
        <f t="shared" si="2"/>
        <v>1.3936485418343469</v>
      </c>
      <c r="E53" s="143"/>
      <c r="F53" s="143">
        <f t="shared" si="2"/>
        <v>1.1017357776833325</v>
      </c>
      <c r="G53" s="143">
        <f t="shared" si="2"/>
        <v>1.2410492047874033</v>
      </c>
      <c r="H53" s="143">
        <f t="shared" si="2"/>
        <v>1.7133191187075791</v>
      </c>
    </row>
    <row r="56" spans="1:8">
      <c r="A56" s="5" t="s">
        <v>607</v>
      </c>
    </row>
  </sheetData>
  <mergeCells count="2">
    <mergeCell ref="B4:D4"/>
    <mergeCell ref="F4:H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87EA-FF9F-9249-909E-3CAE67DA6199}">
  <sheetPr codeName="Sheet13"/>
  <dimension ref="A1:H56"/>
  <sheetViews>
    <sheetView zoomScale="75" zoomScaleNormal="60" workbookViewId="0">
      <selection activeCell="Z21" sqref="Z21"/>
    </sheetView>
  </sheetViews>
  <sheetFormatPr baseColWidth="10" defaultColWidth="11" defaultRowHeight="16"/>
  <cols>
    <col min="1" max="1" width="21.1640625" style="5" customWidth="1"/>
    <col min="2" max="2" width="21.6640625" style="5" customWidth="1"/>
    <col min="3" max="3" width="22.33203125" style="5" customWidth="1"/>
    <col min="4" max="4" width="21.5" style="5" customWidth="1"/>
    <col min="5" max="5" width="21.5" style="5" hidden="1" customWidth="1"/>
    <col min="6" max="6" width="21.83203125" style="5" customWidth="1"/>
    <col min="7" max="7" width="21.5" style="5" customWidth="1"/>
    <col min="8" max="8" width="21.6640625" style="5" customWidth="1"/>
    <col min="9" max="16384" width="11" style="5"/>
  </cols>
  <sheetData>
    <row r="1" spans="1:8">
      <c r="A1" s="3" t="s">
        <v>616</v>
      </c>
    </row>
    <row r="3" spans="1:8">
      <c r="B3" s="331" t="s">
        <v>8</v>
      </c>
      <c r="C3" s="332"/>
      <c r="D3" s="333"/>
      <c r="E3" s="135"/>
      <c r="F3" s="328" t="s">
        <v>30</v>
      </c>
      <c r="G3" s="328"/>
      <c r="H3" s="328"/>
    </row>
    <row r="4" spans="1:8" ht="33" customHeight="1">
      <c r="B4" s="128" t="s">
        <v>45</v>
      </c>
      <c r="C4" s="145" t="s">
        <v>77</v>
      </c>
      <c r="D4" s="129" t="s">
        <v>78</v>
      </c>
      <c r="E4" s="137" t="s">
        <v>21</v>
      </c>
      <c r="F4" s="137" t="s">
        <v>45</v>
      </c>
      <c r="G4" s="137" t="s">
        <v>77</v>
      </c>
      <c r="H4" s="137" t="s">
        <v>78</v>
      </c>
    </row>
    <row r="5" spans="1:8">
      <c r="A5" s="5">
        <v>1976</v>
      </c>
      <c r="B5" s="130">
        <v>83.360790774299829</v>
      </c>
      <c r="C5" s="131">
        <v>81.460674157303373</v>
      </c>
      <c r="D5" s="132">
        <v>74.747474747474755</v>
      </c>
      <c r="E5" s="8"/>
      <c r="F5" s="8">
        <v>86.764705882352942</v>
      </c>
      <c r="G5" s="8">
        <v>84.331797235023046</v>
      </c>
      <c r="H5" s="8">
        <v>59.437751004016057</v>
      </c>
    </row>
    <row r="6" spans="1:8">
      <c r="A6" s="5">
        <v>1977</v>
      </c>
      <c r="B6" s="130">
        <v>88.274706867671696</v>
      </c>
      <c r="C6" s="131">
        <v>86.201991465149362</v>
      </c>
      <c r="D6" s="132">
        <v>77.054794520547944</v>
      </c>
      <c r="E6" s="8"/>
      <c r="F6" s="8">
        <v>85.714285714285708</v>
      </c>
      <c r="G6" s="8">
        <v>84.066767830045521</v>
      </c>
      <c r="H6" s="8">
        <v>74.796747967479675</v>
      </c>
    </row>
    <row r="7" spans="1:8">
      <c r="A7" s="5">
        <v>1978</v>
      </c>
      <c r="B7" s="130">
        <v>86.16144975288303</v>
      </c>
      <c r="C7" s="131">
        <v>83.100558659217882</v>
      </c>
      <c r="D7" s="132">
        <v>85.38205980066445</v>
      </c>
      <c r="E7" s="8"/>
      <c r="F7" s="8">
        <v>90.974729241877256</v>
      </c>
      <c r="G7" s="8">
        <v>87.537537537537531</v>
      </c>
      <c r="H7" s="8">
        <v>87.795275590551185</v>
      </c>
    </row>
    <row r="8" spans="1:8">
      <c r="A8" s="5">
        <v>1979</v>
      </c>
      <c r="B8" s="130">
        <v>87.043189368770769</v>
      </c>
      <c r="C8" s="131">
        <v>83.966244725738392</v>
      </c>
      <c r="D8" s="132">
        <v>85.245901639344254</v>
      </c>
      <c r="E8" s="8"/>
      <c r="F8" s="8">
        <v>89.031078610603288</v>
      </c>
      <c r="G8" s="8">
        <v>84.464555052790345</v>
      </c>
      <c r="H8" s="8">
        <v>79.693486590038304</v>
      </c>
    </row>
    <row r="9" spans="1:8">
      <c r="A9" s="5">
        <v>1980</v>
      </c>
      <c r="B9" s="130">
        <v>84.150326797385617</v>
      </c>
      <c r="C9" s="131">
        <v>81.01788170563961</v>
      </c>
      <c r="D9" s="132">
        <v>82.622950819672141</v>
      </c>
      <c r="E9" s="8"/>
      <c r="F9" s="8">
        <v>84.848484848484844</v>
      </c>
      <c r="G9" s="8">
        <v>79.585798816568044</v>
      </c>
      <c r="H9" s="8">
        <v>73.228346456692918</v>
      </c>
    </row>
    <row r="10" spans="1:8">
      <c r="A10" s="5">
        <v>1981</v>
      </c>
      <c r="B10" s="130">
        <v>84.818481848184817</v>
      </c>
      <c r="C10" s="131">
        <v>82.377622377622373</v>
      </c>
      <c r="D10" s="132">
        <v>78.369905956112845</v>
      </c>
      <c r="E10" s="8"/>
      <c r="F10" s="8">
        <v>83.882783882783883</v>
      </c>
      <c r="G10" s="8">
        <v>81.146304675716436</v>
      </c>
      <c r="H10" s="8">
        <v>77.358490566037744</v>
      </c>
    </row>
    <row r="11" spans="1:8">
      <c r="A11" s="5">
        <v>1982</v>
      </c>
      <c r="B11" s="130">
        <v>85.254237288135599</v>
      </c>
      <c r="C11" s="131">
        <v>82.926829268292678</v>
      </c>
      <c r="D11" s="132">
        <v>77.142857142857153</v>
      </c>
      <c r="E11" s="8"/>
      <c r="F11" s="8">
        <v>84.339622641509436</v>
      </c>
      <c r="G11" s="8">
        <v>81.25</v>
      </c>
      <c r="H11" s="8">
        <v>73.540856031128413</v>
      </c>
    </row>
    <row r="12" spans="1:8">
      <c r="A12" s="5">
        <v>1983</v>
      </c>
      <c r="B12" s="130">
        <v>83.275261324041821</v>
      </c>
      <c r="C12" s="131">
        <v>81.112737920937036</v>
      </c>
      <c r="D12" s="132">
        <v>73.400673400673398</v>
      </c>
      <c r="E12" s="8"/>
      <c r="F12" s="8">
        <v>80.980392156862749</v>
      </c>
      <c r="G12" s="8">
        <v>81.701444622792934</v>
      </c>
      <c r="H12" s="8">
        <v>71.551724137931032</v>
      </c>
    </row>
    <row r="13" spans="1:8">
      <c r="A13" s="5">
        <v>1984</v>
      </c>
      <c r="B13" s="130">
        <v>89.0625</v>
      </c>
      <c r="C13" s="131">
        <v>85.860058309037896</v>
      </c>
      <c r="D13" s="132">
        <v>86.092715231788077</v>
      </c>
      <c r="E13" s="8"/>
      <c r="F13" s="8">
        <v>88.932038834951456</v>
      </c>
      <c r="G13" s="8">
        <v>86.846275752773366</v>
      </c>
      <c r="H13" s="8">
        <v>80.566801619433207</v>
      </c>
    </row>
    <row r="14" spans="1:8">
      <c r="A14" s="5">
        <v>1985</v>
      </c>
      <c r="B14" s="130">
        <v>88.566552901023883</v>
      </c>
      <c r="C14" s="131">
        <v>85.264663805436342</v>
      </c>
      <c r="D14" s="132">
        <v>85.667752442996743</v>
      </c>
      <c r="E14" s="8"/>
      <c r="F14" s="8">
        <v>88.974854932301739</v>
      </c>
      <c r="G14" s="8">
        <v>84.507042253521121</v>
      </c>
      <c r="H14" s="8">
        <v>85.655737704918039</v>
      </c>
    </row>
    <row r="15" spans="1:8">
      <c r="A15" s="5">
        <v>1986</v>
      </c>
      <c r="B15" s="130">
        <v>87.074829931972786</v>
      </c>
      <c r="C15" s="131">
        <v>83.380681818181827</v>
      </c>
      <c r="D15" s="132">
        <v>88.81578947368422</v>
      </c>
      <c r="E15" s="8"/>
      <c r="F15" s="8">
        <v>92.023346303501938</v>
      </c>
      <c r="G15" s="8">
        <v>84.890965732087238</v>
      </c>
      <c r="H15" s="8">
        <v>85.140562248995991</v>
      </c>
    </row>
    <row r="16" spans="1:8">
      <c r="A16" s="5">
        <v>1987</v>
      </c>
      <c r="B16" s="130">
        <v>85.299145299145295</v>
      </c>
      <c r="C16" s="131">
        <v>83.214793741109531</v>
      </c>
      <c r="D16" s="132">
        <v>76.393442622950829</v>
      </c>
      <c r="E16" s="8"/>
      <c r="F16" s="8">
        <v>86.5234375</v>
      </c>
      <c r="G16" s="8">
        <v>84.53125</v>
      </c>
      <c r="H16" s="8">
        <v>75.298804780876495</v>
      </c>
    </row>
    <row r="17" spans="1:8">
      <c r="A17" s="5">
        <v>1988</v>
      </c>
      <c r="B17" s="130">
        <v>86.264656616415408</v>
      </c>
      <c r="C17" s="131">
        <v>82.916666666666671</v>
      </c>
      <c r="D17" s="132">
        <v>85.806451612903217</v>
      </c>
      <c r="E17" s="8"/>
      <c r="F17" s="8">
        <v>88.19047619047619</v>
      </c>
      <c r="G17" s="8">
        <v>83.130699088145903</v>
      </c>
      <c r="H17" s="8">
        <v>88.537549407114625</v>
      </c>
    </row>
    <row r="18" spans="1:8">
      <c r="A18" s="5">
        <v>1989</v>
      </c>
      <c r="B18" s="130">
        <v>86.820428336079075</v>
      </c>
      <c r="C18" s="131">
        <v>84.038199181446117</v>
      </c>
      <c r="D18" s="132">
        <v>83.647798742138363</v>
      </c>
      <c r="E18" s="8"/>
      <c r="F18" s="8">
        <v>88.367729831144473</v>
      </c>
      <c r="G18" s="8">
        <v>84.580838323353291</v>
      </c>
      <c r="H18" s="8">
        <v>82.397003745318358</v>
      </c>
    </row>
    <row r="19" spans="1:8">
      <c r="A19" s="5">
        <v>1990</v>
      </c>
      <c r="B19" s="130">
        <v>87.350427350427353</v>
      </c>
      <c r="C19" s="131">
        <v>84.463276836158201</v>
      </c>
      <c r="D19" s="132">
        <v>83.974358974358978</v>
      </c>
      <c r="E19" s="8"/>
      <c r="F19" s="8">
        <v>89.453125</v>
      </c>
      <c r="G19" s="8">
        <v>85.847589424572305</v>
      </c>
      <c r="H19" s="8">
        <v>84.860557768924309</v>
      </c>
    </row>
    <row r="20" spans="1:8">
      <c r="A20" s="5">
        <v>1991</v>
      </c>
      <c r="B20" s="130">
        <v>88.120567375886523</v>
      </c>
      <c r="C20" s="131">
        <v>84.593023255813947</v>
      </c>
      <c r="D20" s="132">
        <v>89.041095890410958</v>
      </c>
      <c r="E20" s="8"/>
      <c r="F20" s="8">
        <v>89.669421487603302</v>
      </c>
      <c r="G20" s="8">
        <v>84.652665589660742</v>
      </c>
      <c r="H20" s="8">
        <v>90.254237288135599</v>
      </c>
    </row>
    <row r="21" spans="1:8">
      <c r="A21" s="5">
        <v>1992</v>
      </c>
      <c r="B21" s="130">
        <v>88.162544169611309</v>
      </c>
      <c r="C21" s="131">
        <v>86.066763425253995</v>
      </c>
      <c r="D21" s="132">
        <v>81.694915254237287</v>
      </c>
      <c r="E21" s="8"/>
      <c r="F21" s="8">
        <v>89.97955010224949</v>
      </c>
      <c r="G21" s="8">
        <v>86.195826645264845</v>
      </c>
      <c r="H21" s="8">
        <v>84.745762711864401</v>
      </c>
    </row>
    <row r="22" spans="1:8">
      <c r="A22" s="5">
        <v>1993</v>
      </c>
      <c r="B22" s="130">
        <v>89.311594202898547</v>
      </c>
      <c r="C22" s="131">
        <v>86.846038863976077</v>
      </c>
      <c r="D22" s="132">
        <v>84.93150684931507</v>
      </c>
      <c r="E22" s="8"/>
      <c r="F22" s="8">
        <v>92.243186582809216</v>
      </c>
      <c r="G22" s="8">
        <v>88.741721854304629</v>
      </c>
      <c r="H22" s="8">
        <v>85.169491525423723</v>
      </c>
    </row>
    <row r="23" spans="1:8">
      <c r="A23" s="5">
        <v>1994</v>
      </c>
      <c r="B23" s="130">
        <v>87.769784172661872</v>
      </c>
      <c r="C23" s="131">
        <v>84.933530280649933</v>
      </c>
      <c r="D23" s="132">
        <v>85.567010309278345</v>
      </c>
      <c r="E23" s="8"/>
      <c r="F23" s="8">
        <v>92.291666666666671</v>
      </c>
      <c r="G23" s="8">
        <v>85.365853658536579</v>
      </c>
      <c r="H23" s="8">
        <v>89.316239316239319</v>
      </c>
    </row>
    <row r="24" spans="1:8">
      <c r="A24" s="5">
        <v>1995</v>
      </c>
      <c r="B24" s="130">
        <v>88.150807899461398</v>
      </c>
      <c r="C24" s="131">
        <v>84.808259587020657</v>
      </c>
      <c r="D24" s="132">
        <v>89.115646258503403</v>
      </c>
      <c r="E24" s="8"/>
      <c r="F24" s="8">
        <v>90.396659707724424</v>
      </c>
      <c r="G24" s="8">
        <v>85.057471264367805</v>
      </c>
      <c r="H24" s="8">
        <v>89.915966386554629</v>
      </c>
    </row>
    <row r="25" spans="1:8">
      <c r="A25" s="5">
        <v>1996</v>
      </c>
      <c r="B25" s="130">
        <v>88.129496402877692</v>
      </c>
      <c r="C25" s="131">
        <v>85.609397944199699</v>
      </c>
      <c r="D25" s="132">
        <v>85.467128027681667</v>
      </c>
      <c r="E25" s="8"/>
      <c r="F25" s="8">
        <v>90.021231422505309</v>
      </c>
      <c r="G25" s="8">
        <v>86.51315789473685</v>
      </c>
      <c r="H25" s="8">
        <v>90.948275862068968</v>
      </c>
    </row>
    <row r="26" spans="1:8">
      <c r="A26" s="5">
        <v>1997</v>
      </c>
      <c r="B26" s="130">
        <v>86.428571428571431</v>
      </c>
      <c r="C26" s="131">
        <v>83.430232558139537</v>
      </c>
      <c r="D26" s="132">
        <v>86.505190311418687</v>
      </c>
      <c r="E26" s="8"/>
      <c r="F26" s="8">
        <v>90.212765957446805</v>
      </c>
      <c r="G26" s="8">
        <v>85.597381342062192</v>
      </c>
      <c r="H26" s="8">
        <v>88.362068965517238</v>
      </c>
    </row>
    <row r="27" spans="1:8">
      <c r="A27" s="5">
        <v>1998</v>
      </c>
      <c r="B27" s="130">
        <v>86.837606837606842</v>
      </c>
      <c r="C27" s="131">
        <v>83.679114799446751</v>
      </c>
      <c r="D27" s="132">
        <v>87.457627118644069</v>
      </c>
      <c r="E27" s="8"/>
      <c r="F27" s="8">
        <v>89.626556016597519</v>
      </c>
      <c r="G27" s="8">
        <v>86.277602523659297</v>
      </c>
      <c r="H27" s="8">
        <v>87.86610878661088</v>
      </c>
    </row>
    <row r="28" spans="1:8">
      <c r="A28" s="5">
        <v>1999</v>
      </c>
      <c r="B28" s="130">
        <v>86.567164179104466</v>
      </c>
      <c r="C28" s="131">
        <v>83.758389261744966</v>
      </c>
      <c r="D28" s="132">
        <v>84.838709677419359</v>
      </c>
      <c r="E28" s="8"/>
      <c r="F28" s="8">
        <v>89.285714285714292</v>
      </c>
      <c r="G28" s="8">
        <v>86.737804878048792</v>
      </c>
      <c r="H28" s="8">
        <v>88.979591836734699</v>
      </c>
    </row>
    <row r="29" spans="1:8">
      <c r="A29" s="5">
        <v>2000</v>
      </c>
      <c r="B29" s="130">
        <v>86.268174474959608</v>
      </c>
      <c r="C29" s="131">
        <v>84.114583333333343</v>
      </c>
      <c r="D29" s="132">
        <v>82.051282051282044</v>
      </c>
      <c r="E29" s="8">
        <v>95</v>
      </c>
      <c r="F29" s="8">
        <v>90.335305719921095</v>
      </c>
      <c r="G29" s="8">
        <v>85.285285285285283</v>
      </c>
      <c r="H29" s="8">
        <v>83.003952569169954</v>
      </c>
    </row>
    <row r="30" spans="1:8">
      <c r="A30" s="5">
        <v>2001</v>
      </c>
      <c r="B30" s="130">
        <v>85.536547433903579</v>
      </c>
      <c r="C30" s="131">
        <v>82.5</v>
      </c>
      <c r="D30" s="132">
        <v>86.238532110091754</v>
      </c>
      <c r="E30" s="8"/>
      <c r="F30" s="8">
        <v>88.63636363636364</v>
      </c>
      <c r="G30" s="8">
        <v>84.704184704184698</v>
      </c>
      <c r="H30" s="8">
        <v>83.773584905660385</v>
      </c>
    </row>
    <row r="31" spans="1:8">
      <c r="A31" s="5">
        <v>2002</v>
      </c>
      <c r="B31" s="130">
        <v>83.875968992248062</v>
      </c>
      <c r="C31" s="131">
        <v>82.375</v>
      </c>
      <c r="D31" s="132">
        <v>76.119402985074629</v>
      </c>
      <c r="E31" s="8"/>
      <c r="F31" s="8">
        <v>86.717267552182165</v>
      </c>
      <c r="G31" s="8">
        <v>85.383502170767002</v>
      </c>
      <c r="H31" s="8">
        <v>77.173913043478265</v>
      </c>
    </row>
    <row r="32" spans="1:8">
      <c r="A32" s="5">
        <v>2003</v>
      </c>
      <c r="B32" s="130">
        <v>84.555382215288617</v>
      </c>
      <c r="C32" s="131">
        <v>83.102143757881464</v>
      </c>
      <c r="D32" s="132">
        <v>76.627218934911241</v>
      </c>
      <c r="E32" s="8"/>
      <c r="F32" s="8">
        <v>87.452471482889734</v>
      </c>
      <c r="G32" s="8">
        <v>83.791606367583213</v>
      </c>
      <c r="H32" s="8">
        <v>82.656826568265686</v>
      </c>
    </row>
    <row r="33" spans="1:8">
      <c r="A33" s="5">
        <v>2004</v>
      </c>
      <c r="B33" s="130">
        <v>84.509202453987726</v>
      </c>
      <c r="C33" s="131">
        <v>83.004926108374391</v>
      </c>
      <c r="D33" s="132">
        <v>75.964391691394667</v>
      </c>
      <c r="E33" s="8"/>
      <c r="F33" s="8">
        <v>87.169811320754718</v>
      </c>
      <c r="G33" s="8">
        <v>85.714285714285708</v>
      </c>
      <c r="H33" s="8">
        <v>82.481751824817522</v>
      </c>
    </row>
    <row r="34" spans="1:8">
      <c r="A34" s="5">
        <v>2005</v>
      </c>
      <c r="B34" s="130">
        <v>82.878787878787875</v>
      </c>
      <c r="C34" s="131">
        <v>80.680437424058326</v>
      </c>
      <c r="D34" s="132">
        <v>76.67638483965014</v>
      </c>
      <c r="E34" s="8"/>
      <c r="F34" s="8">
        <v>87.084870848708491</v>
      </c>
      <c r="G34" s="8">
        <v>81.039325842696627</v>
      </c>
      <c r="H34" s="8">
        <v>81.985294117647058</v>
      </c>
    </row>
    <row r="35" spans="1:8">
      <c r="A35" s="5">
        <v>2006</v>
      </c>
      <c r="B35" s="130">
        <v>82.912332838038637</v>
      </c>
      <c r="C35" s="131">
        <v>82.011834319526628</v>
      </c>
      <c r="D35" s="132">
        <v>78.160919540229884</v>
      </c>
      <c r="E35" s="8"/>
      <c r="F35" s="8">
        <v>84.476534296028888</v>
      </c>
      <c r="G35" s="8">
        <v>82.67394270122783</v>
      </c>
      <c r="H35" s="8">
        <v>86.956521739130437</v>
      </c>
    </row>
    <row r="36" spans="1:8">
      <c r="A36" s="5">
        <v>2007</v>
      </c>
      <c r="B36" s="130">
        <v>83.620689655172413</v>
      </c>
      <c r="C36" s="131">
        <v>81.662870159453306</v>
      </c>
      <c r="D36" s="132">
        <v>83.426966292134836</v>
      </c>
      <c r="E36" s="8"/>
      <c r="F36" s="8">
        <v>87.346221441124783</v>
      </c>
      <c r="G36" s="8">
        <v>82.5</v>
      </c>
      <c r="H36" s="8">
        <v>86.36363636363636</v>
      </c>
    </row>
    <row r="37" spans="1:8">
      <c r="A37" s="5">
        <v>2008</v>
      </c>
      <c r="B37" s="130">
        <v>82.885431400282883</v>
      </c>
      <c r="C37" s="131">
        <v>81.257014590347922</v>
      </c>
      <c r="D37" s="132">
        <v>81.095890410958901</v>
      </c>
      <c r="E37" s="8"/>
      <c r="F37" s="8">
        <v>86.655112651646448</v>
      </c>
      <c r="G37" s="8">
        <v>83.527885862516214</v>
      </c>
      <c r="H37" s="8">
        <v>82.372881355932208</v>
      </c>
    </row>
    <row r="38" spans="1:8">
      <c r="A38" s="5">
        <v>2009</v>
      </c>
      <c r="B38" s="130">
        <v>85.472496473906915</v>
      </c>
      <c r="C38" s="131">
        <v>84.228187919463082</v>
      </c>
      <c r="D38" s="132">
        <v>81.300813008130078</v>
      </c>
      <c r="E38" s="8"/>
      <c r="F38" s="8">
        <v>88.194444444444443</v>
      </c>
      <c r="G38" s="8">
        <v>86.787564766839381</v>
      </c>
      <c r="H38" s="8">
        <v>85.666666666666671</v>
      </c>
    </row>
    <row r="39" spans="1:8">
      <c r="A39" s="5">
        <v>2010</v>
      </c>
      <c r="B39" s="130">
        <v>85.572842998585571</v>
      </c>
      <c r="C39" s="131">
        <v>84.040178571428569</v>
      </c>
      <c r="D39" s="132">
        <v>82.288828337874662</v>
      </c>
      <c r="E39" s="8"/>
      <c r="F39" s="8">
        <v>89.492119089316986</v>
      </c>
      <c r="G39" s="8">
        <v>89.780077619663643</v>
      </c>
      <c r="H39" s="8">
        <v>85.430463576158942</v>
      </c>
    </row>
    <row r="40" spans="1:8">
      <c r="A40" s="5">
        <v>2011</v>
      </c>
      <c r="B40" s="130">
        <v>87.570621468926561</v>
      </c>
      <c r="C40" s="131">
        <v>85.226019845644984</v>
      </c>
      <c r="D40" s="132">
        <v>87.215909090909093</v>
      </c>
      <c r="E40" s="8"/>
      <c r="F40" s="8">
        <v>90.140845070422543</v>
      </c>
      <c r="G40" s="8">
        <v>88.348271446862995</v>
      </c>
      <c r="H40" s="8">
        <v>88.581314878892741</v>
      </c>
    </row>
    <row r="41" spans="1:8">
      <c r="A41" s="5">
        <v>2012</v>
      </c>
      <c r="B41" s="130">
        <v>85.477178423236509</v>
      </c>
      <c r="C41" s="131">
        <v>83.15334773218143</v>
      </c>
      <c r="D41" s="132">
        <v>85.872576177285325</v>
      </c>
      <c r="E41" s="8"/>
      <c r="F41" s="8">
        <v>88.717948717948715</v>
      </c>
      <c r="G41" s="8">
        <v>83.042394014962596</v>
      </c>
      <c r="H41" s="8">
        <v>86.18421052631578</v>
      </c>
    </row>
    <row r="42" spans="1:8">
      <c r="A42" s="5">
        <v>2013</v>
      </c>
      <c r="B42" s="130">
        <v>84.332425068119889</v>
      </c>
      <c r="C42" s="131">
        <v>82.070437566702239</v>
      </c>
      <c r="D42" s="132">
        <v>84.574468085106375</v>
      </c>
      <c r="E42" s="8"/>
      <c r="F42" s="8">
        <v>88.265306122448976</v>
      </c>
      <c r="G42" s="8">
        <v>84.184308841843091</v>
      </c>
      <c r="H42" s="8">
        <v>88.78205128205127</v>
      </c>
    </row>
    <row r="43" spans="1:8">
      <c r="A43" s="5">
        <v>2014</v>
      </c>
      <c r="B43" s="130">
        <v>84.146341463414629</v>
      </c>
      <c r="C43" s="131">
        <v>80.570221752903905</v>
      </c>
      <c r="D43" s="132">
        <v>91.913746630727772</v>
      </c>
      <c r="E43" s="8"/>
      <c r="F43" s="8">
        <v>87.913907284768214</v>
      </c>
      <c r="G43" s="8">
        <v>84.914841849148416</v>
      </c>
      <c r="H43" s="8">
        <v>88.60759493670885</v>
      </c>
    </row>
    <row r="44" spans="1:8">
      <c r="A44" s="5">
        <v>2015</v>
      </c>
      <c r="B44" s="130">
        <v>82.907133243607007</v>
      </c>
      <c r="C44" s="131">
        <v>80.837696335078533</v>
      </c>
      <c r="D44" s="132">
        <v>82.926829268292678</v>
      </c>
      <c r="E44" s="8"/>
      <c r="F44" s="8">
        <v>90.697674418604649</v>
      </c>
      <c r="G44" s="8">
        <v>85.714285714285708</v>
      </c>
      <c r="H44" s="8">
        <v>85.808580858085804</v>
      </c>
    </row>
    <row r="45" spans="1:8">
      <c r="A45" s="5">
        <v>2016</v>
      </c>
      <c r="B45" s="130">
        <v>85</v>
      </c>
      <c r="C45" s="131">
        <v>83.772391991570075</v>
      </c>
      <c r="D45" s="132">
        <v>80.266666666666666</v>
      </c>
      <c r="E45" s="8"/>
      <c r="F45" s="8">
        <v>89.238410596026483</v>
      </c>
      <c r="G45" s="8">
        <v>83.273164861612514</v>
      </c>
      <c r="H45" s="8">
        <v>86.928104575163403</v>
      </c>
    </row>
    <row r="46" spans="1:8">
      <c r="A46" s="5">
        <v>2017</v>
      </c>
      <c r="B46" s="130">
        <v>85.151116951379763</v>
      </c>
      <c r="C46" s="131">
        <v>82.737487231869252</v>
      </c>
      <c r="D46" s="132">
        <v>86.876640419947506</v>
      </c>
      <c r="E46" s="8"/>
      <c r="F46" s="8">
        <v>89.049919484702087</v>
      </c>
      <c r="G46" s="8">
        <v>84.869976359338068</v>
      </c>
      <c r="H46" s="8">
        <v>91.719745222929944</v>
      </c>
    </row>
    <row r="47" spans="1:8">
      <c r="A47" s="5">
        <v>2018</v>
      </c>
      <c r="B47" s="130">
        <v>86.031331592689298</v>
      </c>
      <c r="C47" s="131">
        <v>83.9231547017189</v>
      </c>
      <c r="D47" s="132">
        <v>86.24338624338624</v>
      </c>
      <c r="E47" s="8"/>
      <c r="F47" s="8">
        <v>89.456869009584665</v>
      </c>
      <c r="G47" s="8">
        <v>83.815028901734095</v>
      </c>
      <c r="H47" s="8">
        <v>87.539936102236425</v>
      </c>
    </row>
    <row r="48" spans="1:8">
      <c r="A48" s="5">
        <v>2019</v>
      </c>
      <c r="B48" s="130">
        <v>84.715025906735747</v>
      </c>
      <c r="C48" s="131">
        <v>82.394366197183103</v>
      </c>
      <c r="D48" s="132">
        <v>86.269430051813472</v>
      </c>
      <c r="E48" s="8"/>
      <c r="F48" s="8">
        <v>89.666136724960253</v>
      </c>
      <c r="G48" s="8">
        <v>82.814302191464819</v>
      </c>
      <c r="H48" s="8">
        <v>90.062111801242239</v>
      </c>
    </row>
    <row r="50" spans="1:8">
      <c r="A50" s="5" t="s">
        <v>22</v>
      </c>
      <c r="B50" s="58">
        <f>B48-B5</f>
        <v>1.3542351324359174</v>
      </c>
      <c r="C50" s="58">
        <f t="shared" ref="C50:H50" si="0">C48-C5</f>
        <v>0.93369203987973037</v>
      </c>
      <c r="D50" s="58">
        <f t="shared" si="0"/>
        <v>11.521955304338718</v>
      </c>
      <c r="E50" s="58"/>
      <c r="F50" s="58">
        <f t="shared" si="0"/>
        <v>2.9014308426073114</v>
      </c>
      <c r="G50" s="58">
        <f t="shared" si="0"/>
        <v>-1.5174950435582275</v>
      </c>
      <c r="H50" s="58">
        <f t="shared" si="0"/>
        <v>30.624360797226181</v>
      </c>
    </row>
    <row r="51" spans="1:8">
      <c r="A51" s="5" t="s">
        <v>23</v>
      </c>
      <c r="B51" s="58">
        <f>B29-B5</f>
        <v>2.9073837006597785</v>
      </c>
      <c r="C51" s="58">
        <f t="shared" ref="C51:H51" si="1">C29-C5</f>
        <v>2.6539091760299698</v>
      </c>
      <c r="D51" s="58">
        <f t="shared" si="1"/>
        <v>7.3038073038072895</v>
      </c>
      <c r="E51" s="58"/>
      <c r="F51" s="58">
        <f t="shared" si="1"/>
        <v>3.5705998375681531</v>
      </c>
      <c r="G51" s="58">
        <f t="shared" si="1"/>
        <v>0.95348805026223715</v>
      </c>
      <c r="H51" s="58">
        <f t="shared" si="1"/>
        <v>23.566201565153897</v>
      </c>
    </row>
    <row r="52" spans="1:8">
      <c r="A52" s="5" t="s">
        <v>24</v>
      </c>
      <c r="B52" s="58">
        <f>B48-B29</f>
        <v>-1.553148568223861</v>
      </c>
      <c r="C52" s="58">
        <f t="shared" ref="C52:H52" si="2">C48-C29</f>
        <v>-1.7202171361502394</v>
      </c>
      <c r="D52" s="58">
        <f t="shared" si="2"/>
        <v>4.2181480005314285</v>
      </c>
      <c r="E52" s="58"/>
      <c r="F52" s="58">
        <f t="shared" si="2"/>
        <v>-0.6691689949608417</v>
      </c>
      <c r="G52" s="58">
        <f t="shared" si="2"/>
        <v>-2.4709830938204647</v>
      </c>
      <c r="H52" s="58">
        <f t="shared" si="2"/>
        <v>7.0581592320722848</v>
      </c>
    </row>
    <row r="53" spans="1:8">
      <c r="B53" s="135"/>
      <c r="C53" s="135"/>
      <c r="D53" s="135"/>
      <c r="E53" s="135"/>
      <c r="F53" s="135"/>
      <c r="G53" s="135"/>
      <c r="H53" s="135"/>
    </row>
    <row r="54" spans="1:8">
      <c r="A54" s="5" t="s">
        <v>607</v>
      </c>
    </row>
    <row r="55" spans="1:8">
      <c r="C55" s="115"/>
    </row>
    <row r="56" spans="1:8">
      <c r="C56" s="115"/>
    </row>
  </sheetData>
  <mergeCells count="2">
    <mergeCell ref="B3:D3"/>
    <mergeCell ref="F3:H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A1C3C-CA40-8248-88BF-1FF0497F284F}">
  <sheetPr codeName="Sheet16"/>
  <dimension ref="A1:Q88"/>
  <sheetViews>
    <sheetView zoomScale="89" workbookViewId="0"/>
  </sheetViews>
  <sheetFormatPr baseColWidth="10" defaultColWidth="11" defaultRowHeight="16"/>
  <cols>
    <col min="1" max="1" width="21.1640625" style="5" customWidth="1"/>
    <col min="2" max="2" width="17.6640625" style="5" customWidth="1"/>
    <col min="3" max="3" width="15.5" style="5" customWidth="1"/>
    <col min="4" max="4" width="15.6640625" style="5" customWidth="1"/>
    <col min="5" max="5" width="18.6640625" style="5" customWidth="1"/>
    <col min="6" max="6" width="18.83203125" style="5" customWidth="1"/>
    <col min="7" max="7" width="18.33203125" style="5" customWidth="1"/>
    <col min="8" max="8" width="18.1640625" style="5" customWidth="1"/>
    <col min="9" max="9" width="19" style="5" customWidth="1"/>
    <col min="10" max="10" width="18.1640625" style="5" customWidth="1"/>
    <col min="11" max="11" width="18.5" style="5" customWidth="1"/>
    <col min="12" max="12" width="16.83203125" style="5" customWidth="1"/>
    <col min="13" max="13" width="17.1640625" style="5" customWidth="1"/>
    <col min="14" max="16384" width="11" style="5"/>
  </cols>
  <sheetData>
    <row r="1" spans="1:17">
      <c r="A1" s="3" t="s">
        <v>617</v>
      </c>
    </row>
    <row r="2" spans="1:17">
      <c r="A2" s="5" t="s">
        <v>3</v>
      </c>
    </row>
    <row r="4" spans="1:17">
      <c r="B4" s="328" t="s">
        <v>4</v>
      </c>
      <c r="C4" s="328"/>
      <c r="D4" s="328"/>
      <c r="E4" s="328" t="s">
        <v>5</v>
      </c>
      <c r="F4" s="328"/>
      <c r="G4" s="328"/>
      <c r="H4" s="328" t="s">
        <v>7</v>
      </c>
      <c r="I4" s="328"/>
      <c r="J4" s="328"/>
      <c r="K4" s="328" t="s">
        <v>6</v>
      </c>
      <c r="L4" s="328"/>
      <c r="M4" s="328"/>
      <c r="O4" s="328"/>
      <c r="P4" s="328"/>
      <c r="Q4" s="328"/>
    </row>
    <row r="5" spans="1:17" ht="64" customHeight="1">
      <c r="B5" s="137" t="s">
        <v>81</v>
      </c>
      <c r="C5" s="137" t="s">
        <v>77</v>
      </c>
      <c r="D5" s="137" t="s">
        <v>78</v>
      </c>
      <c r="E5" s="137" t="s">
        <v>81</v>
      </c>
      <c r="F5" s="137" t="s">
        <v>77</v>
      </c>
      <c r="G5" s="137" t="s">
        <v>78</v>
      </c>
      <c r="H5" s="137" t="s">
        <v>81</v>
      </c>
      <c r="I5" s="137" t="s">
        <v>77</v>
      </c>
      <c r="J5" s="137" t="s">
        <v>78</v>
      </c>
      <c r="K5" s="137" t="s">
        <v>81</v>
      </c>
      <c r="L5" s="137" t="s">
        <v>77</v>
      </c>
      <c r="M5" s="137" t="s">
        <v>78</v>
      </c>
      <c r="O5" s="137"/>
      <c r="P5" s="137"/>
      <c r="Q5" s="137"/>
    </row>
    <row r="6" spans="1:17">
      <c r="A6" s="5">
        <v>1976</v>
      </c>
      <c r="B6" s="20">
        <v>49100</v>
      </c>
      <c r="C6" s="20">
        <v>57100</v>
      </c>
      <c r="D6" s="20">
        <v>18400</v>
      </c>
      <c r="E6" s="20">
        <v>9100</v>
      </c>
      <c r="F6" s="20">
        <v>9800</v>
      </c>
      <c r="G6" s="20">
        <v>6400</v>
      </c>
      <c r="H6" s="20">
        <v>7600</v>
      </c>
      <c r="I6" s="20">
        <v>8900</v>
      </c>
      <c r="J6" s="20">
        <v>2600</v>
      </c>
      <c r="K6" s="20">
        <v>58200</v>
      </c>
      <c r="L6" s="20">
        <v>66900</v>
      </c>
      <c r="M6" s="20">
        <v>24800</v>
      </c>
      <c r="O6" s="26"/>
      <c r="P6" s="26"/>
      <c r="Q6" s="26"/>
    </row>
    <row r="7" spans="1:17">
      <c r="A7" s="5">
        <v>1977</v>
      </c>
      <c r="B7" s="20">
        <v>50700</v>
      </c>
      <c r="C7" s="20">
        <v>59000</v>
      </c>
      <c r="D7" s="20">
        <v>19400</v>
      </c>
      <c r="E7" s="20">
        <v>9300</v>
      </c>
      <c r="F7" s="20">
        <v>10200</v>
      </c>
      <c r="G7" s="20">
        <v>5800</v>
      </c>
      <c r="H7" s="20">
        <v>7400</v>
      </c>
      <c r="I7" s="20">
        <v>8600</v>
      </c>
      <c r="J7" s="20">
        <v>2700</v>
      </c>
      <c r="K7" s="20">
        <v>60000</v>
      </c>
      <c r="L7" s="20">
        <v>69200</v>
      </c>
      <c r="M7" s="20">
        <v>25200</v>
      </c>
      <c r="O7" s="26"/>
      <c r="P7" s="26"/>
      <c r="Q7" s="26"/>
    </row>
    <row r="8" spans="1:17">
      <c r="A8" s="5">
        <v>1978</v>
      </c>
      <c r="B8" s="20">
        <v>50200</v>
      </c>
      <c r="C8" s="20">
        <v>57000</v>
      </c>
      <c r="D8" s="20">
        <v>24900</v>
      </c>
      <c r="E8" s="20">
        <v>9300</v>
      </c>
      <c r="F8" s="20">
        <v>10500</v>
      </c>
      <c r="G8" s="20">
        <v>4800</v>
      </c>
      <c r="H8" s="20">
        <v>7200</v>
      </c>
      <c r="I8" s="20">
        <v>8100</v>
      </c>
      <c r="J8" s="20">
        <v>4000</v>
      </c>
      <c r="K8" s="20">
        <v>59500</v>
      </c>
      <c r="L8" s="20">
        <v>67600</v>
      </c>
      <c r="M8" s="20">
        <v>29700</v>
      </c>
      <c r="O8" s="26"/>
      <c r="P8" s="26"/>
      <c r="Q8" s="26"/>
    </row>
    <row r="9" spans="1:17">
      <c r="A9" s="5">
        <v>1979</v>
      </c>
      <c r="B9" s="20">
        <v>50800</v>
      </c>
      <c r="C9" s="20">
        <v>58300</v>
      </c>
      <c r="D9" s="20">
        <v>23600</v>
      </c>
      <c r="E9" s="20">
        <v>8900</v>
      </c>
      <c r="F9" s="20">
        <v>9700</v>
      </c>
      <c r="G9" s="20">
        <v>6000</v>
      </c>
      <c r="H9" s="20">
        <v>7300</v>
      </c>
      <c r="I9" s="20">
        <v>8300</v>
      </c>
      <c r="J9" s="20">
        <v>3600</v>
      </c>
      <c r="K9" s="20">
        <v>59700</v>
      </c>
      <c r="L9" s="20">
        <v>68000</v>
      </c>
      <c r="M9" s="20">
        <v>29700</v>
      </c>
      <c r="O9" s="26"/>
      <c r="P9" s="26"/>
      <c r="Q9" s="26"/>
    </row>
    <row r="10" spans="1:17">
      <c r="A10" s="5">
        <v>1980</v>
      </c>
      <c r="B10" s="20">
        <v>49100</v>
      </c>
      <c r="C10" s="20">
        <v>56600</v>
      </c>
      <c r="D10" s="20">
        <v>22300</v>
      </c>
      <c r="E10" s="20">
        <v>9700</v>
      </c>
      <c r="F10" s="20">
        <v>10600</v>
      </c>
      <c r="G10" s="20">
        <v>6500</v>
      </c>
      <c r="H10" s="20">
        <v>7300</v>
      </c>
      <c r="I10" s="20">
        <v>8300</v>
      </c>
      <c r="J10" s="20">
        <v>3700</v>
      </c>
      <c r="K10" s="20">
        <v>58800</v>
      </c>
      <c r="L10" s="20">
        <v>67200</v>
      </c>
      <c r="M10" s="20">
        <v>28800</v>
      </c>
      <c r="O10" s="26"/>
      <c r="P10" s="26"/>
      <c r="Q10" s="26"/>
    </row>
    <row r="11" spans="1:17">
      <c r="A11" s="5">
        <v>1981</v>
      </c>
      <c r="B11" s="20">
        <v>49300</v>
      </c>
      <c r="C11" s="20">
        <v>57300</v>
      </c>
      <c r="D11" s="20">
        <v>21300</v>
      </c>
      <c r="E11" s="20">
        <v>9500</v>
      </c>
      <c r="F11" s="20">
        <v>10300</v>
      </c>
      <c r="G11" s="20">
        <v>6800</v>
      </c>
      <c r="H11" s="20">
        <v>7400</v>
      </c>
      <c r="I11" s="20">
        <v>8700</v>
      </c>
      <c r="J11" s="20">
        <v>3100</v>
      </c>
      <c r="K11" s="20">
        <v>58800</v>
      </c>
      <c r="L11" s="20">
        <v>67600</v>
      </c>
      <c r="M11" s="20">
        <v>28100</v>
      </c>
      <c r="O11" s="26"/>
      <c r="P11" s="26"/>
      <c r="Q11" s="26"/>
    </row>
    <row r="12" spans="1:17">
      <c r="A12" s="5">
        <v>1982</v>
      </c>
      <c r="B12" s="20">
        <v>47300</v>
      </c>
      <c r="C12" s="20">
        <v>54800</v>
      </c>
      <c r="D12" s="20">
        <v>21200</v>
      </c>
      <c r="E12" s="20">
        <v>10600</v>
      </c>
      <c r="F12" s="20">
        <v>11800</v>
      </c>
      <c r="G12" s="20">
        <v>6700</v>
      </c>
      <c r="H12" s="20">
        <v>7600</v>
      </c>
      <c r="I12" s="20">
        <v>8700</v>
      </c>
      <c r="J12" s="20">
        <v>3600</v>
      </c>
      <c r="K12" s="20">
        <v>57900</v>
      </c>
      <c r="L12" s="20">
        <v>66600</v>
      </c>
      <c r="M12" s="20">
        <v>27900</v>
      </c>
      <c r="O12" s="26"/>
      <c r="P12" s="26"/>
      <c r="Q12" s="26"/>
    </row>
    <row r="13" spans="1:17">
      <c r="A13" s="5">
        <v>1983</v>
      </c>
      <c r="B13" s="20">
        <v>44800</v>
      </c>
      <c r="C13" s="20">
        <v>52800</v>
      </c>
      <c r="D13" s="20">
        <v>17300</v>
      </c>
      <c r="E13" s="20">
        <v>10700</v>
      </c>
      <c r="F13" s="20">
        <v>11500</v>
      </c>
      <c r="G13" s="20">
        <v>7600</v>
      </c>
      <c r="H13" s="20">
        <v>7600</v>
      </c>
      <c r="I13" s="20">
        <v>8900</v>
      </c>
      <c r="J13" s="20">
        <v>3100</v>
      </c>
      <c r="K13" s="20">
        <v>55400</v>
      </c>
      <c r="L13" s="20">
        <v>64300</v>
      </c>
      <c r="M13" s="20">
        <v>24900</v>
      </c>
      <c r="O13" s="26"/>
      <c r="P13" s="26"/>
      <c r="Q13" s="26"/>
    </row>
    <row r="14" spans="1:17">
      <c r="A14" s="5">
        <v>1984</v>
      </c>
      <c r="B14" s="20">
        <v>48500</v>
      </c>
      <c r="C14" s="20">
        <v>56300</v>
      </c>
      <c r="D14" s="20">
        <v>22100</v>
      </c>
      <c r="E14" s="20">
        <v>11000</v>
      </c>
      <c r="F14" s="20">
        <v>12000</v>
      </c>
      <c r="G14" s="20">
        <v>7600</v>
      </c>
      <c r="H14" s="20">
        <v>8200</v>
      </c>
      <c r="I14" s="20">
        <v>9500</v>
      </c>
      <c r="J14" s="20">
        <v>3800</v>
      </c>
      <c r="K14" s="20">
        <v>59500</v>
      </c>
      <c r="L14" s="20">
        <v>68400</v>
      </c>
      <c r="M14" s="20">
        <v>29800</v>
      </c>
      <c r="O14" s="26"/>
      <c r="P14" s="26"/>
      <c r="Q14" s="26"/>
    </row>
    <row r="15" spans="1:17">
      <c r="A15" s="5">
        <v>1985</v>
      </c>
      <c r="B15" s="20">
        <v>49100</v>
      </c>
      <c r="C15" s="20">
        <v>57000</v>
      </c>
      <c r="D15" s="20">
        <v>22900</v>
      </c>
      <c r="E15" s="20">
        <v>11000</v>
      </c>
      <c r="F15" s="20">
        <v>12100</v>
      </c>
      <c r="G15" s="20">
        <v>7300</v>
      </c>
      <c r="H15" s="20">
        <v>8200</v>
      </c>
      <c r="I15" s="20">
        <v>9500</v>
      </c>
      <c r="J15" s="20">
        <v>3900</v>
      </c>
      <c r="K15" s="20">
        <v>60100</v>
      </c>
      <c r="L15" s="20">
        <v>69200</v>
      </c>
      <c r="M15" s="20">
        <v>30200</v>
      </c>
      <c r="O15" s="26"/>
      <c r="P15" s="26"/>
      <c r="Q15" s="26"/>
    </row>
    <row r="16" spans="1:17">
      <c r="A16" s="5">
        <v>1986</v>
      </c>
      <c r="B16" s="20">
        <v>48600</v>
      </c>
      <c r="C16" s="20">
        <v>56200</v>
      </c>
      <c r="D16" s="20">
        <v>24000</v>
      </c>
      <c r="E16" s="20">
        <v>11300</v>
      </c>
      <c r="F16" s="20">
        <v>12400</v>
      </c>
      <c r="G16" s="20">
        <v>7600</v>
      </c>
      <c r="H16" s="20">
        <v>8700</v>
      </c>
      <c r="I16" s="20">
        <v>9900</v>
      </c>
      <c r="J16" s="20">
        <v>4600</v>
      </c>
      <c r="K16" s="20">
        <v>59900</v>
      </c>
      <c r="L16" s="20">
        <v>68700</v>
      </c>
      <c r="M16" s="20">
        <v>31600</v>
      </c>
      <c r="O16" s="26"/>
      <c r="P16" s="26"/>
      <c r="Q16" s="26"/>
    </row>
    <row r="17" spans="1:17">
      <c r="A17" s="5">
        <v>1987</v>
      </c>
      <c r="B17" s="20">
        <v>47600</v>
      </c>
      <c r="C17" s="20">
        <v>56900</v>
      </c>
      <c r="D17" s="20">
        <v>18500</v>
      </c>
      <c r="E17" s="20">
        <v>11500</v>
      </c>
      <c r="F17" s="20">
        <v>12600</v>
      </c>
      <c r="G17" s="20">
        <v>8200</v>
      </c>
      <c r="H17" s="20">
        <v>9100</v>
      </c>
      <c r="I17" s="20">
        <v>10900</v>
      </c>
      <c r="J17" s="20">
        <v>3400</v>
      </c>
      <c r="K17" s="20">
        <v>59000</v>
      </c>
      <c r="L17" s="20">
        <v>69500</v>
      </c>
      <c r="M17" s="20">
        <v>26700</v>
      </c>
      <c r="O17" s="26"/>
      <c r="P17" s="26"/>
      <c r="Q17" s="26"/>
    </row>
    <row r="18" spans="1:17">
      <c r="A18" s="5">
        <v>1988</v>
      </c>
      <c r="B18" s="20">
        <v>49000</v>
      </c>
      <c r="C18" s="20">
        <v>57800</v>
      </c>
      <c r="D18" s="20">
        <v>22300</v>
      </c>
      <c r="E18" s="20">
        <v>11900</v>
      </c>
      <c r="F18" s="20">
        <v>13000</v>
      </c>
      <c r="G18" s="20">
        <v>8600</v>
      </c>
      <c r="H18" s="20">
        <v>9500</v>
      </c>
      <c r="I18" s="20">
        <v>11100</v>
      </c>
      <c r="J18" s="20">
        <v>4300</v>
      </c>
      <c r="K18" s="20">
        <v>60900</v>
      </c>
      <c r="L18" s="20">
        <v>70800</v>
      </c>
      <c r="M18" s="20">
        <v>30900</v>
      </c>
      <c r="O18" s="26"/>
      <c r="P18" s="26"/>
      <c r="Q18" s="26"/>
    </row>
    <row r="19" spans="1:17">
      <c r="A19" s="5">
        <v>1989</v>
      </c>
      <c r="B19" s="20">
        <v>51800</v>
      </c>
      <c r="C19" s="20">
        <v>61600</v>
      </c>
      <c r="D19" s="20">
        <v>23100</v>
      </c>
      <c r="E19" s="20">
        <v>11200</v>
      </c>
      <c r="F19" s="20">
        <v>12300</v>
      </c>
      <c r="G19" s="20">
        <v>8100</v>
      </c>
      <c r="H19" s="20">
        <v>10200</v>
      </c>
      <c r="I19" s="20">
        <v>12200</v>
      </c>
      <c r="J19" s="20">
        <v>4500</v>
      </c>
      <c r="K19" s="20">
        <v>63000</v>
      </c>
      <c r="L19" s="20">
        <v>73800</v>
      </c>
      <c r="M19" s="20">
        <v>31200</v>
      </c>
      <c r="O19" s="26"/>
      <c r="P19" s="26"/>
      <c r="Q19" s="26"/>
    </row>
    <row r="20" spans="1:17">
      <c r="A20" s="5">
        <v>1990</v>
      </c>
      <c r="B20" s="20">
        <v>49800</v>
      </c>
      <c r="C20" s="20">
        <v>59300</v>
      </c>
      <c r="D20" s="20">
        <v>22700</v>
      </c>
      <c r="E20" s="20">
        <v>11500</v>
      </c>
      <c r="F20" s="20">
        <v>12700</v>
      </c>
      <c r="G20" s="20">
        <v>8200</v>
      </c>
      <c r="H20" s="20">
        <v>10200</v>
      </c>
      <c r="I20" s="20">
        <v>12200</v>
      </c>
      <c r="J20" s="20">
        <v>4600</v>
      </c>
      <c r="K20" s="20">
        <v>61400</v>
      </c>
      <c r="L20" s="20">
        <v>72000</v>
      </c>
      <c r="M20" s="20">
        <v>30800</v>
      </c>
      <c r="O20" s="26"/>
      <c r="P20" s="26"/>
      <c r="Q20" s="26"/>
    </row>
    <row r="21" spans="1:17">
      <c r="A21" s="5">
        <v>1991</v>
      </c>
      <c r="B21" s="20">
        <v>47800</v>
      </c>
      <c r="C21" s="20">
        <v>56800</v>
      </c>
      <c r="D21" s="20">
        <v>22400</v>
      </c>
      <c r="E21" s="20">
        <v>11900</v>
      </c>
      <c r="F21" s="20">
        <v>13200</v>
      </c>
      <c r="G21" s="20">
        <v>8300</v>
      </c>
      <c r="H21" s="20">
        <v>10000</v>
      </c>
      <c r="I21" s="20">
        <v>11800</v>
      </c>
      <c r="J21" s="20">
        <v>4700</v>
      </c>
      <c r="K21" s="20">
        <v>59700</v>
      </c>
      <c r="L21" s="20">
        <v>70000</v>
      </c>
      <c r="M21" s="20">
        <v>30700</v>
      </c>
      <c r="O21" s="26"/>
      <c r="P21" s="26"/>
      <c r="Q21" s="26"/>
    </row>
    <row r="22" spans="1:17">
      <c r="A22" s="5">
        <v>1992</v>
      </c>
      <c r="B22" s="20">
        <v>47200</v>
      </c>
      <c r="C22" s="20">
        <v>57500</v>
      </c>
      <c r="D22" s="20">
        <v>18500</v>
      </c>
      <c r="E22" s="20">
        <v>12500</v>
      </c>
      <c r="F22" s="20">
        <v>13600</v>
      </c>
      <c r="G22" s="20">
        <v>9400</v>
      </c>
      <c r="H22" s="20">
        <v>9700</v>
      </c>
      <c r="I22" s="20">
        <v>11800</v>
      </c>
      <c r="J22" s="20">
        <v>3700</v>
      </c>
      <c r="K22" s="20">
        <v>59600</v>
      </c>
      <c r="L22" s="20">
        <v>71100</v>
      </c>
      <c r="M22" s="20">
        <v>27900</v>
      </c>
      <c r="O22" s="26"/>
      <c r="P22" s="26"/>
      <c r="Q22" s="26"/>
    </row>
    <row r="23" spans="1:17">
      <c r="A23" s="5">
        <v>1993</v>
      </c>
      <c r="B23" s="20">
        <v>45900</v>
      </c>
      <c r="C23" s="20">
        <v>55400</v>
      </c>
      <c r="D23" s="20">
        <v>19800</v>
      </c>
      <c r="E23" s="20">
        <v>12800</v>
      </c>
      <c r="F23" s="20">
        <v>14100</v>
      </c>
      <c r="G23" s="20">
        <v>9100</v>
      </c>
      <c r="H23" s="20">
        <v>9400</v>
      </c>
      <c r="I23" s="20">
        <v>11300</v>
      </c>
      <c r="J23" s="20">
        <v>4100</v>
      </c>
      <c r="K23" s="20">
        <v>58700</v>
      </c>
      <c r="L23" s="20">
        <v>69400</v>
      </c>
      <c r="M23" s="20">
        <v>28900</v>
      </c>
      <c r="O23" s="26"/>
      <c r="P23" s="26"/>
      <c r="Q23" s="26"/>
    </row>
    <row r="24" spans="1:17">
      <c r="A24" s="5">
        <v>1994</v>
      </c>
      <c r="B24" s="20">
        <v>46000</v>
      </c>
      <c r="C24" s="20">
        <v>55700</v>
      </c>
      <c r="D24" s="20">
        <v>19500</v>
      </c>
      <c r="E24" s="20">
        <v>12500</v>
      </c>
      <c r="F24" s="20">
        <v>13500</v>
      </c>
      <c r="G24" s="20">
        <v>9700</v>
      </c>
      <c r="H24" s="20">
        <v>9700</v>
      </c>
      <c r="I24" s="20">
        <v>11700</v>
      </c>
      <c r="J24" s="20">
        <v>4200</v>
      </c>
      <c r="K24" s="20">
        <v>58500</v>
      </c>
      <c r="L24" s="20">
        <v>69200</v>
      </c>
      <c r="M24" s="20">
        <v>29100</v>
      </c>
      <c r="O24" s="26"/>
      <c r="P24" s="26"/>
      <c r="Q24" s="26"/>
    </row>
    <row r="25" spans="1:17">
      <c r="A25" s="5">
        <v>1995</v>
      </c>
      <c r="B25" s="20">
        <v>46800</v>
      </c>
      <c r="C25" s="20">
        <v>56000</v>
      </c>
      <c r="D25" s="20">
        <v>22000</v>
      </c>
      <c r="E25" s="20">
        <v>12000</v>
      </c>
      <c r="F25" s="20">
        <v>13100</v>
      </c>
      <c r="G25" s="20">
        <v>8900</v>
      </c>
      <c r="H25" s="20">
        <v>9700</v>
      </c>
      <c r="I25" s="20">
        <v>11500</v>
      </c>
      <c r="J25" s="20">
        <v>4700</v>
      </c>
      <c r="K25" s="20">
        <v>58800</v>
      </c>
      <c r="L25" s="20">
        <v>69100</v>
      </c>
      <c r="M25" s="20">
        <v>30900</v>
      </c>
      <c r="O25" s="26"/>
      <c r="P25" s="26"/>
      <c r="Q25" s="26"/>
    </row>
    <row r="26" spans="1:17">
      <c r="A26" s="5">
        <v>1996</v>
      </c>
      <c r="B26" s="20">
        <v>47100</v>
      </c>
      <c r="C26" s="20">
        <v>57500</v>
      </c>
      <c r="D26" s="20">
        <v>19800</v>
      </c>
      <c r="E26" s="20">
        <v>11800</v>
      </c>
      <c r="F26" s="20">
        <v>12800</v>
      </c>
      <c r="G26" s="20">
        <v>9100</v>
      </c>
      <c r="H26" s="20">
        <v>9900</v>
      </c>
      <c r="I26" s="20">
        <v>12100</v>
      </c>
      <c r="J26" s="20">
        <v>4200</v>
      </c>
      <c r="K26" s="20">
        <v>58900</v>
      </c>
      <c r="L26" s="20">
        <v>70300</v>
      </c>
      <c r="M26" s="20">
        <v>28900</v>
      </c>
      <c r="O26" s="26"/>
      <c r="P26" s="26"/>
      <c r="Q26" s="26"/>
    </row>
    <row r="27" spans="1:17">
      <c r="A27" s="5">
        <v>1997</v>
      </c>
      <c r="B27" s="20">
        <v>46500</v>
      </c>
      <c r="C27" s="20">
        <v>56300</v>
      </c>
      <c r="D27" s="20">
        <v>21100</v>
      </c>
      <c r="E27" s="20">
        <v>11500</v>
      </c>
      <c r="F27" s="20">
        <v>12800</v>
      </c>
      <c r="G27" s="20">
        <v>8200</v>
      </c>
      <c r="H27" s="20">
        <v>9600</v>
      </c>
      <c r="I27" s="20">
        <v>11700</v>
      </c>
      <c r="J27" s="20">
        <v>4300</v>
      </c>
      <c r="K27" s="20">
        <v>58000</v>
      </c>
      <c r="L27" s="20">
        <v>69100</v>
      </c>
      <c r="M27" s="20">
        <v>29200</v>
      </c>
      <c r="O27" s="26"/>
      <c r="P27" s="26"/>
      <c r="Q27" s="26"/>
    </row>
    <row r="28" spans="1:17">
      <c r="A28" s="5">
        <v>1998</v>
      </c>
      <c r="B28" s="20">
        <v>50000</v>
      </c>
      <c r="C28" s="20">
        <v>61000</v>
      </c>
      <c r="D28" s="20">
        <v>21800</v>
      </c>
      <c r="E28" s="20">
        <v>11300</v>
      </c>
      <c r="F28" s="20">
        <v>12400</v>
      </c>
      <c r="G28" s="20">
        <v>8300</v>
      </c>
      <c r="H28" s="20">
        <v>10500</v>
      </c>
      <c r="I28" s="20">
        <v>12900</v>
      </c>
      <c r="J28" s="20">
        <v>4300</v>
      </c>
      <c r="K28" s="20">
        <v>61300</v>
      </c>
      <c r="L28" s="20">
        <v>73400</v>
      </c>
      <c r="M28" s="20">
        <v>30100</v>
      </c>
      <c r="O28" s="26"/>
      <c r="P28" s="26"/>
      <c r="Q28" s="26"/>
    </row>
    <row r="29" spans="1:17">
      <c r="A29" s="5">
        <v>1999</v>
      </c>
      <c r="B29" s="20">
        <v>52100</v>
      </c>
      <c r="C29" s="20">
        <v>64000</v>
      </c>
      <c r="D29" s="20">
        <v>22200</v>
      </c>
      <c r="E29" s="20">
        <v>10700</v>
      </c>
      <c r="F29" s="20">
        <v>11500</v>
      </c>
      <c r="G29" s="20">
        <v>8500</v>
      </c>
      <c r="H29" s="20">
        <v>10600</v>
      </c>
      <c r="I29" s="20">
        <v>13100</v>
      </c>
      <c r="J29" s="20">
        <v>4300</v>
      </c>
      <c r="K29" s="20">
        <v>62800</v>
      </c>
      <c r="L29" s="20">
        <v>75500</v>
      </c>
      <c r="M29" s="20">
        <v>30700</v>
      </c>
      <c r="O29" s="26"/>
      <c r="P29" s="26"/>
      <c r="Q29" s="26"/>
    </row>
    <row r="30" spans="1:17">
      <c r="A30" s="5">
        <v>2000</v>
      </c>
      <c r="B30" s="20">
        <v>53700</v>
      </c>
      <c r="C30" s="20">
        <v>66800</v>
      </c>
      <c r="D30" s="20">
        <v>21000</v>
      </c>
      <c r="E30" s="20">
        <v>10500</v>
      </c>
      <c r="F30" s="20">
        <v>11200</v>
      </c>
      <c r="G30" s="20">
        <v>8600</v>
      </c>
      <c r="H30" s="20">
        <v>10800</v>
      </c>
      <c r="I30" s="20">
        <v>13400</v>
      </c>
      <c r="J30" s="20">
        <v>4100</v>
      </c>
      <c r="K30" s="20">
        <v>64200</v>
      </c>
      <c r="L30" s="20">
        <v>78100</v>
      </c>
      <c r="M30" s="20">
        <v>29600</v>
      </c>
      <c r="O30" s="26"/>
      <c r="P30" s="26"/>
      <c r="Q30" s="26"/>
    </row>
    <row r="31" spans="1:17">
      <c r="A31" s="5">
        <v>2001</v>
      </c>
      <c r="B31" s="20">
        <v>54200</v>
      </c>
      <c r="C31" s="20">
        <v>66400</v>
      </c>
      <c r="D31" s="20">
        <v>24500</v>
      </c>
      <c r="E31" s="20">
        <v>11400</v>
      </c>
      <c r="F31" s="20">
        <v>12300</v>
      </c>
      <c r="G31" s="20">
        <v>8900</v>
      </c>
      <c r="H31" s="20">
        <v>10600</v>
      </c>
      <c r="I31" s="20">
        <v>12700</v>
      </c>
      <c r="J31" s="20">
        <v>5300</v>
      </c>
      <c r="K31" s="20">
        <v>65600</v>
      </c>
      <c r="L31" s="20">
        <v>78700</v>
      </c>
      <c r="M31" s="20">
        <v>33400</v>
      </c>
      <c r="O31" s="26"/>
      <c r="P31" s="26"/>
      <c r="Q31" s="26"/>
    </row>
    <row r="32" spans="1:17">
      <c r="A32" s="5">
        <v>2002</v>
      </c>
      <c r="B32" s="20">
        <v>52900</v>
      </c>
      <c r="C32" s="20">
        <v>66300</v>
      </c>
      <c r="D32" s="20">
        <v>20200</v>
      </c>
      <c r="E32" s="20">
        <v>11300</v>
      </c>
      <c r="F32" s="20">
        <v>12300</v>
      </c>
      <c r="G32" s="20">
        <v>9000</v>
      </c>
      <c r="H32" s="20">
        <v>10100</v>
      </c>
      <c r="I32" s="20">
        <v>12700</v>
      </c>
      <c r="J32" s="20">
        <v>3700</v>
      </c>
      <c r="K32" s="20">
        <v>64200</v>
      </c>
      <c r="L32" s="20">
        <v>78500</v>
      </c>
      <c r="M32" s="20">
        <v>29200</v>
      </c>
      <c r="O32" s="26"/>
      <c r="P32" s="26"/>
      <c r="Q32" s="26"/>
    </row>
    <row r="33" spans="1:17">
      <c r="A33" s="5">
        <v>2003</v>
      </c>
      <c r="B33" s="20">
        <v>53300</v>
      </c>
      <c r="C33" s="20">
        <v>66800</v>
      </c>
      <c r="D33" s="20">
        <v>20700</v>
      </c>
      <c r="E33" s="20">
        <v>11200</v>
      </c>
      <c r="F33" s="20">
        <v>12100</v>
      </c>
      <c r="G33" s="20">
        <v>9000</v>
      </c>
      <c r="H33" s="20">
        <v>10300</v>
      </c>
      <c r="I33" s="20">
        <v>13000</v>
      </c>
      <c r="J33" s="20">
        <v>3700</v>
      </c>
      <c r="K33" s="20">
        <v>64500</v>
      </c>
      <c r="L33" s="20">
        <v>78900</v>
      </c>
      <c r="M33" s="20">
        <v>29700</v>
      </c>
      <c r="O33" s="26"/>
      <c r="P33" s="26"/>
      <c r="Q33" s="26"/>
    </row>
    <row r="34" spans="1:17">
      <c r="A34" s="5">
        <v>2004</v>
      </c>
      <c r="B34" s="20">
        <v>54100</v>
      </c>
      <c r="C34" s="20">
        <v>68200</v>
      </c>
      <c r="D34" s="20">
        <v>20400</v>
      </c>
      <c r="E34" s="20">
        <v>11200</v>
      </c>
      <c r="F34" s="20">
        <v>12200</v>
      </c>
      <c r="G34" s="20">
        <v>8900</v>
      </c>
      <c r="H34" s="20">
        <v>10300</v>
      </c>
      <c r="I34" s="20">
        <v>13100</v>
      </c>
      <c r="J34" s="20">
        <v>3600</v>
      </c>
      <c r="K34" s="20">
        <v>65400</v>
      </c>
      <c r="L34" s="20">
        <v>80400</v>
      </c>
      <c r="M34" s="20">
        <v>29300</v>
      </c>
      <c r="O34" s="26"/>
      <c r="P34" s="26"/>
      <c r="Q34" s="26"/>
    </row>
    <row r="35" spans="1:17">
      <c r="A35" s="5">
        <v>2005</v>
      </c>
      <c r="B35" s="20">
        <v>53700</v>
      </c>
      <c r="C35" s="20">
        <v>66600</v>
      </c>
      <c r="D35" s="20">
        <v>22500</v>
      </c>
      <c r="E35" s="20">
        <v>10600</v>
      </c>
      <c r="F35" s="20">
        <v>11900</v>
      </c>
      <c r="G35" s="20">
        <v>7500</v>
      </c>
      <c r="H35" s="20">
        <v>9600</v>
      </c>
      <c r="I35" s="20">
        <v>12000</v>
      </c>
      <c r="J35" s="20">
        <v>3800</v>
      </c>
      <c r="K35" s="20">
        <v>64300</v>
      </c>
      <c r="L35" s="20">
        <v>78500</v>
      </c>
      <c r="M35" s="20">
        <v>30100</v>
      </c>
      <c r="O35" s="26"/>
      <c r="P35" s="26"/>
      <c r="Q35" s="26"/>
    </row>
    <row r="36" spans="1:17">
      <c r="A36" s="5">
        <v>2006</v>
      </c>
      <c r="B36" s="20">
        <v>54700</v>
      </c>
      <c r="C36" s="20">
        <v>69300</v>
      </c>
      <c r="D36" s="20">
        <v>24000</v>
      </c>
      <c r="E36" s="20">
        <v>10900</v>
      </c>
      <c r="F36" s="20">
        <v>12600</v>
      </c>
      <c r="G36" s="20">
        <v>7500</v>
      </c>
      <c r="H36" s="20">
        <v>9900</v>
      </c>
      <c r="I36" s="20">
        <v>12500</v>
      </c>
      <c r="J36" s="20">
        <v>4200</v>
      </c>
      <c r="K36" s="20">
        <v>65700</v>
      </c>
      <c r="L36" s="20">
        <v>81900</v>
      </c>
      <c r="M36" s="20">
        <v>31500</v>
      </c>
      <c r="O36" s="26"/>
      <c r="P36" s="26"/>
      <c r="Q36" s="26"/>
    </row>
    <row r="37" spans="1:17">
      <c r="A37" s="5">
        <v>2007</v>
      </c>
      <c r="B37" s="20">
        <v>57000</v>
      </c>
      <c r="C37" s="20">
        <v>71700</v>
      </c>
      <c r="D37" s="20">
        <v>26200</v>
      </c>
      <c r="E37" s="20">
        <v>11200</v>
      </c>
      <c r="F37" s="20">
        <v>12700</v>
      </c>
      <c r="G37" s="20">
        <v>8100</v>
      </c>
      <c r="H37" s="20">
        <v>10000</v>
      </c>
      <c r="I37" s="20">
        <v>12700</v>
      </c>
      <c r="J37" s="20">
        <v>4600</v>
      </c>
      <c r="K37" s="20">
        <v>68200</v>
      </c>
      <c r="L37" s="20">
        <v>84400</v>
      </c>
      <c r="M37" s="20">
        <v>34200</v>
      </c>
      <c r="O37" s="26"/>
      <c r="P37" s="26"/>
      <c r="Q37" s="26"/>
    </row>
    <row r="38" spans="1:17">
      <c r="A38" s="5">
        <v>2008</v>
      </c>
      <c r="B38" s="20">
        <v>58100</v>
      </c>
      <c r="C38" s="20">
        <v>73300</v>
      </c>
      <c r="D38" s="20">
        <v>26000</v>
      </c>
      <c r="E38" s="20">
        <v>10900</v>
      </c>
      <c r="F38" s="20">
        <v>12100</v>
      </c>
      <c r="G38" s="20">
        <v>8300</v>
      </c>
      <c r="H38" s="20">
        <v>10400</v>
      </c>
      <c r="I38" s="20">
        <v>13100</v>
      </c>
      <c r="J38" s="20">
        <v>4800</v>
      </c>
      <c r="K38" s="20">
        <v>69000</v>
      </c>
      <c r="L38" s="20">
        <v>85500</v>
      </c>
      <c r="M38" s="20">
        <v>34300</v>
      </c>
      <c r="O38" s="26"/>
      <c r="P38" s="26"/>
      <c r="Q38" s="26"/>
    </row>
    <row r="39" spans="1:17">
      <c r="A39" s="5">
        <v>2009</v>
      </c>
      <c r="B39" s="20">
        <v>58800</v>
      </c>
      <c r="C39" s="20">
        <v>74500</v>
      </c>
      <c r="D39" s="20">
        <v>26200</v>
      </c>
      <c r="E39" s="20">
        <v>11700</v>
      </c>
      <c r="F39" s="20">
        <v>13400</v>
      </c>
      <c r="G39" s="20">
        <v>8100</v>
      </c>
      <c r="H39" s="20">
        <v>9900</v>
      </c>
      <c r="I39" s="20">
        <v>12600</v>
      </c>
      <c r="J39" s="20">
        <v>4200</v>
      </c>
      <c r="K39" s="20">
        <v>70500</v>
      </c>
      <c r="L39" s="20">
        <v>87900</v>
      </c>
      <c r="M39" s="20">
        <v>34200</v>
      </c>
      <c r="O39" s="26"/>
      <c r="P39" s="26"/>
      <c r="Q39" s="26"/>
    </row>
    <row r="40" spans="1:17">
      <c r="A40" s="5">
        <v>2010</v>
      </c>
      <c r="B40" s="20">
        <v>58600</v>
      </c>
      <c r="C40" s="20">
        <v>74400</v>
      </c>
      <c r="D40" s="20">
        <v>26000</v>
      </c>
      <c r="E40" s="20">
        <v>11900</v>
      </c>
      <c r="F40" s="20">
        <v>13500</v>
      </c>
      <c r="G40" s="20">
        <v>8700</v>
      </c>
      <c r="H40" s="20">
        <v>10000</v>
      </c>
      <c r="I40" s="20">
        <v>12700</v>
      </c>
      <c r="J40" s="20">
        <v>4500</v>
      </c>
      <c r="K40" s="20">
        <v>70500</v>
      </c>
      <c r="L40" s="20">
        <v>87900</v>
      </c>
      <c r="M40" s="20">
        <v>34700</v>
      </c>
      <c r="O40" s="26"/>
      <c r="P40" s="26"/>
      <c r="Q40" s="26"/>
    </row>
    <row r="41" spans="1:17">
      <c r="A41" s="5">
        <v>2011</v>
      </c>
      <c r="B41" s="20">
        <v>60000</v>
      </c>
      <c r="C41" s="20">
        <v>76500</v>
      </c>
      <c r="D41" s="20">
        <v>26200</v>
      </c>
      <c r="E41" s="20">
        <v>12200</v>
      </c>
      <c r="F41" s="20">
        <v>13900</v>
      </c>
      <c r="G41" s="20">
        <v>8800</v>
      </c>
      <c r="H41" s="20">
        <v>10200</v>
      </c>
      <c r="I41" s="20">
        <v>13000</v>
      </c>
      <c r="J41" s="20">
        <v>4300</v>
      </c>
      <c r="K41" s="20">
        <v>72200</v>
      </c>
      <c r="L41" s="20">
        <v>90300</v>
      </c>
      <c r="M41" s="20">
        <v>35000</v>
      </c>
      <c r="O41" s="26"/>
      <c r="P41" s="26"/>
      <c r="Q41" s="26"/>
    </row>
    <row r="42" spans="1:17">
      <c r="A42" s="5">
        <v>2012</v>
      </c>
      <c r="B42" s="20">
        <v>60200</v>
      </c>
      <c r="C42" s="20">
        <v>76500</v>
      </c>
      <c r="D42" s="20">
        <v>27200</v>
      </c>
      <c r="E42" s="20">
        <v>11600</v>
      </c>
      <c r="F42" s="20">
        <v>13200</v>
      </c>
      <c r="G42" s="20">
        <v>8300</v>
      </c>
      <c r="H42" s="20">
        <v>10000</v>
      </c>
      <c r="I42" s="20">
        <v>12700</v>
      </c>
      <c r="J42" s="20">
        <v>4500</v>
      </c>
      <c r="K42" s="20">
        <v>71800</v>
      </c>
      <c r="L42" s="20">
        <v>89700</v>
      </c>
      <c r="M42" s="20">
        <v>35500</v>
      </c>
      <c r="O42" s="26"/>
      <c r="P42" s="26"/>
      <c r="Q42" s="26"/>
    </row>
    <row r="43" spans="1:17">
      <c r="A43" s="5">
        <v>2013</v>
      </c>
      <c r="B43" s="20">
        <v>59900</v>
      </c>
      <c r="C43" s="20">
        <v>75700</v>
      </c>
      <c r="D43" s="20">
        <v>28400</v>
      </c>
      <c r="E43" s="20">
        <v>12200</v>
      </c>
      <c r="F43" s="20">
        <v>14200</v>
      </c>
      <c r="G43" s="20">
        <v>8300</v>
      </c>
      <c r="H43" s="20">
        <v>10200</v>
      </c>
      <c r="I43" s="20">
        <v>12900</v>
      </c>
      <c r="J43" s="20">
        <v>4900</v>
      </c>
      <c r="K43" s="20">
        <v>72100</v>
      </c>
      <c r="L43" s="20">
        <v>89800</v>
      </c>
      <c r="M43" s="20">
        <v>36600</v>
      </c>
      <c r="O43" s="26"/>
      <c r="P43" s="26"/>
      <c r="Q43" s="26"/>
    </row>
    <row r="44" spans="1:17">
      <c r="A44" s="5">
        <v>2014</v>
      </c>
      <c r="B44" s="20">
        <v>60500</v>
      </c>
      <c r="C44" s="20">
        <v>75600</v>
      </c>
      <c r="D44" s="20">
        <v>30400</v>
      </c>
      <c r="E44" s="20">
        <v>12500</v>
      </c>
      <c r="F44" s="20">
        <v>14000</v>
      </c>
      <c r="G44" s="20">
        <v>9600</v>
      </c>
      <c r="H44" s="20">
        <v>10900</v>
      </c>
      <c r="I44" s="20">
        <v>13400</v>
      </c>
      <c r="J44" s="20">
        <v>5900</v>
      </c>
      <c r="K44" s="20">
        <v>73000</v>
      </c>
      <c r="L44" s="20">
        <v>89700</v>
      </c>
      <c r="M44" s="20">
        <v>39900</v>
      </c>
      <c r="O44" s="26"/>
      <c r="P44" s="26"/>
      <c r="Q44" s="26"/>
    </row>
    <row r="45" spans="1:17">
      <c r="A45" s="5">
        <v>2015</v>
      </c>
      <c r="B45" s="20">
        <v>59800</v>
      </c>
      <c r="C45" s="20">
        <v>76100</v>
      </c>
      <c r="D45" s="20">
        <v>27400</v>
      </c>
      <c r="E45" s="20">
        <v>12600</v>
      </c>
      <c r="F45" s="20">
        <v>14700</v>
      </c>
      <c r="G45" s="20">
        <v>8400</v>
      </c>
      <c r="H45" s="20">
        <v>10800</v>
      </c>
      <c r="I45" s="20">
        <v>13600</v>
      </c>
      <c r="J45" s="20">
        <v>5200</v>
      </c>
      <c r="K45" s="20">
        <v>72400</v>
      </c>
      <c r="L45" s="20">
        <v>90800</v>
      </c>
      <c r="M45" s="20">
        <v>35800</v>
      </c>
      <c r="O45" s="26"/>
      <c r="P45" s="26"/>
      <c r="Q45" s="26"/>
    </row>
    <row r="46" spans="1:17">
      <c r="A46" s="5">
        <v>2016</v>
      </c>
      <c r="B46" s="20">
        <v>60400</v>
      </c>
      <c r="C46" s="20">
        <v>78300</v>
      </c>
      <c r="D46" s="20">
        <v>25100</v>
      </c>
      <c r="E46" s="20">
        <v>13100</v>
      </c>
      <c r="F46" s="20">
        <v>15000</v>
      </c>
      <c r="G46" s="20">
        <v>9100</v>
      </c>
      <c r="H46" s="20">
        <v>10600</v>
      </c>
      <c r="I46" s="20">
        <v>13900</v>
      </c>
      <c r="J46" s="20">
        <v>4100</v>
      </c>
      <c r="K46" s="20">
        <v>73500</v>
      </c>
      <c r="L46" s="20">
        <v>93400</v>
      </c>
      <c r="M46" s="20">
        <v>34200</v>
      </c>
      <c r="O46" s="26"/>
      <c r="P46" s="26"/>
      <c r="Q46" s="26"/>
    </row>
    <row r="47" spans="1:17">
      <c r="A47" s="5">
        <v>2017</v>
      </c>
      <c r="B47" s="20">
        <v>62400</v>
      </c>
      <c r="C47" s="20">
        <v>79500</v>
      </c>
      <c r="D47" s="20">
        <v>28800</v>
      </c>
      <c r="E47" s="20">
        <v>14000</v>
      </c>
      <c r="F47" s="20">
        <v>16100</v>
      </c>
      <c r="G47" s="20">
        <v>9700</v>
      </c>
      <c r="H47" s="20">
        <v>11600</v>
      </c>
      <c r="I47" s="20">
        <v>14700</v>
      </c>
      <c r="J47" s="20">
        <v>5400</v>
      </c>
      <c r="K47" s="20">
        <v>76300</v>
      </c>
      <c r="L47" s="20">
        <v>95700</v>
      </c>
      <c r="M47" s="20">
        <v>38500</v>
      </c>
      <c r="O47" s="26"/>
      <c r="P47" s="26"/>
      <c r="Q47" s="26"/>
    </row>
    <row r="48" spans="1:17">
      <c r="A48" s="5">
        <v>2018</v>
      </c>
      <c r="B48" s="20">
        <v>64900</v>
      </c>
      <c r="C48" s="20">
        <v>83400</v>
      </c>
      <c r="D48" s="20">
        <v>28800</v>
      </c>
      <c r="E48" s="20">
        <v>14000</v>
      </c>
      <c r="F48" s="20">
        <v>16300</v>
      </c>
      <c r="G48" s="20">
        <v>9300</v>
      </c>
      <c r="H48" s="20">
        <v>12900</v>
      </c>
      <c r="I48" s="20">
        <v>16700</v>
      </c>
      <c r="J48" s="20">
        <v>5500</v>
      </c>
      <c r="K48" s="20">
        <v>78900</v>
      </c>
      <c r="L48" s="20">
        <v>99800</v>
      </c>
      <c r="M48" s="20">
        <v>38100</v>
      </c>
      <c r="O48" s="26"/>
      <c r="P48" s="26"/>
      <c r="Q48" s="26"/>
    </row>
    <row r="49" spans="1:17">
      <c r="A49" s="5">
        <v>2019</v>
      </c>
      <c r="B49" s="20">
        <v>63800</v>
      </c>
      <c r="C49" s="20">
        <v>81800</v>
      </c>
      <c r="D49" s="20">
        <v>29000</v>
      </c>
      <c r="E49" s="20">
        <v>13600</v>
      </c>
      <c r="F49" s="20">
        <v>15400</v>
      </c>
      <c r="G49" s="20">
        <v>10000</v>
      </c>
      <c r="H49" s="20">
        <v>12000</v>
      </c>
      <c r="I49" s="20">
        <v>15300</v>
      </c>
      <c r="J49" s="20">
        <v>5700</v>
      </c>
      <c r="K49" s="20">
        <v>77400</v>
      </c>
      <c r="L49" s="20">
        <v>97200</v>
      </c>
      <c r="M49" s="20">
        <v>39000</v>
      </c>
      <c r="O49" s="26"/>
      <c r="P49" s="26"/>
      <c r="Q49" s="26"/>
    </row>
    <row r="51" spans="1:17">
      <c r="A51" s="5" t="s">
        <v>9</v>
      </c>
      <c r="B51" s="143">
        <f>100*((B49/B6)^(1/43)-1)</f>
        <v>0.6109146940485255</v>
      </c>
      <c r="C51" s="143">
        <f t="shared" ref="C51:M51" si="0">100*((C49/C6)^(1/43)-1)</f>
        <v>0.8394881203087623</v>
      </c>
      <c r="D51" s="143">
        <f t="shared" si="0"/>
        <v>1.0636287506960551</v>
      </c>
      <c r="E51" s="143">
        <f t="shared" si="0"/>
        <v>0.93878707817698359</v>
      </c>
      <c r="F51" s="143">
        <f t="shared" si="0"/>
        <v>1.0566719541401204</v>
      </c>
      <c r="G51" s="143">
        <f t="shared" si="0"/>
        <v>1.0432816076171303</v>
      </c>
      <c r="H51" s="143">
        <f t="shared" si="0"/>
        <v>1.067890522494408</v>
      </c>
      <c r="I51" s="143">
        <f t="shared" si="0"/>
        <v>1.2679750991522409</v>
      </c>
      <c r="J51" s="143">
        <f t="shared" si="0"/>
        <v>1.8422397812991154</v>
      </c>
      <c r="K51" s="143">
        <f t="shared" si="0"/>
        <v>0.66522945882212525</v>
      </c>
      <c r="L51" s="143">
        <f t="shared" si="0"/>
        <v>0.87255627043003603</v>
      </c>
      <c r="M51" s="143">
        <f t="shared" si="0"/>
        <v>1.0583943251877059</v>
      </c>
    </row>
    <row r="52" spans="1:17">
      <c r="A52" s="5" t="s">
        <v>10</v>
      </c>
      <c r="B52" s="143">
        <f>100*((B30/B6)^(1/24)-1)</f>
        <v>0.37383856768782309</v>
      </c>
      <c r="C52" s="143">
        <f t="shared" ref="C52:M52" si="1">100*((C30/C6)^(1/24)-1)</f>
        <v>0.65588726421350607</v>
      </c>
      <c r="D52" s="143">
        <f t="shared" si="1"/>
        <v>0.55223494790661576</v>
      </c>
      <c r="E52" s="143">
        <f t="shared" si="1"/>
        <v>0.59803464469738721</v>
      </c>
      <c r="F52" s="143">
        <f t="shared" si="1"/>
        <v>0.55793147513722996</v>
      </c>
      <c r="G52" s="143">
        <f t="shared" si="1"/>
        <v>1.2387101277768542</v>
      </c>
      <c r="H52" s="143">
        <f t="shared" si="1"/>
        <v>1.474929158437277</v>
      </c>
      <c r="I52" s="143">
        <f t="shared" si="1"/>
        <v>1.71963262463799</v>
      </c>
      <c r="J52" s="143">
        <f t="shared" si="1"/>
        <v>1.9159376713192122</v>
      </c>
      <c r="K52" s="143">
        <f t="shared" si="1"/>
        <v>0.40966122677228434</v>
      </c>
      <c r="L52" s="143">
        <f t="shared" si="1"/>
        <v>0.6470472380563308</v>
      </c>
      <c r="M52" s="143">
        <f t="shared" si="1"/>
        <v>0.73993537637337958</v>
      </c>
    </row>
    <row r="53" spans="1:17">
      <c r="A53" s="5" t="s">
        <v>11</v>
      </c>
      <c r="B53" s="143">
        <f>100*((B49/B30)^(1/19)-1)</f>
        <v>0.91117982302195699</v>
      </c>
      <c r="C53" s="143">
        <f t="shared" ref="C53:M53" si="2">100*((C49/C30)^(1/19)-1)</f>
        <v>1.071883755932368</v>
      </c>
      <c r="D53" s="143">
        <f t="shared" si="2"/>
        <v>1.7133191187075791</v>
      </c>
      <c r="E53" s="143">
        <f t="shared" si="2"/>
        <v>1.3708614931932761</v>
      </c>
      <c r="F53" s="143">
        <f t="shared" si="2"/>
        <v>1.6901971644401659</v>
      </c>
      <c r="G53" s="143">
        <f t="shared" si="2"/>
        <v>0.79696366537078678</v>
      </c>
      <c r="H53" s="143">
        <f t="shared" si="2"/>
        <v>0.55606938793051341</v>
      </c>
      <c r="I53" s="143">
        <f t="shared" si="2"/>
        <v>0.70032574090890254</v>
      </c>
      <c r="J53" s="143">
        <f t="shared" si="2"/>
        <v>1.7492238795185244</v>
      </c>
      <c r="K53" s="143">
        <f t="shared" si="2"/>
        <v>0.98898247741860956</v>
      </c>
      <c r="L53" s="143">
        <f t="shared" si="2"/>
        <v>1.1581321466194616</v>
      </c>
      <c r="M53" s="143">
        <f t="shared" si="2"/>
        <v>1.4620976160881982</v>
      </c>
    </row>
    <row r="56" spans="1:17">
      <c r="A56" s="5" t="s">
        <v>618</v>
      </c>
    </row>
    <row r="59" spans="1:17">
      <c r="A59" s="5" t="s">
        <v>77</v>
      </c>
    </row>
    <row r="60" spans="1:17">
      <c r="A60" s="325" t="s">
        <v>34</v>
      </c>
      <c r="B60" s="325"/>
      <c r="C60" s="325"/>
      <c r="D60" s="325"/>
      <c r="E60" s="325"/>
      <c r="F60" s="325"/>
    </row>
    <row r="61" spans="1:17" ht="34">
      <c r="A61" s="114" t="s">
        <v>13</v>
      </c>
      <c r="B61" s="30" t="s">
        <v>35</v>
      </c>
      <c r="C61" s="30" t="s">
        <v>36</v>
      </c>
      <c r="D61" s="30" t="s">
        <v>37</v>
      </c>
      <c r="E61" s="30" t="s">
        <v>38</v>
      </c>
      <c r="F61" s="30" t="s">
        <v>39</v>
      </c>
    </row>
    <row r="62" spans="1:17" ht="17">
      <c r="A62" s="112" t="s">
        <v>9</v>
      </c>
      <c r="B62" s="109">
        <v>0.8394881203087623</v>
      </c>
      <c r="C62" s="42">
        <v>1.0566719541401204</v>
      </c>
      <c r="D62" s="42">
        <v>0.87255627043003603</v>
      </c>
      <c r="E62" s="42">
        <v>1.2679750991522409</v>
      </c>
      <c r="F62" s="42">
        <v>0.80568407393253327</v>
      </c>
    </row>
    <row r="63" spans="1:17" ht="17">
      <c r="A63" s="112" t="s">
        <v>10</v>
      </c>
      <c r="B63" s="109">
        <v>0.65588726421350607</v>
      </c>
      <c r="C63" s="42">
        <v>0.55793147513722996</v>
      </c>
      <c r="D63" s="42">
        <v>0.6470472380563308</v>
      </c>
      <c r="E63" s="42">
        <v>1.71963262463799</v>
      </c>
      <c r="F63" s="42">
        <v>0.45005723012174759</v>
      </c>
    </row>
    <row r="64" spans="1:17" ht="17">
      <c r="A64" s="112" t="s">
        <v>11</v>
      </c>
      <c r="B64" s="109">
        <v>1.071883755932368</v>
      </c>
      <c r="C64" s="42">
        <v>1.6901971644401659</v>
      </c>
      <c r="D64" s="42">
        <v>1.1581321466194616</v>
      </c>
      <c r="E64" s="42">
        <v>0.70032574090890254</v>
      </c>
      <c r="F64" s="42">
        <v>1.2566971101575675</v>
      </c>
    </row>
    <row r="65" spans="1:8">
      <c r="A65" s="137"/>
      <c r="B65" s="137"/>
      <c r="C65" s="137"/>
      <c r="D65" s="137"/>
      <c r="E65" s="137"/>
      <c r="F65" s="137"/>
    </row>
    <row r="66" spans="1:8">
      <c r="A66" s="326" t="s">
        <v>40</v>
      </c>
      <c r="B66" s="326"/>
      <c r="C66" s="326"/>
      <c r="D66" s="326"/>
      <c r="E66" s="326"/>
      <c r="F66" s="326"/>
    </row>
    <row r="67" spans="1:8" ht="34">
      <c r="A67" s="114" t="s">
        <v>31</v>
      </c>
      <c r="B67" s="30" t="s">
        <v>35</v>
      </c>
      <c r="C67" s="30" t="s">
        <v>36</v>
      </c>
      <c r="D67" s="30" t="s">
        <v>37</v>
      </c>
      <c r="E67" s="30" t="s">
        <v>38</v>
      </c>
      <c r="F67" s="30" t="s">
        <v>39</v>
      </c>
    </row>
    <row r="68" spans="1:8" ht="17">
      <c r="A68" s="112" t="s">
        <v>9</v>
      </c>
      <c r="B68" s="42">
        <v>0.45229711743204337</v>
      </c>
      <c r="C68" s="42">
        <v>2.5530065535638524</v>
      </c>
      <c r="D68" s="42">
        <v>0.64413287577569367</v>
      </c>
      <c r="E68" s="42">
        <v>1.0990271113809236</v>
      </c>
      <c r="F68" s="42">
        <v>0.62607058142294392</v>
      </c>
      <c r="H68" s="5" t="s">
        <v>82</v>
      </c>
    </row>
    <row r="69" spans="1:8" ht="17">
      <c r="A69" s="112" t="s">
        <v>10</v>
      </c>
      <c r="B69" s="42">
        <v>0.14135627925264682</v>
      </c>
      <c r="C69" s="42">
        <v>2.0577469036658025</v>
      </c>
      <c r="D69" s="42">
        <v>0.20697466058932079</v>
      </c>
      <c r="E69" s="42">
        <v>1.3179810517150559</v>
      </c>
      <c r="F69" s="42">
        <v>0.14186293544500295</v>
      </c>
    </row>
    <row r="70" spans="1:8" ht="17">
      <c r="A70" s="112" t="s">
        <v>11</v>
      </c>
      <c r="B70" s="42">
        <v>0.84644488502969573</v>
      </c>
      <c r="C70" s="42">
        <v>3.1820344334751116</v>
      </c>
      <c r="D70" s="42">
        <v>1.1990597436813299</v>
      </c>
      <c r="E70" s="42">
        <v>0.82312991924304857</v>
      </c>
      <c r="F70" s="42">
        <v>1.2410492047874033</v>
      </c>
    </row>
    <row r="73" spans="1:8">
      <c r="A73" s="5" t="s">
        <v>78</v>
      </c>
    </row>
    <row r="75" spans="1:8">
      <c r="A75" s="325" t="s">
        <v>34</v>
      </c>
      <c r="B75" s="325"/>
      <c r="C75" s="325"/>
      <c r="D75" s="325"/>
      <c r="E75" s="325"/>
      <c r="F75" s="325"/>
    </row>
    <row r="76" spans="1:8" ht="34">
      <c r="A76" s="114" t="s">
        <v>13</v>
      </c>
      <c r="B76" s="30" t="s">
        <v>35</v>
      </c>
      <c r="C76" s="30" t="s">
        <v>36</v>
      </c>
      <c r="D76" s="30" t="s">
        <v>37</v>
      </c>
      <c r="E76" s="30" t="s">
        <v>38</v>
      </c>
      <c r="F76" s="30" t="s">
        <v>39</v>
      </c>
    </row>
    <row r="77" spans="1:8" ht="17">
      <c r="A77" s="112" t="s">
        <v>9</v>
      </c>
      <c r="B77" s="109">
        <v>1.0636287506960551</v>
      </c>
      <c r="C77" s="42">
        <v>1.0432816076171303</v>
      </c>
      <c r="D77" s="42">
        <v>1.0583943251877059</v>
      </c>
      <c r="E77" s="42">
        <v>1.8422397812991154</v>
      </c>
      <c r="F77" s="42">
        <v>0.94740181747028362</v>
      </c>
    </row>
    <row r="78" spans="1:8" ht="17">
      <c r="A78" s="112" t="s">
        <v>10</v>
      </c>
      <c r="B78" s="109">
        <v>0.55223494790661576</v>
      </c>
      <c r="C78" s="42">
        <v>1.2387101277768542</v>
      </c>
      <c r="D78" s="42">
        <v>0.73993537637337958</v>
      </c>
      <c r="E78" s="42">
        <v>1.9159376713192122</v>
      </c>
      <c r="F78" s="42">
        <v>0.59551645158211208</v>
      </c>
    </row>
    <row r="79" spans="1:8" ht="17">
      <c r="A79" s="112" t="s">
        <v>11</v>
      </c>
      <c r="B79" s="109">
        <v>1.7133191187075791</v>
      </c>
      <c r="C79" s="42">
        <v>0.79696366537078678</v>
      </c>
      <c r="D79" s="42">
        <v>1.4620976160881982</v>
      </c>
      <c r="E79" s="42">
        <v>1.7492238795185244</v>
      </c>
      <c r="F79" s="42">
        <v>1.3936485418343469</v>
      </c>
    </row>
    <row r="80" spans="1:8">
      <c r="A80" s="137"/>
      <c r="B80" s="137"/>
      <c r="C80" s="137"/>
      <c r="D80" s="137"/>
      <c r="E80" s="137"/>
      <c r="F80" s="137"/>
    </row>
    <row r="81" spans="1:6">
      <c r="A81" s="326" t="s">
        <v>40</v>
      </c>
      <c r="B81" s="326"/>
      <c r="C81" s="326"/>
      <c r="D81" s="326"/>
      <c r="E81" s="326"/>
      <c r="F81" s="326"/>
    </row>
    <row r="82" spans="1:6" ht="34">
      <c r="A82" s="114" t="s">
        <v>31</v>
      </c>
      <c r="B82" s="30" t="s">
        <v>35</v>
      </c>
      <c r="C82" s="30" t="s">
        <v>36</v>
      </c>
      <c r="D82" s="30" t="s">
        <v>37</v>
      </c>
      <c r="E82" s="30" t="s">
        <v>38</v>
      </c>
      <c r="F82" s="30" t="s">
        <v>39</v>
      </c>
    </row>
    <row r="83" spans="1:6" ht="17">
      <c r="A83" s="112" t="s">
        <v>83</v>
      </c>
      <c r="B83" s="42">
        <v>1.5590950476580323</v>
      </c>
      <c r="C83" s="42">
        <v>1.492558615415418</v>
      </c>
      <c r="D83" s="42">
        <v>1.808259771725651</v>
      </c>
      <c r="E83" s="110">
        <v>5.4082107084963305</v>
      </c>
      <c r="F83" s="42">
        <v>1.5766456373023985</v>
      </c>
    </row>
    <row r="84" spans="1:6">
      <c r="A84" s="113" t="s">
        <v>84</v>
      </c>
      <c r="B84" s="109">
        <v>0.60571887207918618</v>
      </c>
      <c r="C84" s="109">
        <v>1.5202511320332457</v>
      </c>
      <c r="D84" s="109">
        <v>1.7321392544993319</v>
      </c>
      <c r="E84" s="111">
        <v>7.5898653113133374</v>
      </c>
      <c r="F84" s="109">
        <v>1.468576054776749</v>
      </c>
    </row>
    <row r="85" spans="1:6" ht="17">
      <c r="A85" s="112" t="s">
        <v>11</v>
      </c>
      <c r="B85" s="42">
        <v>2.7762840388395604</v>
      </c>
      <c r="C85" s="42">
        <v>1.4575893914536397</v>
      </c>
      <c r="D85" s="42">
        <v>1.9044934212343101</v>
      </c>
      <c r="E85" s="42">
        <v>2.9372926075508898</v>
      </c>
      <c r="F85" s="42">
        <v>1.7133191187075791</v>
      </c>
    </row>
    <row r="87" spans="1:6">
      <c r="A87" s="5" t="s">
        <v>85</v>
      </c>
    </row>
    <row r="88" spans="1:6">
      <c r="A88" s="5" t="s">
        <v>86</v>
      </c>
    </row>
  </sheetData>
  <mergeCells count="9">
    <mergeCell ref="O4:Q4"/>
    <mergeCell ref="A60:F60"/>
    <mergeCell ref="A66:F66"/>
    <mergeCell ref="A75:F75"/>
    <mergeCell ref="A81:F81"/>
    <mergeCell ref="B4:D4"/>
    <mergeCell ref="E4:G4"/>
    <mergeCell ref="H4:J4"/>
    <mergeCell ref="K4:M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37B94-61EB-294B-BB9D-6A86A34DC096}">
  <sheetPr codeName="Sheet17"/>
  <dimension ref="A1:O55"/>
  <sheetViews>
    <sheetView zoomScale="82" workbookViewId="0"/>
  </sheetViews>
  <sheetFormatPr baseColWidth="10" defaultColWidth="11" defaultRowHeight="16"/>
  <cols>
    <col min="1" max="1" width="20.83203125" style="5" customWidth="1"/>
    <col min="2" max="2" width="15.6640625" style="5" customWidth="1"/>
    <col min="3" max="7" width="11" style="5"/>
    <col min="8" max="8" width="17" style="5" customWidth="1"/>
    <col min="9" max="10" width="11" style="5"/>
    <col min="11" max="11" width="15.6640625" style="5" customWidth="1"/>
    <col min="12" max="16384" width="11" style="5"/>
  </cols>
  <sheetData>
    <row r="1" spans="1:15">
      <c r="A1" s="3" t="s">
        <v>619</v>
      </c>
    </row>
    <row r="2" spans="1:15">
      <c r="B2" s="135"/>
      <c r="C2" s="135"/>
      <c r="D2" s="135"/>
      <c r="E2" s="135"/>
      <c r="F2" s="135"/>
      <c r="G2" s="135"/>
      <c r="H2" s="135"/>
      <c r="I2" s="135"/>
      <c r="J2" s="135"/>
      <c r="K2" s="135"/>
      <c r="L2" s="135"/>
      <c r="M2" s="135"/>
    </row>
    <row r="3" spans="1:15">
      <c r="B3" s="328" t="s">
        <v>4</v>
      </c>
      <c r="C3" s="328"/>
      <c r="D3" s="328"/>
      <c r="E3" s="328" t="s">
        <v>5</v>
      </c>
      <c r="F3" s="328"/>
      <c r="G3" s="328"/>
      <c r="H3" s="328" t="s">
        <v>7</v>
      </c>
      <c r="I3" s="328"/>
      <c r="J3" s="328"/>
      <c r="K3" s="328" t="s">
        <v>6</v>
      </c>
      <c r="L3" s="328"/>
      <c r="M3" s="328"/>
    </row>
    <row r="4" spans="1:15" ht="64" customHeight="1">
      <c r="B4" s="137" t="s">
        <v>81</v>
      </c>
      <c r="C4" s="137" t="s">
        <v>77</v>
      </c>
      <c r="D4" s="137" t="s">
        <v>78</v>
      </c>
      <c r="E4" s="137" t="s">
        <v>81</v>
      </c>
      <c r="F4" s="137" t="s">
        <v>77</v>
      </c>
      <c r="G4" s="137" t="s">
        <v>78</v>
      </c>
      <c r="H4" s="137" t="s">
        <v>81</v>
      </c>
      <c r="I4" s="137" t="s">
        <v>77</v>
      </c>
      <c r="J4" s="137" t="s">
        <v>78</v>
      </c>
      <c r="K4" s="137" t="s">
        <v>81</v>
      </c>
      <c r="L4" s="137" t="s">
        <v>77</v>
      </c>
      <c r="M4" s="137" t="s">
        <v>78</v>
      </c>
    </row>
    <row r="5" spans="1:15">
      <c r="A5" s="5">
        <v>1976</v>
      </c>
      <c r="B5" s="8">
        <v>74.393939393939391</v>
      </c>
      <c r="C5" s="8">
        <v>73.01790281329923</v>
      </c>
      <c r="D5" s="8">
        <v>61.53846153846154</v>
      </c>
      <c r="E5" s="8">
        <v>154.23728813559322</v>
      </c>
      <c r="F5" s="8">
        <v>150.76923076923077</v>
      </c>
      <c r="G5" s="8">
        <v>152.38095238095238</v>
      </c>
      <c r="H5" s="8">
        <v>67.857142857142861</v>
      </c>
      <c r="I5" s="8">
        <v>65.925925925925924</v>
      </c>
      <c r="J5" s="8">
        <v>60.465116279069761</v>
      </c>
      <c r="K5" s="8">
        <v>80.945757997218365</v>
      </c>
      <c r="L5" s="8">
        <v>79.078014184397162</v>
      </c>
      <c r="M5" s="8">
        <v>72.727272727272734</v>
      </c>
      <c r="O5" s="8"/>
    </row>
    <row r="6" spans="1:15">
      <c r="A6" s="5">
        <v>1977</v>
      </c>
      <c r="B6" s="8">
        <v>79.591836734693871</v>
      </c>
      <c r="C6" s="8">
        <v>78.145695364238406</v>
      </c>
      <c r="D6" s="8">
        <v>65.986394557823118</v>
      </c>
      <c r="E6" s="8">
        <v>150</v>
      </c>
      <c r="F6" s="8">
        <v>152.23880597014926</v>
      </c>
      <c r="G6" s="8">
        <v>131.81818181818181</v>
      </c>
      <c r="H6" s="8">
        <v>73.267326732673268</v>
      </c>
      <c r="I6" s="8">
        <v>71.666666666666671</v>
      </c>
      <c r="J6" s="8">
        <v>58.695652173913047</v>
      </c>
      <c r="K6" s="8">
        <v>85.959885386819479</v>
      </c>
      <c r="L6" s="8">
        <v>84.08262454434994</v>
      </c>
      <c r="M6" s="8">
        <v>74.336283185840713</v>
      </c>
    </row>
    <row r="7" spans="1:15">
      <c r="A7" s="5">
        <v>1978</v>
      </c>
      <c r="B7" s="8">
        <v>77.588871715610509</v>
      </c>
      <c r="C7" s="8">
        <v>73.929961089494171</v>
      </c>
      <c r="D7" s="8">
        <v>82.724252491694344</v>
      </c>
      <c r="E7" s="8">
        <v>150</v>
      </c>
      <c r="F7" s="8">
        <v>154.41176470588235</v>
      </c>
      <c r="G7" s="8">
        <v>104.34782608695652</v>
      </c>
      <c r="H7" s="8">
        <v>70.588235294117652</v>
      </c>
      <c r="I7" s="8">
        <v>66.393442622950815</v>
      </c>
      <c r="J7" s="8">
        <v>86.956521739130437</v>
      </c>
      <c r="K7" s="8">
        <v>83.921015514809596</v>
      </c>
      <c r="L7" s="8">
        <v>80.66825775656325</v>
      </c>
      <c r="M7" s="8">
        <v>85.590778097982707</v>
      </c>
    </row>
    <row r="8" spans="1:15">
      <c r="A8" s="5">
        <v>1979</v>
      </c>
      <c r="B8" s="8">
        <v>78.033794162826425</v>
      </c>
      <c r="C8" s="8">
        <v>75.128865979381445</v>
      </c>
      <c r="D8" s="8">
        <v>75.399361022364218</v>
      </c>
      <c r="E8" s="8">
        <v>156.14035087719299</v>
      </c>
      <c r="F8" s="8">
        <v>156.45161290322579</v>
      </c>
      <c r="G8" s="8">
        <v>136.36363636363635</v>
      </c>
      <c r="H8" s="8">
        <v>68.224299065420553</v>
      </c>
      <c r="I8" s="8">
        <v>65.354330708661408</v>
      </c>
      <c r="J8" s="8">
        <v>69.230769230769226</v>
      </c>
      <c r="K8" s="8">
        <v>84.203102961918191</v>
      </c>
      <c r="L8" s="8">
        <v>81.145584725536992</v>
      </c>
      <c r="M8" s="8">
        <v>83.193277310924373</v>
      </c>
    </row>
    <row r="9" spans="1:15">
      <c r="A9" s="5">
        <v>1980</v>
      </c>
      <c r="B9" s="8">
        <v>74.393939393939391</v>
      </c>
      <c r="C9" s="8">
        <v>71.37452711223203</v>
      </c>
      <c r="D9" s="8">
        <v>72.875816993464042</v>
      </c>
      <c r="E9" s="8">
        <v>153.96825396825398</v>
      </c>
      <c r="F9" s="8">
        <v>158.20895522388059</v>
      </c>
      <c r="G9" s="8">
        <v>130</v>
      </c>
      <c r="H9" s="8">
        <v>66.363636363636374</v>
      </c>
      <c r="I9" s="8">
        <v>62.406015037593988</v>
      </c>
      <c r="J9" s="8">
        <v>74</v>
      </c>
      <c r="K9" s="8">
        <v>81.327800829875514</v>
      </c>
      <c r="L9" s="8">
        <v>78.139534883720927</v>
      </c>
      <c r="M9" s="8">
        <v>81.126760563380287</v>
      </c>
    </row>
    <row r="10" spans="1:15">
      <c r="A10" s="5">
        <v>1981</v>
      </c>
      <c r="B10" s="8">
        <v>75.497702909647785</v>
      </c>
      <c r="C10" s="8">
        <v>73.555840821566107</v>
      </c>
      <c r="D10" s="8">
        <v>66.355140186915889</v>
      </c>
      <c r="E10" s="8">
        <v>150.79365079365078</v>
      </c>
      <c r="F10" s="8">
        <v>153.73134328358208</v>
      </c>
      <c r="G10" s="8">
        <v>128.30188679245282</v>
      </c>
      <c r="H10" s="8">
        <v>67.272727272727266</v>
      </c>
      <c r="I10" s="8">
        <v>66.412213740458014</v>
      </c>
      <c r="J10" s="8">
        <v>56.36363636363636</v>
      </c>
      <c r="K10" s="8">
        <v>82.122905027932958</v>
      </c>
      <c r="L10" s="8">
        <v>79.905437352245869</v>
      </c>
      <c r="M10" s="8">
        <v>75.133689839572199</v>
      </c>
    </row>
    <row r="11" spans="1:15">
      <c r="A11" s="5">
        <v>1982</v>
      </c>
      <c r="B11" s="8">
        <v>75.801282051282044</v>
      </c>
      <c r="C11" s="8">
        <v>73.655913978494624</v>
      </c>
      <c r="D11" s="8">
        <v>67.301587301587304</v>
      </c>
      <c r="E11" s="8">
        <v>141.33333333333334</v>
      </c>
      <c r="F11" s="8">
        <v>143.90243902439025</v>
      </c>
      <c r="G11" s="8">
        <v>117.54385964912282</v>
      </c>
      <c r="H11" s="8">
        <v>69.724770642201833</v>
      </c>
      <c r="I11" s="8">
        <v>67.441860465116278</v>
      </c>
      <c r="J11" s="8">
        <v>63.157894736842103</v>
      </c>
      <c r="K11" s="8">
        <v>82.832618025751074</v>
      </c>
      <c r="L11" s="8">
        <v>80.629539951573847</v>
      </c>
      <c r="M11" s="8">
        <v>75</v>
      </c>
    </row>
    <row r="12" spans="1:15">
      <c r="A12" s="5">
        <v>1983</v>
      </c>
      <c r="B12" s="8">
        <v>73.927392739273927</v>
      </c>
      <c r="C12" s="8">
        <v>72.229822161422703</v>
      </c>
      <c r="D12" s="8">
        <v>59.655172413793103</v>
      </c>
      <c r="E12" s="8">
        <v>140.78947368421052</v>
      </c>
      <c r="F12" s="8">
        <v>138.55421686746988</v>
      </c>
      <c r="G12" s="8">
        <v>124.59016393442623</v>
      </c>
      <c r="H12" s="8">
        <v>70.370370370370367</v>
      </c>
      <c r="I12" s="8">
        <v>68.461538461538467</v>
      </c>
      <c r="J12" s="8">
        <v>57.407407407407405</v>
      </c>
      <c r="K12" s="8">
        <v>81.112737920937036</v>
      </c>
      <c r="L12" s="8">
        <v>79.089790897908969</v>
      </c>
      <c r="M12" s="8">
        <v>70.940170940170944</v>
      </c>
    </row>
    <row r="13" spans="1:15">
      <c r="A13" s="5">
        <v>1984</v>
      </c>
      <c r="B13" s="8">
        <v>80.033003300330023</v>
      </c>
      <c r="C13" s="8">
        <v>77.123287671232873</v>
      </c>
      <c r="D13" s="8">
        <v>75.426621160409553</v>
      </c>
      <c r="E13" s="8">
        <v>139.24050632911394</v>
      </c>
      <c r="F13" s="8">
        <v>139.53488372093022</v>
      </c>
      <c r="G13" s="8">
        <v>122.58064516129032</v>
      </c>
      <c r="H13" s="8">
        <v>75.925925925925924</v>
      </c>
      <c r="I13" s="8">
        <v>73.076923076923066</v>
      </c>
      <c r="J13" s="8">
        <v>71.698113207547166</v>
      </c>
      <c r="K13" s="8">
        <v>86.988304093567251</v>
      </c>
      <c r="L13" s="8">
        <v>83.82352941176471</v>
      </c>
      <c r="M13" s="8">
        <v>83.943661971830991</v>
      </c>
    </row>
    <row r="14" spans="1:15">
      <c r="A14" s="5">
        <v>1985</v>
      </c>
      <c r="B14" s="8">
        <v>79.066022544283413</v>
      </c>
      <c r="C14" s="8">
        <v>75.898801597869507</v>
      </c>
      <c r="D14" s="8">
        <v>76.333333333333329</v>
      </c>
      <c r="E14" s="8">
        <v>139.24050632911394</v>
      </c>
      <c r="F14" s="8">
        <v>142.35294117647058</v>
      </c>
      <c r="G14" s="8">
        <v>117.74193548387098</v>
      </c>
      <c r="H14" s="8">
        <v>71.929824561403507</v>
      </c>
      <c r="I14" s="8">
        <v>68.840579710144922</v>
      </c>
      <c r="J14" s="8">
        <v>69.642857142857139</v>
      </c>
      <c r="K14" s="8">
        <v>85.857142857142861</v>
      </c>
      <c r="L14" s="8">
        <v>82.775119617224874</v>
      </c>
      <c r="M14" s="8">
        <v>83.19559228650138</v>
      </c>
    </row>
    <row r="15" spans="1:15">
      <c r="A15" s="5">
        <v>1986</v>
      </c>
      <c r="B15" s="8">
        <v>77.020602218700475</v>
      </c>
      <c r="C15" s="8">
        <v>73.272490221642755</v>
      </c>
      <c r="D15" s="8">
        <v>79.734219269102994</v>
      </c>
      <c r="E15" s="8">
        <v>143.03797468354432</v>
      </c>
      <c r="F15" s="8">
        <v>144.18604651162789</v>
      </c>
      <c r="G15" s="8">
        <v>122.58064516129032</v>
      </c>
      <c r="H15" s="8">
        <v>70.731707317073173</v>
      </c>
      <c r="I15" s="8">
        <v>66.442953020134226</v>
      </c>
      <c r="J15" s="8">
        <v>77.966101694915253</v>
      </c>
      <c r="K15" s="8">
        <v>84.366197183098592</v>
      </c>
      <c r="L15" s="8">
        <v>80.444964871194387</v>
      </c>
      <c r="M15" s="8">
        <v>87.052341597796143</v>
      </c>
    </row>
    <row r="16" spans="1:15">
      <c r="A16" s="5">
        <v>1987</v>
      </c>
      <c r="B16" s="8">
        <v>74.608150470219442</v>
      </c>
      <c r="C16" s="8">
        <v>73.136246786632384</v>
      </c>
      <c r="D16" s="8">
        <v>60.855263157894733</v>
      </c>
      <c r="E16" s="8">
        <v>145.56962025316454</v>
      </c>
      <c r="F16" s="8">
        <v>148.23529411764707</v>
      </c>
      <c r="G16" s="8">
        <v>128.125</v>
      </c>
      <c r="H16" s="8">
        <v>68.939393939393938</v>
      </c>
      <c r="I16" s="8">
        <v>68.125</v>
      </c>
      <c r="J16" s="8">
        <v>53.968253968253968</v>
      </c>
      <c r="K16" s="8">
        <v>82.287308228730822</v>
      </c>
      <c r="L16" s="8">
        <v>80.43981481481481</v>
      </c>
      <c r="M16" s="8">
        <v>72.554347826086953</v>
      </c>
    </row>
    <row r="17" spans="1:13">
      <c r="A17" s="5">
        <v>1988</v>
      </c>
      <c r="B17" s="8">
        <v>75.384615384615387</v>
      </c>
      <c r="C17" s="8">
        <v>72.431077694235597</v>
      </c>
      <c r="D17" s="8">
        <v>72.638436482084686</v>
      </c>
      <c r="E17" s="8">
        <v>148.75</v>
      </c>
      <c r="F17" s="8">
        <v>151.16279069767441</v>
      </c>
      <c r="G17" s="8">
        <v>128.35820895522389</v>
      </c>
      <c r="H17" s="8">
        <v>70.895522388059703</v>
      </c>
      <c r="I17" s="8">
        <v>67.682926829268297</v>
      </c>
      <c r="J17" s="8">
        <v>68.253968253968253</v>
      </c>
      <c r="K17" s="8">
        <v>83.310533515731876</v>
      </c>
      <c r="L17" s="8">
        <v>80.090497737556561</v>
      </c>
      <c r="M17" s="8">
        <v>82.620320855614978</v>
      </c>
    </row>
    <row r="18" spans="1:13">
      <c r="A18" s="5">
        <v>1989</v>
      </c>
      <c r="B18" s="8">
        <v>77.777777777777786</v>
      </c>
      <c r="C18" s="8">
        <v>75.213675213675216</v>
      </c>
      <c r="D18" s="8">
        <v>72.41379310344827</v>
      </c>
      <c r="E18" s="8">
        <v>134.93975903614458</v>
      </c>
      <c r="F18" s="8">
        <v>138.20224719101125</v>
      </c>
      <c r="G18" s="8">
        <v>120.89552238805969</v>
      </c>
      <c r="H18" s="8">
        <v>71.83098591549296</v>
      </c>
      <c r="I18" s="8">
        <v>69.714285714285722</v>
      </c>
      <c r="J18" s="8">
        <v>66.17647058823529</v>
      </c>
      <c r="K18" s="8">
        <v>84.112149532710276</v>
      </c>
      <c r="L18" s="8">
        <v>81.188118811881196</v>
      </c>
      <c r="M18" s="8">
        <v>80.829015544041454</v>
      </c>
    </row>
    <row r="19" spans="1:13">
      <c r="A19" s="5">
        <v>1990</v>
      </c>
      <c r="B19" s="8">
        <v>78.056426332288396</v>
      </c>
      <c r="C19" s="8">
        <v>75.445292620865146</v>
      </c>
      <c r="D19" s="8">
        <v>73.701298701298697</v>
      </c>
      <c r="E19" s="8">
        <v>129.21348314606743</v>
      </c>
      <c r="F19" s="8">
        <v>132.29166666666669</v>
      </c>
      <c r="G19" s="8">
        <v>112.32876712328768</v>
      </c>
      <c r="H19" s="8">
        <v>71.83098591549296</v>
      </c>
      <c r="I19" s="8">
        <v>70.114942528735639</v>
      </c>
      <c r="J19" s="8">
        <v>66.666666666666657</v>
      </c>
      <c r="K19" s="8">
        <v>84.456671251719399</v>
      </c>
      <c r="L19" s="8">
        <v>81.632653061224488</v>
      </c>
      <c r="M19" s="8">
        <v>80.839895013123368</v>
      </c>
    </row>
    <row r="20" spans="1:13">
      <c r="A20" s="5">
        <v>1991</v>
      </c>
      <c r="B20" s="8">
        <v>79.139072847682129</v>
      </c>
      <c r="C20" s="8">
        <v>75.531914893617028</v>
      </c>
      <c r="D20" s="8">
        <v>81.159420289855078</v>
      </c>
      <c r="E20" s="8">
        <v>122.68041237113403</v>
      </c>
      <c r="F20" s="8">
        <v>125.71428571428571</v>
      </c>
      <c r="G20" s="8">
        <v>107.79220779220779</v>
      </c>
      <c r="H20" s="8">
        <v>73.529411764705884</v>
      </c>
      <c r="I20" s="8">
        <v>69.411764705882348</v>
      </c>
      <c r="J20" s="8">
        <v>75.806451612903231</v>
      </c>
      <c r="K20" s="8">
        <v>85.285714285714292</v>
      </c>
      <c r="L20" s="8">
        <v>81.585081585081582</v>
      </c>
      <c r="M20" s="8">
        <v>86.96883852691218</v>
      </c>
    </row>
    <row r="21" spans="1:13">
      <c r="A21" s="5">
        <v>1992</v>
      </c>
      <c r="B21" s="8">
        <v>79.327731092436977</v>
      </c>
      <c r="C21" s="8">
        <v>77.59784075573549</v>
      </c>
      <c r="D21" s="8">
        <v>67.272727272727266</v>
      </c>
      <c r="E21" s="8">
        <v>122.54901960784315</v>
      </c>
      <c r="F21" s="8">
        <v>122.52252252252251</v>
      </c>
      <c r="G21" s="8">
        <v>117.5</v>
      </c>
      <c r="H21" s="8">
        <v>74.045801526717554</v>
      </c>
      <c r="I21" s="8">
        <v>72.392638036809814</v>
      </c>
      <c r="J21" s="8">
        <v>61.666666666666671</v>
      </c>
      <c r="K21" s="8">
        <v>85.509325681492115</v>
      </c>
      <c r="L21" s="8">
        <v>83.450704225352112</v>
      </c>
      <c r="M21" s="8">
        <v>78.370786516853926</v>
      </c>
    </row>
    <row r="22" spans="1:13">
      <c r="A22" s="5">
        <v>1993</v>
      </c>
      <c r="B22" s="8">
        <v>79.826086956521735</v>
      </c>
      <c r="C22" s="8">
        <v>77.918424753867782</v>
      </c>
      <c r="D22" s="8">
        <v>73.062730627306266</v>
      </c>
      <c r="E22" s="8">
        <v>124.27184466019416</v>
      </c>
      <c r="F22" s="8">
        <v>124.77876106194689</v>
      </c>
      <c r="G22" s="8">
        <v>109.63855421686748</v>
      </c>
      <c r="H22" s="8">
        <v>74.603174603174608</v>
      </c>
      <c r="I22" s="8">
        <v>72.903225806451616</v>
      </c>
      <c r="J22" s="8">
        <v>67.213114754098356</v>
      </c>
      <c r="K22" s="8">
        <v>86.450662739322539</v>
      </c>
      <c r="L22" s="8">
        <v>84.22330097087378</v>
      </c>
      <c r="M22" s="8">
        <v>81.638418079096041</v>
      </c>
    </row>
    <row r="23" spans="1:13">
      <c r="A23" s="5">
        <v>1994</v>
      </c>
      <c r="B23" s="8">
        <v>78.902229845626067</v>
      </c>
      <c r="C23" s="8">
        <v>76.616231086657493</v>
      </c>
      <c r="D23" s="8">
        <v>72.761194029850756</v>
      </c>
      <c r="E23" s="8">
        <v>121.35922330097087</v>
      </c>
      <c r="F23" s="8">
        <v>120.53571428571428</v>
      </c>
      <c r="G23" s="8">
        <v>115.47619047619047</v>
      </c>
      <c r="H23" s="8">
        <v>74.615384615384613</v>
      </c>
      <c r="I23" s="8">
        <v>72.222222222222214</v>
      </c>
      <c r="J23" s="8">
        <v>68.852459016393439</v>
      </c>
      <c r="K23" s="8">
        <v>85.1528384279476</v>
      </c>
      <c r="L23" s="8">
        <v>82.479141835518476</v>
      </c>
      <c r="M23" s="8">
        <v>82.436260623229458</v>
      </c>
    </row>
    <row r="24" spans="1:13">
      <c r="A24" s="5">
        <v>1995</v>
      </c>
      <c r="B24" s="8">
        <v>79.187817258883257</v>
      </c>
      <c r="C24" s="8">
        <v>76.294277929155314</v>
      </c>
      <c r="D24" s="8">
        <v>78.571428571428569</v>
      </c>
      <c r="E24" s="8">
        <v>121.21212121212122</v>
      </c>
      <c r="F24" s="8">
        <v>121.2962962962963</v>
      </c>
      <c r="G24" s="8">
        <v>114.1025641025641</v>
      </c>
      <c r="H24" s="8">
        <v>72.932330827067673</v>
      </c>
      <c r="I24" s="8">
        <v>69.696969696969703</v>
      </c>
      <c r="J24" s="8">
        <v>73.4375</v>
      </c>
      <c r="K24" s="8">
        <v>85.341074020319311</v>
      </c>
      <c r="L24" s="8">
        <v>82.066508313539188</v>
      </c>
      <c r="M24" s="8">
        <v>86.312849162011176</v>
      </c>
    </row>
    <row r="25" spans="1:13">
      <c r="A25" s="5">
        <v>1996</v>
      </c>
      <c r="B25" s="8">
        <v>79.426644182124789</v>
      </c>
      <c r="C25" s="8">
        <v>77.284946236559136</v>
      </c>
      <c r="D25" s="8">
        <v>73.333333333333329</v>
      </c>
      <c r="E25" s="8">
        <v>120.40816326530613</v>
      </c>
      <c r="F25" s="8">
        <v>119.62616822429905</v>
      </c>
      <c r="G25" s="8">
        <v>113.75</v>
      </c>
      <c r="H25" s="8">
        <v>73.333333333333329</v>
      </c>
      <c r="I25" s="8">
        <v>71.17647058823529</v>
      </c>
      <c r="J25" s="8">
        <v>68.852459016393439</v>
      </c>
      <c r="K25" s="8">
        <v>85.115606936416185</v>
      </c>
      <c r="L25" s="8">
        <v>82.511737089201873</v>
      </c>
      <c r="M25" s="8">
        <v>82.571428571428569</v>
      </c>
    </row>
    <row r="26" spans="1:13">
      <c r="A26" s="5">
        <v>1997</v>
      </c>
      <c r="B26" s="8">
        <v>77.5</v>
      </c>
      <c r="C26" s="8">
        <v>74.470899470899468</v>
      </c>
      <c r="D26" s="8">
        <v>77.859778597785976</v>
      </c>
      <c r="E26" s="8">
        <v>119.79166666666667</v>
      </c>
      <c r="F26" s="8">
        <v>123.07692307692308</v>
      </c>
      <c r="G26" s="8">
        <v>102.49999999999999</v>
      </c>
      <c r="H26" s="8">
        <v>70.588235294117652</v>
      </c>
      <c r="I26" s="8">
        <v>68.421052631578945</v>
      </c>
      <c r="J26" s="8">
        <v>69.354838709677423</v>
      </c>
      <c r="K26" s="8">
        <v>83.333333333333343</v>
      </c>
      <c r="L26" s="8">
        <v>80.348837209302332</v>
      </c>
      <c r="M26" s="8">
        <v>83.190883190883198</v>
      </c>
    </row>
    <row r="27" spans="1:13">
      <c r="A27" s="5">
        <v>1998</v>
      </c>
      <c r="B27" s="8">
        <v>79.239302694136299</v>
      </c>
      <c r="C27" s="8">
        <v>76.345431789737177</v>
      </c>
      <c r="D27" s="8">
        <v>77.580071174377224</v>
      </c>
      <c r="E27" s="8">
        <v>116.49484536082475</v>
      </c>
      <c r="F27" s="8">
        <v>115.88785046728971</v>
      </c>
      <c r="G27" s="8">
        <v>106.41025641025641</v>
      </c>
      <c r="H27" s="8">
        <v>73.426573426573427</v>
      </c>
      <c r="I27" s="8">
        <v>70.879120879120876</v>
      </c>
      <c r="J27" s="8">
        <v>68.253968253968253</v>
      </c>
      <c r="K27" s="8">
        <v>84.203296703296701</v>
      </c>
      <c r="L27" s="8">
        <v>81.104972375690608</v>
      </c>
      <c r="M27" s="8">
        <v>84.07821229050279</v>
      </c>
    </row>
    <row r="28" spans="1:13">
      <c r="A28" s="5">
        <v>1999</v>
      </c>
      <c r="B28" s="8">
        <v>79.420731707317074</v>
      </c>
      <c r="C28" s="8">
        <v>77.669902912621353</v>
      </c>
      <c r="D28" s="8">
        <v>72.077922077922068</v>
      </c>
      <c r="E28" s="8">
        <v>117.58241758241759</v>
      </c>
      <c r="F28" s="8">
        <v>114.99999999999999</v>
      </c>
      <c r="G28" s="8">
        <v>116.43835616438356</v>
      </c>
      <c r="H28" s="8">
        <v>73.611111111111114</v>
      </c>
      <c r="I28" s="8">
        <v>73.184357541899431</v>
      </c>
      <c r="J28" s="8">
        <v>61.428571428571431</v>
      </c>
      <c r="K28" s="8">
        <v>84.069611780455162</v>
      </c>
      <c r="L28" s="8">
        <v>81.709956709956714</v>
      </c>
      <c r="M28" s="8">
        <v>80.577427821522306</v>
      </c>
    </row>
    <row r="29" spans="1:13">
      <c r="A29" s="5">
        <v>2000</v>
      </c>
      <c r="B29" s="8">
        <v>78.970588235294116</v>
      </c>
      <c r="C29" s="8">
        <v>77.494199535962878</v>
      </c>
      <c r="D29" s="8">
        <v>67.961165048543691</v>
      </c>
      <c r="E29" s="8">
        <v>117.97752808988764</v>
      </c>
      <c r="F29" s="8">
        <v>115.46391752577318</v>
      </c>
      <c r="G29" s="8">
        <v>119.44444444444444</v>
      </c>
      <c r="H29" s="8">
        <v>71.523178807947019</v>
      </c>
      <c r="I29" s="8">
        <v>70.157068062827221</v>
      </c>
      <c r="J29" s="8">
        <v>60.294117647058819</v>
      </c>
      <c r="K29" s="8">
        <v>83.4850455136541</v>
      </c>
      <c r="L29" s="8">
        <v>81.438998957247136</v>
      </c>
      <c r="M29" s="8">
        <v>77.690288713910761</v>
      </c>
    </row>
    <row r="30" spans="1:13">
      <c r="A30" s="5">
        <v>2001</v>
      </c>
      <c r="B30" s="8">
        <v>78.779069767441854</v>
      </c>
      <c r="C30" s="8">
        <v>76.321839080459768</v>
      </c>
      <c r="D30" s="8">
        <v>76.8025078369906</v>
      </c>
      <c r="E30" s="8">
        <v>122.58064516129032</v>
      </c>
      <c r="F30" s="8">
        <v>119.41747572815532</v>
      </c>
      <c r="G30" s="8">
        <v>121.91780821917808</v>
      </c>
      <c r="H30" s="8">
        <v>76.811594202898547</v>
      </c>
      <c r="I30" s="8">
        <v>72.988505747126439</v>
      </c>
      <c r="J30" s="8">
        <v>82.8125</v>
      </c>
      <c r="K30" s="8">
        <v>83.994878361075536</v>
      </c>
      <c r="L30" s="8">
        <v>80.800821355236138</v>
      </c>
      <c r="M30" s="8">
        <v>85.42199488491049</v>
      </c>
    </row>
    <row r="31" spans="1:13">
      <c r="A31" s="5">
        <v>2002</v>
      </c>
      <c r="B31" s="8">
        <v>76.889534883720927</v>
      </c>
      <c r="C31" s="8">
        <v>76.294591484464902</v>
      </c>
      <c r="D31" s="8">
        <v>62.153846153846146</v>
      </c>
      <c r="E31" s="8">
        <v>121.50537634408603</v>
      </c>
      <c r="F31" s="8">
        <v>119.41747572815532</v>
      </c>
      <c r="G31" s="8">
        <v>121.62162162162163</v>
      </c>
      <c r="H31" s="8">
        <v>74.264705882352942</v>
      </c>
      <c r="I31" s="8">
        <v>73.837209302325576</v>
      </c>
      <c r="J31" s="8">
        <v>56.92307692307692</v>
      </c>
      <c r="K31" s="8">
        <v>82.202304737516002</v>
      </c>
      <c r="L31" s="8">
        <v>80.844490216271879</v>
      </c>
      <c r="M31" s="8">
        <v>73.182957393483704</v>
      </c>
    </row>
    <row r="32" spans="1:13">
      <c r="A32" s="5">
        <v>2003</v>
      </c>
      <c r="B32" s="8">
        <v>77.810218978102185</v>
      </c>
      <c r="C32" s="8">
        <v>77.584204413472705</v>
      </c>
      <c r="D32" s="8">
        <v>61.791044776119406</v>
      </c>
      <c r="E32" s="8">
        <v>121.73913043478262</v>
      </c>
      <c r="F32" s="8">
        <v>117.47572815533979</v>
      </c>
      <c r="G32" s="8">
        <v>126.7605633802817</v>
      </c>
      <c r="H32" s="8">
        <v>75.18248175182481</v>
      </c>
      <c r="I32" s="8">
        <v>76.023391812865498</v>
      </c>
      <c r="J32" s="8">
        <v>53.623188405797109</v>
      </c>
      <c r="K32" s="8">
        <v>83.011583011583014</v>
      </c>
      <c r="L32" s="8">
        <v>81.84647302904564</v>
      </c>
      <c r="M32" s="8">
        <v>73.152709359605922</v>
      </c>
    </row>
    <row r="33" spans="1:13">
      <c r="A33" s="5">
        <v>2004</v>
      </c>
      <c r="B33" s="8">
        <v>77.507163323782237</v>
      </c>
      <c r="C33" s="8">
        <v>77.236693091732732</v>
      </c>
      <c r="D33" s="8">
        <v>61.077844311377248</v>
      </c>
      <c r="E33" s="8">
        <v>120.43010752688173</v>
      </c>
      <c r="F33" s="8">
        <v>117.30769230769231</v>
      </c>
      <c r="G33" s="8">
        <v>127.14285714285714</v>
      </c>
      <c r="H33" s="8">
        <v>74.100719424460422</v>
      </c>
      <c r="I33" s="8">
        <v>74.857142857142861</v>
      </c>
      <c r="J33" s="8">
        <v>52.941176470588239</v>
      </c>
      <c r="K33" s="8">
        <v>82.680151706700372</v>
      </c>
      <c r="L33" s="8">
        <v>81.458966565349542</v>
      </c>
      <c r="M33" s="8">
        <v>72.34567901234567</v>
      </c>
    </row>
    <row r="34" spans="1:13">
      <c r="A34" s="5">
        <v>2005</v>
      </c>
      <c r="B34" s="8">
        <v>76.062322946175641</v>
      </c>
      <c r="C34" s="8">
        <v>74.580067189249718</v>
      </c>
      <c r="D34" s="8">
        <v>65.597667638483969</v>
      </c>
      <c r="E34" s="8">
        <v>116.4835164835165</v>
      </c>
      <c r="F34" s="8">
        <v>114.42307692307692</v>
      </c>
      <c r="G34" s="8">
        <v>111.94029850746267</v>
      </c>
      <c r="H34" s="8">
        <v>70.072992700729927</v>
      </c>
      <c r="I34" s="8">
        <v>69.364161849710982</v>
      </c>
      <c r="J34" s="8">
        <v>56.71641791044776</v>
      </c>
      <c r="K34" s="8">
        <v>80.677540777917187</v>
      </c>
      <c r="L34" s="8">
        <v>78.736208625877637</v>
      </c>
      <c r="M34" s="8">
        <v>73.414634146341456</v>
      </c>
    </row>
    <row r="35" spans="1:13">
      <c r="A35" s="5">
        <v>2006</v>
      </c>
      <c r="B35" s="8">
        <v>76.503496503496507</v>
      </c>
      <c r="C35" s="8">
        <v>76.321585903083701</v>
      </c>
      <c r="D35" s="8">
        <v>68.767908309455578</v>
      </c>
      <c r="E35" s="8">
        <v>114.73684210526316</v>
      </c>
      <c r="F35" s="8">
        <v>114.54545454545455</v>
      </c>
      <c r="G35" s="8">
        <v>113.63636363636364</v>
      </c>
      <c r="H35" s="8">
        <v>72.262773722627742</v>
      </c>
      <c r="I35" s="8">
        <v>71.839080459770116</v>
      </c>
      <c r="J35" s="8">
        <v>61.764705882352942</v>
      </c>
      <c r="K35" s="8">
        <v>81.111111111111114</v>
      </c>
      <c r="L35" s="8">
        <v>80.451866404715119</v>
      </c>
      <c r="M35" s="8">
        <v>75.72115384615384</v>
      </c>
    </row>
    <row r="36" spans="1:13">
      <c r="A36" s="5">
        <v>2007</v>
      </c>
      <c r="B36" s="8">
        <v>77.340569877883311</v>
      </c>
      <c r="C36" s="8">
        <v>76.276595744680847</v>
      </c>
      <c r="D36" s="8">
        <v>73.595505617977537</v>
      </c>
      <c r="E36" s="8">
        <v>116.66666666666667</v>
      </c>
      <c r="F36" s="8">
        <v>114.41441441441442</v>
      </c>
      <c r="G36" s="8">
        <v>119.11764705882352</v>
      </c>
      <c r="H36" s="8">
        <v>72.992700729927009</v>
      </c>
      <c r="I36" s="8">
        <v>72.988505747126439</v>
      </c>
      <c r="J36" s="8">
        <v>67.64705882352942</v>
      </c>
      <c r="K36" s="8">
        <v>81.872749099639847</v>
      </c>
      <c r="L36" s="8">
        <v>80.228136882129277</v>
      </c>
      <c r="M36" s="8">
        <v>80.660377358490564</v>
      </c>
    </row>
    <row r="37" spans="1:13">
      <c r="A37" s="5">
        <v>2008</v>
      </c>
      <c r="B37" s="8">
        <v>77.673796791443849</v>
      </c>
      <c r="C37" s="8">
        <v>76.593521421107624</v>
      </c>
      <c r="D37" s="8">
        <v>72.222222222222214</v>
      </c>
      <c r="E37" s="8">
        <v>112.37113402061856</v>
      </c>
      <c r="F37" s="8">
        <v>109.00900900900901</v>
      </c>
      <c r="G37" s="8">
        <v>116.90140845070422</v>
      </c>
      <c r="H37" s="8">
        <v>75.362318840579718</v>
      </c>
      <c r="I37" s="8">
        <v>74.431818181818173</v>
      </c>
      <c r="J37" s="8">
        <v>72.727272727272734</v>
      </c>
      <c r="K37" s="8">
        <v>81.65680473372781</v>
      </c>
      <c r="L37" s="8">
        <v>80.056179775280896</v>
      </c>
      <c r="M37" s="8">
        <v>79.582366589327151</v>
      </c>
    </row>
    <row r="38" spans="1:13">
      <c r="A38" s="5">
        <v>2009</v>
      </c>
      <c r="B38" s="8">
        <v>80.327868852459019</v>
      </c>
      <c r="C38" s="8">
        <v>79.679144385026731</v>
      </c>
      <c r="D38" s="8">
        <v>73.184357541899431</v>
      </c>
      <c r="E38" s="8">
        <v>110.37735849056605</v>
      </c>
      <c r="F38" s="8">
        <v>109.8360655737705</v>
      </c>
      <c r="G38" s="8">
        <v>106.57894736842107</v>
      </c>
      <c r="H38" s="8">
        <v>76.744186046511629</v>
      </c>
      <c r="I38" s="8">
        <v>76.829268292682926</v>
      </c>
      <c r="J38" s="8">
        <v>64.615384615384613</v>
      </c>
      <c r="K38" s="8">
        <v>84.229390681003579</v>
      </c>
      <c r="L38" s="8">
        <v>83.159886471144745</v>
      </c>
      <c r="M38" s="8">
        <v>78.801843317972356</v>
      </c>
    </row>
    <row r="39" spans="1:13">
      <c r="A39" s="5">
        <v>2010</v>
      </c>
      <c r="B39" s="8">
        <v>80.273972602739732</v>
      </c>
      <c r="C39" s="8">
        <v>79.317697228144993</v>
      </c>
      <c r="D39" s="8">
        <v>73.033707865168537</v>
      </c>
      <c r="E39" s="8">
        <v>109.1743119266055</v>
      </c>
      <c r="F39" s="8">
        <v>107.14285714285714</v>
      </c>
      <c r="G39" s="8">
        <v>111.53846153846155</v>
      </c>
      <c r="H39" s="8">
        <v>76.335877862595424</v>
      </c>
      <c r="I39" s="8">
        <v>76.047904191616766</v>
      </c>
      <c r="J39" s="8">
        <v>68.181818181818173</v>
      </c>
      <c r="K39" s="8">
        <v>84.028605482717524</v>
      </c>
      <c r="L39" s="8">
        <v>82.612781954887211</v>
      </c>
      <c r="M39" s="8">
        <v>80.138568129330253</v>
      </c>
    </row>
    <row r="40" spans="1:13">
      <c r="A40" s="5">
        <v>2011</v>
      </c>
      <c r="B40" s="8">
        <v>81.521739130434781</v>
      </c>
      <c r="C40" s="8">
        <v>79.770594369134514</v>
      </c>
      <c r="D40" s="8">
        <v>77.744807121661722</v>
      </c>
      <c r="E40" s="8">
        <v>116.1904761904762</v>
      </c>
      <c r="F40" s="8">
        <v>114.87603305785123</v>
      </c>
      <c r="G40" s="8">
        <v>115.78947368421053</v>
      </c>
      <c r="H40" s="8">
        <v>76.691729323308266</v>
      </c>
      <c r="I40" s="8">
        <v>75.144508670520224</v>
      </c>
      <c r="J40" s="8">
        <v>69.354838709677423</v>
      </c>
      <c r="K40" s="8">
        <v>85.850178359096319</v>
      </c>
      <c r="L40" s="8">
        <v>83.611111111111114</v>
      </c>
      <c r="M40" s="8">
        <v>84.745762711864401</v>
      </c>
    </row>
    <row r="41" spans="1:13">
      <c r="A41" s="5">
        <v>2012</v>
      </c>
      <c r="B41" s="8">
        <v>79.946879150066394</v>
      </c>
      <c r="C41" s="8">
        <v>78.061224489795919</v>
      </c>
      <c r="D41" s="8">
        <v>77.936962750716333</v>
      </c>
      <c r="E41" s="8">
        <v>110.47619047619048</v>
      </c>
      <c r="F41" s="8">
        <v>106.45161290322579</v>
      </c>
      <c r="G41" s="8">
        <v>113.69863013698631</v>
      </c>
      <c r="H41" s="8">
        <v>73.529411764705884</v>
      </c>
      <c r="I41" s="8">
        <v>71.751412429378533</v>
      </c>
      <c r="J41" s="8">
        <v>73.770491803278688</v>
      </c>
      <c r="K41" s="8">
        <v>83.682983682983675</v>
      </c>
      <c r="L41" s="8">
        <v>81.323662737987306</v>
      </c>
      <c r="M41" s="8">
        <v>84.123222748815166</v>
      </c>
    </row>
    <row r="42" spans="1:13">
      <c r="A42" s="5">
        <v>2013</v>
      </c>
      <c r="B42" s="8">
        <v>78.096479791395041</v>
      </c>
      <c r="C42" s="8">
        <v>76.310483870967744</v>
      </c>
      <c r="D42" s="8">
        <v>77.173913043478265</v>
      </c>
      <c r="E42" s="8">
        <v>112.96296296296295</v>
      </c>
      <c r="F42" s="8">
        <v>112.6984126984127</v>
      </c>
      <c r="G42" s="8">
        <v>110.66666666666667</v>
      </c>
      <c r="H42" s="8">
        <v>72.857142857142847</v>
      </c>
      <c r="I42" s="8">
        <v>71.270718232044189</v>
      </c>
      <c r="J42" s="8">
        <v>73.134328358208961</v>
      </c>
      <c r="K42" s="8">
        <v>82.494279176201374</v>
      </c>
      <c r="L42" s="8">
        <v>80.32200357781754</v>
      </c>
      <c r="M42" s="8">
        <v>82.618510158013549</v>
      </c>
    </row>
    <row r="43" spans="1:13">
      <c r="A43" s="5">
        <v>2014</v>
      </c>
      <c r="B43" s="8">
        <v>77.863577863577859</v>
      </c>
      <c r="C43" s="8">
        <v>74.777448071216611</v>
      </c>
      <c r="D43" s="8">
        <v>83.060109289617486</v>
      </c>
      <c r="E43" s="8">
        <v>117.9245283018868</v>
      </c>
      <c r="F43" s="8">
        <v>112.90322580645163</v>
      </c>
      <c r="G43" s="8">
        <v>129.72972972972974</v>
      </c>
      <c r="H43" s="8">
        <v>75.172413793103445</v>
      </c>
      <c r="I43" s="8">
        <v>71.276595744680847</v>
      </c>
      <c r="J43" s="8">
        <v>85.507246376811594</v>
      </c>
      <c r="K43" s="8">
        <v>82.672706681766712</v>
      </c>
      <c r="L43" s="8">
        <v>79.030837004405285</v>
      </c>
      <c r="M43" s="8">
        <v>90.888382687927106</v>
      </c>
    </row>
    <row r="44" spans="1:13">
      <c r="A44" s="5">
        <v>2015</v>
      </c>
      <c r="B44" s="8">
        <v>77.2609819121447</v>
      </c>
      <c r="C44" s="8">
        <v>75.272007912957477</v>
      </c>
      <c r="D44" s="8">
        <v>76.32311977715878</v>
      </c>
      <c r="E44" s="8">
        <v>112.5</v>
      </c>
      <c r="F44" s="8">
        <v>110.5263157894737</v>
      </c>
      <c r="G44" s="8">
        <v>110.5263157894737</v>
      </c>
      <c r="H44" s="8">
        <v>75</v>
      </c>
      <c r="I44" s="8">
        <v>71.957671957671948</v>
      </c>
      <c r="J44" s="8">
        <v>78.787878787878782</v>
      </c>
      <c r="K44" s="8">
        <v>81.623449830890635</v>
      </c>
      <c r="L44" s="8">
        <v>79.370629370629374</v>
      </c>
      <c r="M44" s="8">
        <v>82.298850574712645</v>
      </c>
    </row>
    <row r="45" spans="1:13">
      <c r="A45" s="5">
        <v>2016</v>
      </c>
      <c r="B45" s="8">
        <v>78.954248366013076</v>
      </c>
      <c r="C45" s="8">
        <v>78.693467336683426</v>
      </c>
      <c r="D45" s="8">
        <v>69.146005509641867</v>
      </c>
      <c r="E45" s="8">
        <v>112.93103448275863</v>
      </c>
      <c r="F45" s="8">
        <v>108.69565217391303</v>
      </c>
      <c r="G45" s="8">
        <v>116.66666666666667</v>
      </c>
      <c r="H45" s="8">
        <v>75.177304964539005</v>
      </c>
      <c r="I45" s="8">
        <v>75.543478260869563</v>
      </c>
      <c r="J45" s="8">
        <v>61.194029850746269</v>
      </c>
      <c r="K45" s="8">
        <v>83.427922814982963</v>
      </c>
      <c r="L45" s="8">
        <v>82.436010591350396</v>
      </c>
      <c r="M45" s="8">
        <v>77.551020408163268</v>
      </c>
    </row>
    <row r="46" spans="1:13">
      <c r="A46" s="5">
        <v>2017</v>
      </c>
      <c r="B46" s="8">
        <v>78.987341772151893</v>
      </c>
      <c r="C46" s="8">
        <v>77.109602327837052</v>
      </c>
      <c r="D46" s="8">
        <v>78.260869565217391</v>
      </c>
      <c r="E46" s="8">
        <v>117.64705882352942</v>
      </c>
      <c r="F46" s="8">
        <v>113.38028169014085</v>
      </c>
      <c r="G46" s="8">
        <v>121.24999999999999</v>
      </c>
      <c r="H46" s="8">
        <v>78.378378378378372</v>
      </c>
      <c r="I46" s="8">
        <v>75.384615384615387</v>
      </c>
      <c r="J46" s="8">
        <v>80.597014925373131</v>
      </c>
      <c r="K46" s="8">
        <v>83.938393839383934</v>
      </c>
      <c r="L46" s="8">
        <v>81.585677749360613</v>
      </c>
      <c r="M46" s="8">
        <v>85.746102449888639</v>
      </c>
    </row>
    <row r="47" spans="1:13">
      <c r="A47" s="5">
        <v>2018</v>
      </c>
      <c r="B47" s="8">
        <v>81.32832080200501</v>
      </c>
      <c r="C47" s="8">
        <v>79.732313575525808</v>
      </c>
      <c r="D47" s="8">
        <v>78.688524590163937</v>
      </c>
      <c r="E47" s="8">
        <v>118.64406779661016</v>
      </c>
      <c r="F47" s="8">
        <v>115.60283687943263</v>
      </c>
      <c r="G47" s="8">
        <v>116.25000000000001</v>
      </c>
      <c r="H47" s="8">
        <v>85.430463576158942</v>
      </c>
      <c r="I47" s="8">
        <v>84.343434343434339</v>
      </c>
      <c r="J47" s="8">
        <v>79.710144927536234</v>
      </c>
      <c r="K47" s="8">
        <v>86.04143947655399</v>
      </c>
      <c r="L47" s="8">
        <v>84.077506318449863</v>
      </c>
      <c r="M47" s="8">
        <v>85.234899328859058</v>
      </c>
    </row>
    <row r="48" spans="1:13">
      <c r="A48" s="5">
        <v>2019</v>
      </c>
      <c r="B48" s="8">
        <v>79.949874686716797</v>
      </c>
      <c r="C48" s="8">
        <v>78.202676864244751</v>
      </c>
      <c r="D48" s="8">
        <v>78.804347826086953</v>
      </c>
      <c r="E48" s="8">
        <v>112.39669421487604</v>
      </c>
      <c r="F48" s="8">
        <v>108.45070422535213</v>
      </c>
      <c r="G48" s="8">
        <v>120.48192771084338</v>
      </c>
      <c r="H48" s="8">
        <v>81.632653061224488</v>
      </c>
      <c r="I48" s="8">
        <v>78.865979381443296</v>
      </c>
      <c r="J48" s="8">
        <v>87.692307692307693</v>
      </c>
      <c r="K48" s="8">
        <v>84.221980413492929</v>
      </c>
      <c r="L48" s="8">
        <v>81.818181818181827</v>
      </c>
      <c r="M48" s="8">
        <v>86.283185840707972</v>
      </c>
    </row>
    <row r="50" spans="1:13">
      <c r="A50" s="5" t="s">
        <v>22</v>
      </c>
      <c r="B50" s="58">
        <f>B48-B5</f>
        <v>5.5559352927774057</v>
      </c>
      <c r="C50" s="58">
        <f t="shared" ref="C50:G50" si="0">C48-C5</f>
        <v>5.1847740509455207</v>
      </c>
      <c r="D50" s="58">
        <f t="shared" si="0"/>
        <v>17.265886287625413</v>
      </c>
      <c r="E50" s="58">
        <f t="shared" si="0"/>
        <v>-41.840593920717183</v>
      </c>
      <c r="F50" s="58">
        <f t="shared" si="0"/>
        <v>-42.318526543878647</v>
      </c>
      <c r="G50" s="58">
        <f t="shared" si="0"/>
        <v>-31.899024670109</v>
      </c>
      <c r="H50" s="58">
        <f t="shared" ref="H50:M50" si="1">H48-H5</f>
        <v>13.775510204081627</v>
      </c>
      <c r="I50" s="58">
        <f t="shared" si="1"/>
        <v>12.940053455517372</v>
      </c>
      <c r="J50" s="58">
        <f t="shared" si="1"/>
        <v>27.227191413237932</v>
      </c>
      <c r="K50" s="58">
        <f t="shared" si="1"/>
        <v>3.2762224162745639</v>
      </c>
      <c r="L50" s="58">
        <f t="shared" si="1"/>
        <v>2.7401676337846652</v>
      </c>
      <c r="M50" s="58">
        <f t="shared" si="1"/>
        <v>13.555913113435238</v>
      </c>
    </row>
    <row r="51" spans="1:13">
      <c r="A51" s="5" t="s">
        <v>23</v>
      </c>
      <c r="B51" s="58">
        <f>B29-B5</f>
        <v>4.5766488413547251</v>
      </c>
      <c r="C51" s="58">
        <f t="shared" ref="C51:G51" si="2">C29-C5</f>
        <v>4.4762967226636476</v>
      </c>
      <c r="D51" s="58">
        <f t="shared" si="2"/>
        <v>6.422703510082151</v>
      </c>
      <c r="E51" s="58">
        <f t="shared" si="2"/>
        <v>-36.259760045705576</v>
      </c>
      <c r="F51" s="58">
        <f t="shared" si="2"/>
        <v>-35.30531324345759</v>
      </c>
      <c r="G51" s="58">
        <f t="shared" si="2"/>
        <v>-32.936507936507937</v>
      </c>
      <c r="H51" s="58">
        <f t="shared" ref="H51:M51" si="3">H29-H5</f>
        <v>3.666035950804158</v>
      </c>
      <c r="I51" s="58">
        <f t="shared" si="3"/>
        <v>4.2311421369012976</v>
      </c>
      <c r="J51" s="58">
        <f t="shared" si="3"/>
        <v>-0.17099863201094223</v>
      </c>
      <c r="K51" s="58">
        <f t="shared" si="3"/>
        <v>2.5392875164357349</v>
      </c>
      <c r="L51" s="58">
        <f t="shared" si="3"/>
        <v>2.3609847728499744</v>
      </c>
      <c r="M51" s="58">
        <f t="shared" si="3"/>
        <v>4.9630159866380268</v>
      </c>
    </row>
    <row r="52" spans="1:13">
      <c r="A52" s="5" t="s">
        <v>24</v>
      </c>
      <c r="B52" s="58">
        <f>B48-B29</f>
        <v>0.97928645142268067</v>
      </c>
      <c r="C52" s="58">
        <f t="shared" ref="C52:G52" si="4">C48-C29</f>
        <v>0.70847732828187304</v>
      </c>
      <c r="D52" s="58">
        <f t="shared" si="4"/>
        <v>10.843182777543262</v>
      </c>
      <c r="E52" s="58">
        <f t="shared" si="4"/>
        <v>-5.5808338750116064</v>
      </c>
      <c r="F52" s="58">
        <f t="shared" si="4"/>
        <v>-7.0132133004210573</v>
      </c>
      <c r="G52" s="58">
        <f t="shared" si="4"/>
        <v>1.0374832663989366</v>
      </c>
      <c r="H52" s="58">
        <f t="shared" ref="H52:M52" si="5">H48-H29</f>
        <v>10.109474253277469</v>
      </c>
      <c r="I52" s="58">
        <f t="shared" si="5"/>
        <v>8.7089113186160745</v>
      </c>
      <c r="J52" s="58">
        <f t="shared" si="5"/>
        <v>27.398190045248874</v>
      </c>
      <c r="K52" s="58">
        <f t="shared" si="5"/>
        <v>0.73693489983882898</v>
      </c>
      <c r="L52" s="58">
        <f t="shared" si="5"/>
        <v>0.37918286093469078</v>
      </c>
      <c r="M52" s="58">
        <f t="shared" si="5"/>
        <v>8.5928971267972116</v>
      </c>
    </row>
    <row r="55" spans="1:13">
      <c r="A55" s="5" t="s">
        <v>607</v>
      </c>
    </row>
  </sheetData>
  <mergeCells count="4">
    <mergeCell ref="B3:D3"/>
    <mergeCell ref="E3:G3"/>
    <mergeCell ref="H3:J3"/>
    <mergeCell ref="K3:M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01933-F0F8-7449-B50A-3C844F64A714}">
  <sheetPr codeName="Sheet18"/>
  <dimension ref="A1:Q59"/>
  <sheetViews>
    <sheetView zoomScale="86" workbookViewId="0"/>
  </sheetViews>
  <sheetFormatPr baseColWidth="10" defaultColWidth="11" defaultRowHeight="16"/>
  <cols>
    <col min="1" max="1" width="18.5" style="5" customWidth="1"/>
    <col min="2" max="2" width="17.33203125" style="5" customWidth="1"/>
    <col min="3" max="3" width="17.5" style="5" customWidth="1"/>
    <col min="4" max="4" width="18.1640625" style="5" customWidth="1"/>
    <col min="5" max="5" width="17.1640625" style="5" customWidth="1"/>
    <col min="6" max="6" width="18.33203125" style="5" customWidth="1"/>
    <col min="7" max="7" width="17.5" style="5" customWidth="1"/>
    <col min="8" max="8" width="17.83203125" style="5" customWidth="1"/>
    <col min="9" max="9" width="18" style="5" customWidth="1"/>
    <col min="10" max="10" width="18.33203125" style="5" customWidth="1"/>
    <col min="11" max="11" width="18.1640625" style="5" customWidth="1"/>
    <col min="12" max="12" width="16.6640625" style="5" customWidth="1"/>
    <col min="13" max="13" width="16.33203125" style="5" customWidth="1"/>
    <col min="14" max="16384" width="11" style="5"/>
  </cols>
  <sheetData>
    <row r="1" spans="1:17">
      <c r="A1" s="3" t="s">
        <v>620</v>
      </c>
    </row>
    <row r="2" spans="1:17">
      <c r="A2" s="5" t="s">
        <v>3</v>
      </c>
    </row>
    <row r="4" spans="1:17">
      <c r="B4" s="328" t="s">
        <v>26</v>
      </c>
      <c r="C4" s="328"/>
      <c r="D4" s="328"/>
      <c r="E4" s="328" t="s">
        <v>27</v>
      </c>
      <c r="F4" s="328"/>
      <c r="G4" s="328"/>
      <c r="H4" s="328" t="s">
        <v>29</v>
      </c>
      <c r="I4" s="328"/>
      <c r="J4" s="328"/>
      <c r="K4" s="328" t="s">
        <v>28</v>
      </c>
      <c r="L4" s="328"/>
      <c r="M4" s="328"/>
      <c r="O4" s="328"/>
      <c r="P4" s="328"/>
      <c r="Q4" s="328"/>
    </row>
    <row r="5" spans="1:17" ht="69" customHeight="1">
      <c r="B5" s="137" t="s">
        <v>81</v>
      </c>
      <c r="C5" s="137" t="s">
        <v>77</v>
      </c>
      <c r="D5" s="137" t="s">
        <v>78</v>
      </c>
      <c r="E5" s="137" t="s">
        <v>81</v>
      </c>
      <c r="F5" s="137" t="s">
        <v>77</v>
      </c>
      <c r="G5" s="137" t="s">
        <v>78</v>
      </c>
      <c r="H5" s="137" t="s">
        <v>81</v>
      </c>
      <c r="I5" s="137" t="s">
        <v>77</v>
      </c>
      <c r="J5" s="137" t="s">
        <v>78</v>
      </c>
      <c r="K5" s="137" t="s">
        <v>81</v>
      </c>
      <c r="L5" s="137" t="s">
        <v>77</v>
      </c>
      <c r="M5" s="137" t="s">
        <v>78</v>
      </c>
      <c r="O5" s="137"/>
      <c r="P5" s="137"/>
      <c r="Q5" s="137"/>
    </row>
    <row r="6" spans="1:17">
      <c r="A6" s="5">
        <v>1976</v>
      </c>
      <c r="B6" s="20">
        <v>45000</v>
      </c>
      <c r="C6" s="20">
        <v>55100</v>
      </c>
      <c r="D6" s="20">
        <v>10900</v>
      </c>
      <c r="E6" s="20">
        <v>4700</v>
      </c>
      <c r="F6" s="20">
        <v>4600</v>
      </c>
      <c r="G6" s="20">
        <v>5500</v>
      </c>
      <c r="H6" s="20">
        <v>4400</v>
      </c>
      <c r="I6" s="20">
        <v>6500</v>
      </c>
      <c r="J6" s="141">
        <v>9.9999999999999995E-7</v>
      </c>
      <c r="K6" s="20">
        <v>54800</v>
      </c>
      <c r="L6" s="20">
        <v>62900</v>
      </c>
      <c r="M6" s="20">
        <v>14900</v>
      </c>
      <c r="O6" s="26"/>
      <c r="P6" s="26"/>
      <c r="Q6" s="26"/>
    </row>
    <row r="7" spans="1:17">
      <c r="A7" s="5">
        <v>1977</v>
      </c>
      <c r="B7" s="20">
        <v>43900</v>
      </c>
      <c r="C7" s="20">
        <v>53800</v>
      </c>
      <c r="D7" s="20">
        <v>11600</v>
      </c>
      <c r="E7" s="20">
        <v>5500</v>
      </c>
      <c r="F7" s="20">
        <v>5700</v>
      </c>
      <c r="G7" s="20">
        <v>4900</v>
      </c>
      <c r="H7" s="20">
        <v>3900</v>
      </c>
      <c r="I7" s="20">
        <v>5700</v>
      </c>
      <c r="J7" s="141">
        <v>9.9999999999999995E-7</v>
      </c>
      <c r="K7" s="20">
        <v>52000</v>
      </c>
      <c r="L7" s="20">
        <v>62200</v>
      </c>
      <c r="M7" s="20">
        <v>18400</v>
      </c>
      <c r="O7" s="26"/>
      <c r="P7" s="26"/>
      <c r="Q7" s="26"/>
    </row>
    <row r="8" spans="1:17">
      <c r="A8" s="5">
        <v>1978</v>
      </c>
      <c r="B8" s="20">
        <v>44700</v>
      </c>
      <c r="C8" s="20">
        <v>56000</v>
      </c>
      <c r="D8" s="20">
        <v>17800</v>
      </c>
      <c r="E8" s="20">
        <v>5800</v>
      </c>
      <c r="F8" s="20">
        <v>7000</v>
      </c>
      <c r="G8" s="20">
        <v>2500</v>
      </c>
      <c r="H8" s="20">
        <v>3800</v>
      </c>
      <c r="I8" s="20">
        <v>5400</v>
      </c>
      <c r="J8" s="135">
        <v>300</v>
      </c>
      <c r="K8" s="20">
        <v>55700</v>
      </c>
      <c r="L8" s="20">
        <v>65000</v>
      </c>
      <c r="M8" s="20">
        <v>23200</v>
      </c>
      <c r="O8" s="26"/>
      <c r="P8" s="26"/>
      <c r="Q8" s="26"/>
    </row>
    <row r="9" spans="1:17">
      <c r="A9" s="5">
        <v>1979</v>
      </c>
      <c r="B9" s="20">
        <v>46300</v>
      </c>
      <c r="C9" s="20">
        <v>54900</v>
      </c>
      <c r="D9" s="20">
        <v>14800</v>
      </c>
      <c r="E9" s="20">
        <v>5500</v>
      </c>
      <c r="F9" s="20">
        <v>5700</v>
      </c>
      <c r="G9" s="20">
        <v>3700</v>
      </c>
      <c r="H9" s="20">
        <v>4500</v>
      </c>
      <c r="I9" s="20">
        <v>5900</v>
      </c>
      <c r="J9" s="135">
        <v>300</v>
      </c>
      <c r="K9" s="20">
        <v>54400</v>
      </c>
      <c r="L9" s="20">
        <v>62000</v>
      </c>
      <c r="M9" s="20">
        <v>22400</v>
      </c>
      <c r="O9" s="26"/>
      <c r="P9" s="26"/>
      <c r="Q9" s="26"/>
    </row>
    <row r="10" spans="1:17">
      <c r="A10" s="5">
        <v>1980</v>
      </c>
      <c r="B10" s="20">
        <v>43500</v>
      </c>
      <c r="C10" s="20">
        <v>52800</v>
      </c>
      <c r="D10" s="20">
        <v>12600</v>
      </c>
      <c r="E10" s="20">
        <v>5900</v>
      </c>
      <c r="F10" s="20">
        <v>6200</v>
      </c>
      <c r="G10" s="20">
        <v>5300</v>
      </c>
      <c r="H10" s="20">
        <v>4600</v>
      </c>
      <c r="I10" s="20">
        <v>6300</v>
      </c>
      <c r="J10" s="135">
        <v>300</v>
      </c>
      <c r="K10" s="20">
        <v>53400</v>
      </c>
      <c r="L10" s="20">
        <v>61700</v>
      </c>
      <c r="M10" s="20">
        <v>18600</v>
      </c>
      <c r="O10" s="26"/>
      <c r="P10" s="26"/>
      <c r="Q10" s="26"/>
    </row>
    <row r="11" spans="1:17">
      <c r="A11" s="5">
        <v>1981</v>
      </c>
      <c r="B11" s="20">
        <v>41100</v>
      </c>
      <c r="C11" s="20">
        <v>50900</v>
      </c>
      <c r="D11" s="20">
        <v>13000</v>
      </c>
      <c r="E11" s="20">
        <v>6100</v>
      </c>
      <c r="F11" s="20">
        <v>6300</v>
      </c>
      <c r="G11" s="20">
        <v>4700</v>
      </c>
      <c r="H11" s="20">
        <v>4100</v>
      </c>
      <c r="I11" s="20">
        <v>5600</v>
      </c>
      <c r="J11" s="135">
        <v>300</v>
      </c>
      <c r="K11" s="20">
        <v>50800</v>
      </c>
      <c r="L11" s="20">
        <v>60700</v>
      </c>
      <c r="M11" s="20">
        <v>21600</v>
      </c>
      <c r="O11" s="26"/>
      <c r="P11" s="26"/>
      <c r="Q11" s="26"/>
    </row>
    <row r="12" spans="1:17">
      <c r="A12" s="5">
        <v>1982</v>
      </c>
      <c r="B12" s="20">
        <v>38400</v>
      </c>
      <c r="C12" s="20">
        <v>48800</v>
      </c>
      <c r="D12" s="20">
        <v>10300</v>
      </c>
      <c r="E12" s="20">
        <v>7900</v>
      </c>
      <c r="F12" s="20">
        <v>8700</v>
      </c>
      <c r="G12" s="20">
        <v>6400</v>
      </c>
      <c r="H12" s="20">
        <v>4200</v>
      </c>
      <c r="I12" s="20">
        <v>5700</v>
      </c>
      <c r="J12" s="135">
        <v>100</v>
      </c>
      <c r="K12" s="20">
        <v>49100</v>
      </c>
      <c r="L12" s="20">
        <v>58700</v>
      </c>
      <c r="M12" s="20">
        <v>19900</v>
      </c>
      <c r="O12" s="26"/>
      <c r="P12" s="26"/>
      <c r="Q12" s="26"/>
    </row>
    <row r="13" spans="1:17">
      <c r="A13" s="5">
        <v>1983</v>
      </c>
      <c r="B13" s="20">
        <v>34600</v>
      </c>
      <c r="C13" s="20">
        <v>42100</v>
      </c>
      <c r="D13" s="20">
        <v>5000</v>
      </c>
      <c r="E13" s="20">
        <v>7500</v>
      </c>
      <c r="F13" s="20">
        <v>7700</v>
      </c>
      <c r="G13" s="20">
        <v>7200</v>
      </c>
      <c r="H13" s="20">
        <v>3300</v>
      </c>
      <c r="I13" s="20">
        <v>5100</v>
      </c>
      <c r="J13" s="141">
        <v>9.9999999999999995E-7</v>
      </c>
      <c r="K13" s="20">
        <v>46600</v>
      </c>
      <c r="L13" s="20">
        <v>55400</v>
      </c>
      <c r="M13" s="20">
        <v>17200</v>
      </c>
      <c r="O13" s="26"/>
      <c r="P13" s="26"/>
      <c r="Q13" s="26"/>
    </row>
    <row r="14" spans="1:17">
      <c r="A14" s="5">
        <v>1984</v>
      </c>
      <c r="B14" s="20">
        <v>39400</v>
      </c>
      <c r="C14" s="20">
        <v>50500</v>
      </c>
      <c r="D14" s="20">
        <v>11100</v>
      </c>
      <c r="E14" s="20">
        <v>8000</v>
      </c>
      <c r="F14" s="20">
        <v>8300</v>
      </c>
      <c r="G14" s="20">
        <v>7200</v>
      </c>
      <c r="H14" s="20">
        <v>4600</v>
      </c>
      <c r="I14" s="20">
        <v>6500</v>
      </c>
      <c r="J14" s="135">
        <v>200</v>
      </c>
      <c r="K14" s="20">
        <v>51500</v>
      </c>
      <c r="L14" s="20">
        <v>61300</v>
      </c>
      <c r="M14" s="20">
        <v>20400</v>
      </c>
      <c r="O14" s="26"/>
      <c r="P14" s="26"/>
      <c r="Q14" s="26"/>
    </row>
    <row r="15" spans="1:17">
      <c r="A15" s="5">
        <v>1985</v>
      </c>
      <c r="B15" s="20">
        <v>39700</v>
      </c>
      <c r="C15" s="20">
        <v>49300</v>
      </c>
      <c r="D15" s="20">
        <v>13500</v>
      </c>
      <c r="E15" s="20">
        <v>8000</v>
      </c>
      <c r="F15" s="20">
        <v>8500</v>
      </c>
      <c r="G15" s="20">
        <v>5400</v>
      </c>
      <c r="H15" s="20">
        <v>4900</v>
      </c>
      <c r="I15" s="20">
        <v>6300</v>
      </c>
      <c r="J15" s="135">
        <v>500</v>
      </c>
      <c r="K15" s="20">
        <v>51300</v>
      </c>
      <c r="L15" s="20">
        <v>61100</v>
      </c>
      <c r="M15" s="20">
        <v>21700</v>
      </c>
      <c r="O15" s="26"/>
      <c r="P15" s="26"/>
      <c r="Q15" s="26"/>
    </row>
    <row r="16" spans="1:17">
      <c r="A16" s="5">
        <v>1986</v>
      </c>
      <c r="B16" s="20">
        <v>41500</v>
      </c>
      <c r="C16" s="20">
        <v>50600</v>
      </c>
      <c r="D16" s="20">
        <v>14100</v>
      </c>
      <c r="E16" s="20">
        <v>8300</v>
      </c>
      <c r="F16" s="20">
        <v>9100</v>
      </c>
      <c r="G16" s="20">
        <v>7200</v>
      </c>
      <c r="H16" s="20">
        <v>6000</v>
      </c>
      <c r="I16" s="20">
        <v>7300</v>
      </c>
      <c r="J16" s="20">
        <v>1000</v>
      </c>
      <c r="K16" s="20">
        <v>54000</v>
      </c>
      <c r="L16" s="20">
        <v>62500</v>
      </c>
      <c r="M16" s="20">
        <v>22800</v>
      </c>
      <c r="O16" s="26"/>
      <c r="P16" s="26"/>
      <c r="Q16" s="26"/>
    </row>
    <row r="17" spans="1:17">
      <c r="A17" s="5">
        <v>1987</v>
      </c>
      <c r="B17" s="20">
        <v>39000</v>
      </c>
      <c r="C17" s="20">
        <v>51600</v>
      </c>
      <c r="D17" s="20">
        <v>9900</v>
      </c>
      <c r="E17" s="20">
        <v>8700</v>
      </c>
      <c r="F17" s="20">
        <v>8800</v>
      </c>
      <c r="G17" s="20">
        <v>8200</v>
      </c>
      <c r="H17" s="20">
        <v>6100</v>
      </c>
      <c r="I17" s="20">
        <v>8200</v>
      </c>
      <c r="J17" s="135">
        <v>400</v>
      </c>
      <c r="K17" s="20">
        <v>50500</v>
      </c>
      <c r="L17" s="20">
        <v>63000</v>
      </c>
      <c r="M17" s="20">
        <v>20000</v>
      </c>
      <c r="O17" s="26"/>
      <c r="P17" s="26"/>
      <c r="Q17" s="26"/>
    </row>
    <row r="18" spans="1:17">
      <c r="A18" s="5">
        <v>1988</v>
      </c>
      <c r="B18" s="20">
        <v>40000</v>
      </c>
      <c r="C18" s="20">
        <v>52000</v>
      </c>
      <c r="D18" s="20">
        <v>13300</v>
      </c>
      <c r="E18" s="20">
        <v>9300</v>
      </c>
      <c r="F18" s="20">
        <v>9600</v>
      </c>
      <c r="G18" s="20">
        <v>8300</v>
      </c>
      <c r="H18" s="20">
        <v>6300</v>
      </c>
      <c r="I18" s="20">
        <v>8200</v>
      </c>
      <c r="J18" s="20">
        <v>1300</v>
      </c>
      <c r="K18" s="20">
        <v>52700</v>
      </c>
      <c r="L18" s="20">
        <v>63300</v>
      </c>
      <c r="M18" s="20">
        <v>23300</v>
      </c>
      <c r="O18" s="26"/>
      <c r="P18" s="26"/>
      <c r="Q18" s="26"/>
    </row>
    <row r="19" spans="1:17">
      <c r="A19" s="5">
        <v>1989</v>
      </c>
      <c r="B19" s="20">
        <v>43200</v>
      </c>
      <c r="C19" s="20">
        <v>54900</v>
      </c>
      <c r="D19" s="20">
        <v>15700</v>
      </c>
      <c r="E19" s="20">
        <v>7800</v>
      </c>
      <c r="F19" s="20">
        <v>7900</v>
      </c>
      <c r="G19" s="20">
        <v>7700</v>
      </c>
      <c r="H19" s="20">
        <v>7000</v>
      </c>
      <c r="I19" s="20">
        <v>9100</v>
      </c>
      <c r="J19" s="20">
        <v>1700</v>
      </c>
      <c r="K19" s="20">
        <v>54600</v>
      </c>
      <c r="L19" s="20">
        <v>65200</v>
      </c>
      <c r="M19" s="20">
        <v>23400</v>
      </c>
      <c r="O19" s="26"/>
      <c r="P19" s="26"/>
      <c r="Q19" s="26"/>
    </row>
    <row r="20" spans="1:17">
      <c r="A20" s="5">
        <v>1990</v>
      </c>
      <c r="B20" s="20">
        <v>41600</v>
      </c>
      <c r="C20" s="20">
        <v>54500</v>
      </c>
      <c r="D20" s="20">
        <v>12500</v>
      </c>
      <c r="E20" s="20">
        <v>8800</v>
      </c>
      <c r="F20" s="20">
        <v>9100</v>
      </c>
      <c r="G20" s="20">
        <v>5700</v>
      </c>
      <c r="H20" s="20">
        <v>6900</v>
      </c>
      <c r="I20" s="20">
        <v>9200</v>
      </c>
      <c r="J20" s="20">
        <v>1900</v>
      </c>
      <c r="K20" s="20">
        <v>53400</v>
      </c>
      <c r="L20" s="20">
        <v>64600</v>
      </c>
      <c r="M20" s="20">
        <v>23200</v>
      </c>
      <c r="O20" s="26"/>
      <c r="P20" s="26"/>
      <c r="Q20" s="26"/>
    </row>
    <row r="21" spans="1:17">
      <c r="A21" s="5">
        <v>1991</v>
      </c>
      <c r="B21" s="20">
        <v>36200</v>
      </c>
      <c r="C21" s="20">
        <v>48700</v>
      </c>
      <c r="D21" s="20">
        <v>12000</v>
      </c>
      <c r="E21" s="20">
        <v>9300</v>
      </c>
      <c r="F21" s="20">
        <v>10600</v>
      </c>
      <c r="G21" s="20">
        <v>7600</v>
      </c>
      <c r="H21" s="20">
        <v>6100</v>
      </c>
      <c r="I21" s="20">
        <v>8300</v>
      </c>
      <c r="J21" s="20">
        <v>1700</v>
      </c>
      <c r="K21" s="20">
        <v>49900</v>
      </c>
      <c r="L21" s="20">
        <v>61100</v>
      </c>
      <c r="M21" s="20">
        <v>22400</v>
      </c>
      <c r="O21" s="26"/>
      <c r="P21" s="26"/>
      <c r="Q21" s="26"/>
    </row>
    <row r="22" spans="1:17">
      <c r="A22" s="5">
        <v>1992</v>
      </c>
      <c r="B22" s="20">
        <v>36000</v>
      </c>
      <c r="C22" s="20">
        <v>48600</v>
      </c>
      <c r="D22" s="20">
        <v>9900</v>
      </c>
      <c r="E22" s="20">
        <v>10200</v>
      </c>
      <c r="F22" s="20">
        <v>10700</v>
      </c>
      <c r="G22" s="20">
        <v>9200</v>
      </c>
      <c r="H22" s="20">
        <v>5900</v>
      </c>
      <c r="I22" s="20">
        <v>8100</v>
      </c>
      <c r="J22" s="20">
        <v>1100</v>
      </c>
      <c r="K22" s="20">
        <v>50200</v>
      </c>
      <c r="L22" s="20">
        <v>61700</v>
      </c>
      <c r="M22" s="20">
        <v>21300</v>
      </c>
      <c r="O22" s="26"/>
      <c r="P22" s="26"/>
      <c r="Q22" s="26"/>
    </row>
    <row r="23" spans="1:17">
      <c r="A23" s="5">
        <v>1993</v>
      </c>
      <c r="B23" s="20">
        <v>36300</v>
      </c>
      <c r="C23" s="20">
        <v>49000</v>
      </c>
      <c r="D23" s="20">
        <v>9500</v>
      </c>
      <c r="E23" s="20">
        <v>10600</v>
      </c>
      <c r="F23" s="20">
        <v>11600</v>
      </c>
      <c r="G23" s="20">
        <v>9300</v>
      </c>
      <c r="H23" s="20">
        <v>6200</v>
      </c>
      <c r="I23" s="20">
        <v>8800</v>
      </c>
      <c r="J23" s="20">
        <v>1000</v>
      </c>
      <c r="K23" s="20">
        <v>50300</v>
      </c>
      <c r="L23" s="20">
        <v>62700</v>
      </c>
      <c r="M23" s="20">
        <v>20700</v>
      </c>
      <c r="O23" s="26"/>
      <c r="P23" s="26"/>
      <c r="Q23" s="26"/>
    </row>
    <row r="24" spans="1:17">
      <c r="A24" s="5">
        <v>1994</v>
      </c>
      <c r="B24" s="20">
        <v>36300</v>
      </c>
      <c r="C24" s="20">
        <v>49200</v>
      </c>
      <c r="D24" s="20">
        <v>8800</v>
      </c>
      <c r="E24" s="20">
        <v>9800</v>
      </c>
      <c r="F24" s="20">
        <v>10200</v>
      </c>
      <c r="G24" s="20">
        <v>9300</v>
      </c>
      <c r="H24" s="20">
        <v>6300</v>
      </c>
      <c r="I24" s="20">
        <v>8700</v>
      </c>
      <c r="J24" s="135">
        <v>900</v>
      </c>
      <c r="K24" s="20">
        <v>50900</v>
      </c>
      <c r="L24" s="20">
        <v>61300</v>
      </c>
      <c r="M24" s="20">
        <v>22300</v>
      </c>
      <c r="O24" s="26"/>
      <c r="P24" s="26"/>
      <c r="Q24" s="26"/>
    </row>
    <row r="25" spans="1:17">
      <c r="A25" s="5">
        <v>1995</v>
      </c>
      <c r="B25" s="20">
        <v>36000</v>
      </c>
      <c r="C25" s="20">
        <v>48100</v>
      </c>
      <c r="D25" s="20">
        <v>12200</v>
      </c>
      <c r="E25" s="20">
        <v>9800</v>
      </c>
      <c r="F25" s="20">
        <v>10700</v>
      </c>
      <c r="G25" s="20">
        <v>7800</v>
      </c>
      <c r="H25" s="20">
        <v>6200</v>
      </c>
      <c r="I25" s="20">
        <v>8200</v>
      </c>
      <c r="J25" s="20">
        <v>1500</v>
      </c>
      <c r="K25" s="20">
        <v>49800</v>
      </c>
      <c r="L25" s="20">
        <v>60300</v>
      </c>
      <c r="M25" s="20">
        <v>22700</v>
      </c>
      <c r="O25" s="26"/>
      <c r="P25" s="26"/>
      <c r="Q25" s="26"/>
    </row>
    <row r="26" spans="1:17">
      <c r="A26" s="5">
        <v>1996</v>
      </c>
      <c r="B26" s="20">
        <v>36100</v>
      </c>
      <c r="C26" s="20">
        <v>49200</v>
      </c>
      <c r="D26" s="20">
        <v>11000</v>
      </c>
      <c r="E26" s="20">
        <v>9600</v>
      </c>
      <c r="F26" s="20">
        <v>10200</v>
      </c>
      <c r="G26" s="20">
        <v>8900</v>
      </c>
      <c r="H26" s="20">
        <v>6000</v>
      </c>
      <c r="I26" s="20">
        <v>8600</v>
      </c>
      <c r="J26" s="20">
        <v>1300</v>
      </c>
      <c r="K26" s="20">
        <v>48600</v>
      </c>
      <c r="L26" s="20">
        <v>61400</v>
      </c>
      <c r="M26" s="20">
        <v>22200</v>
      </c>
      <c r="O26" s="26"/>
      <c r="P26" s="26"/>
      <c r="Q26" s="26"/>
    </row>
    <row r="27" spans="1:17">
      <c r="A27" s="5">
        <v>1997</v>
      </c>
      <c r="B27" s="20">
        <v>36100</v>
      </c>
      <c r="C27" s="20">
        <v>48800</v>
      </c>
      <c r="D27" s="20">
        <v>10500</v>
      </c>
      <c r="E27" s="20">
        <v>8900</v>
      </c>
      <c r="F27" s="20">
        <v>9800</v>
      </c>
      <c r="G27" s="20">
        <v>6400</v>
      </c>
      <c r="H27" s="20">
        <v>6000</v>
      </c>
      <c r="I27" s="20">
        <v>8400</v>
      </c>
      <c r="J27" s="135" t="s">
        <v>87</v>
      </c>
      <c r="K27" s="20">
        <v>49100</v>
      </c>
      <c r="L27" s="20">
        <v>60700</v>
      </c>
      <c r="M27" s="20">
        <v>21500</v>
      </c>
      <c r="O27" s="26"/>
      <c r="P27" s="26"/>
      <c r="Q27" s="26"/>
    </row>
    <row r="28" spans="1:17">
      <c r="A28" s="5">
        <v>1998</v>
      </c>
      <c r="B28" s="20">
        <v>37800</v>
      </c>
      <c r="C28" s="20">
        <v>52400</v>
      </c>
      <c r="D28" s="20">
        <v>13600</v>
      </c>
      <c r="E28" s="20">
        <v>8700</v>
      </c>
      <c r="F28" s="20">
        <v>9300</v>
      </c>
      <c r="G28" s="20">
        <v>6900</v>
      </c>
      <c r="H28" s="20">
        <v>6100</v>
      </c>
      <c r="I28" s="20">
        <v>8500</v>
      </c>
      <c r="J28" s="20">
        <v>1300</v>
      </c>
      <c r="K28" s="20">
        <v>49300</v>
      </c>
      <c r="L28" s="20">
        <v>63700</v>
      </c>
      <c r="M28" s="20">
        <v>22200</v>
      </c>
      <c r="O28" s="26"/>
      <c r="P28" s="26"/>
      <c r="Q28" s="26"/>
    </row>
    <row r="29" spans="1:17">
      <c r="A29" s="5">
        <v>1999</v>
      </c>
      <c r="B29" s="20">
        <v>41100</v>
      </c>
      <c r="C29" s="20">
        <v>56900</v>
      </c>
      <c r="D29" s="20">
        <v>14200</v>
      </c>
      <c r="E29" s="20">
        <v>7900</v>
      </c>
      <c r="F29" s="20">
        <v>8500</v>
      </c>
      <c r="G29" s="20">
        <v>7100</v>
      </c>
      <c r="H29" s="20">
        <v>6200</v>
      </c>
      <c r="I29" s="20">
        <v>9000</v>
      </c>
      <c r="J29" s="20">
        <v>1400</v>
      </c>
      <c r="K29" s="20">
        <v>51900</v>
      </c>
      <c r="L29" s="20">
        <v>66600</v>
      </c>
      <c r="M29" s="20">
        <v>22900</v>
      </c>
      <c r="O29" s="26"/>
      <c r="P29" s="26"/>
      <c r="Q29" s="26"/>
    </row>
    <row r="30" spans="1:17">
      <c r="A30" s="5">
        <v>2000</v>
      </c>
      <c r="B30" s="20">
        <v>41000</v>
      </c>
      <c r="C30" s="20">
        <v>57000</v>
      </c>
      <c r="D30" s="20">
        <v>12600</v>
      </c>
      <c r="E30" s="20">
        <v>7700</v>
      </c>
      <c r="F30" s="20">
        <v>7500</v>
      </c>
      <c r="G30" s="20">
        <v>7900</v>
      </c>
      <c r="H30" s="20">
        <v>6000</v>
      </c>
      <c r="I30" s="20">
        <v>8900</v>
      </c>
      <c r="J30" s="20">
        <v>1500</v>
      </c>
      <c r="K30" s="20">
        <v>51800</v>
      </c>
      <c r="L30" s="20">
        <v>66100</v>
      </c>
      <c r="M30" s="20">
        <v>22500</v>
      </c>
      <c r="O30" s="26"/>
      <c r="P30" s="26"/>
      <c r="Q30" s="26"/>
    </row>
    <row r="31" spans="1:17">
      <c r="A31" s="5">
        <v>2001</v>
      </c>
      <c r="B31" s="20">
        <v>40400</v>
      </c>
      <c r="C31" s="20">
        <v>56300</v>
      </c>
      <c r="D31" s="20">
        <v>12700</v>
      </c>
      <c r="E31" s="20">
        <v>8600</v>
      </c>
      <c r="F31" s="20">
        <v>9000</v>
      </c>
      <c r="G31" s="20">
        <v>7900</v>
      </c>
      <c r="H31" s="20">
        <v>5900</v>
      </c>
      <c r="I31" s="20">
        <v>8500</v>
      </c>
      <c r="J31" s="20">
        <v>1100</v>
      </c>
      <c r="K31" s="20">
        <v>53100</v>
      </c>
      <c r="L31" s="20">
        <v>68200</v>
      </c>
      <c r="M31" s="20">
        <v>23600</v>
      </c>
      <c r="O31" s="26"/>
      <c r="P31" s="26"/>
      <c r="Q31" s="26"/>
    </row>
    <row r="32" spans="1:17">
      <c r="A32" s="5">
        <v>2002</v>
      </c>
      <c r="B32" s="20">
        <v>38900</v>
      </c>
      <c r="C32" s="20">
        <v>57400</v>
      </c>
      <c r="D32" s="20">
        <v>11100</v>
      </c>
      <c r="E32" s="20">
        <v>9000</v>
      </c>
      <c r="F32" s="20">
        <v>9500</v>
      </c>
      <c r="G32" s="20">
        <v>8200</v>
      </c>
      <c r="H32" s="20">
        <v>5500</v>
      </c>
      <c r="I32" s="20">
        <v>8600</v>
      </c>
      <c r="J32" s="135" t="s">
        <v>87</v>
      </c>
      <c r="K32" s="20">
        <v>51900</v>
      </c>
      <c r="L32" s="20">
        <v>68700</v>
      </c>
      <c r="M32" s="20">
        <v>22200</v>
      </c>
      <c r="O32" s="26"/>
      <c r="P32" s="26"/>
      <c r="Q32" s="26"/>
    </row>
    <row r="33" spans="1:17">
      <c r="A33" s="5">
        <v>2003</v>
      </c>
      <c r="B33" s="20">
        <v>39300</v>
      </c>
      <c r="C33" s="20">
        <v>55600</v>
      </c>
      <c r="D33" s="20">
        <v>11800</v>
      </c>
      <c r="E33" s="20">
        <v>8800</v>
      </c>
      <c r="F33" s="20">
        <v>9300</v>
      </c>
      <c r="G33" s="20">
        <v>8000</v>
      </c>
      <c r="H33" s="20">
        <v>5900</v>
      </c>
      <c r="I33" s="20">
        <v>8400</v>
      </c>
      <c r="J33" s="135" t="s">
        <v>87</v>
      </c>
      <c r="K33" s="20">
        <v>52000</v>
      </c>
      <c r="L33" s="20">
        <v>68000</v>
      </c>
      <c r="M33" s="20">
        <v>23400</v>
      </c>
      <c r="O33" s="26"/>
      <c r="P33" s="26"/>
      <c r="Q33" s="26"/>
    </row>
    <row r="34" spans="1:17">
      <c r="A34" s="5">
        <v>2004</v>
      </c>
      <c r="B34" s="20">
        <v>39500</v>
      </c>
      <c r="C34" s="20">
        <v>55700</v>
      </c>
      <c r="D34" s="20">
        <v>12800</v>
      </c>
      <c r="E34" s="20">
        <v>8600</v>
      </c>
      <c r="F34" s="20">
        <v>9000</v>
      </c>
      <c r="G34" s="20">
        <v>7800</v>
      </c>
      <c r="H34" s="20">
        <v>5900</v>
      </c>
      <c r="I34" s="20">
        <v>8400</v>
      </c>
      <c r="J34" s="20">
        <v>1700</v>
      </c>
      <c r="K34" s="20">
        <v>52600</v>
      </c>
      <c r="L34" s="20">
        <v>68900</v>
      </c>
      <c r="M34" s="20">
        <v>24000</v>
      </c>
      <c r="O34" s="26"/>
      <c r="P34" s="26"/>
      <c r="Q34" s="26"/>
    </row>
    <row r="35" spans="1:17">
      <c r="A35" s="5">
        <v>2005</v>
      </c>
      <c r="B35" s="20">
        <v>40000</v>
      </c>
      <c r="C35" s="20">
        <v>54900</v>
      </c>
      <c r="D35" s="20">
        <v>13300</v>
      </c>
      <c r="E35" s="20">
        <v>7600</v>
      </c>
      <c r="F35" s="20">
        <v>8200</v>
      </c>
      <c r="G35" s="20">
        <v>5100</v>
      </c>
      <c r="H35" s="20">
        <v>5300</v>
      </c>
      <c r="I35" s="20">
        <v>7700</v>
      </c>
      <c r="J35" s="135" t="s">
        <v>87</v>
      </c>
      <c r="K35" s="20">
        <v>53300</v>
      </c>
      <c r="L35" s="20">
        <v>66100</v>
      </c>
      <c r="M35" s="20">
        <v>23100</v>
      </c>
      <c r="O35" s="26"/>
      <c r="P35" s="26"/>
      <c r="Q35" s="26"/>
    </row>
    <row r="36" spans="1:17">
      <c r="A36" s="5">
        <v>2006</v>
      </c>
      <c r="B36" s="20">
        <v>41400</v>
      </c>
      <c r="C36" s="20">
        <v>55700</v>
      </c>
      <c r="D36" s="20">
        <v>15700</v>
      </c>
      <c r="E36" s="20">
        <v>7800</v>
      </c>
      <c r="F36" s="20">
        <v>9300</v>
      </c>
      <c r="G36" s="135" t="s">
        <v>87</v>
      </c>
      <c r="H36" s="20">
        <v>5600</v>
      </c>
      <c r="I36" s="20">
        <v>8100</v>
      </c>
      <c r="J36" s="135" t="s">
        <v>87</v>
      </c>
      <c r="K36" s="20">
        <v>53600</v>
      </c>
      <c r="L36" s="20">
        <v>69500</v>
      </c>
      <c r="M36" s="20">
        <v>25600</v>
      </c>
      <c r="O36" s="26"/>
      <c r="P36" s="26"/>
      <c r="Q36" s="26"/>
    </row>
    <row r="37" spans="1:17">
      <c r="A37" s="5">
        <v>2007</v>
      </c>
      <c r="B37" s="20">
        <v>42700</v>
      </c>
      <c r="C37" s="20">
        <v>58700</v>
      </c>
      <c r="D37" s="20">
        <v>18500</v>
      </c>
      <c r="E37" s="20">
        <v>8400</v>
      </c>
      <c r="F37" s="20">
        <v>9600</v>
      </c>
      <c r="G37" s="20">
        <v>5700</v>
      </c>
      <c r="H37" s="20">
        <v>5200</v>
      </c>
      <c r="I37" s="20">
        <v>7700</v>
      </c>
      <c r="J37" s="20">
        <v>1900</v>
      </c>
      <c r="K37" s="20">
        <v>55400</v>
      </c>
      <c r="L37" s="20">
        <v>70600</v>
      </c>
      <c r="M37" s="20">
        <v>26300</v>
      </c>
      <c r="O37" s="26"/>
      <c r="P37" s="26"/>
      <c r="Q37" s="26"/>
    </row>
    <row r="38" spans="1:17">
      <c r="A38" s="5">
        <v>2008</v>
      </c>
      <c r="B38" s="20">
        <v>44000</v>
      </c>
      <c r="C38" s="20">
        <v>62600</v>
      </c>
      <c r="D38" s="20">
        <v>16700</v>
      </c>
      <c r="E38" s="20">
        <v>8000</v>
      </c>
      <c r="F38" s="20">
        <v>8400</v>
      </c>
      <c r="G38" s="20">
        <v>7600</v>
      </c>
      <c r="H38" s="20">
        <v>5900</v>
      </c>
      <c r="I38" s="20">
        <v>8500</v>
      </c>
      <c r="J38" s="135" t="s">
        <v>87</v>
      </c>
      <c r="K38" s="20">
        <v>55900</v>
      </c>
      <c r="L38" s="20">
        <v>73500</v>
      </c>
      <c r="M38" s="20">
        <v>25800</v>
      </c>
      <c r="O38" s="26"/>
      <c r="P38" s="26"/>
      <c r="Q38" s="26"/>
    </row>
    <row r="39" spans="1:17">
      <c r="A39" s="5">
        <v>2009</v>
      </c>
      <c r="B39" s="20">
        <v>42800</v>
      </c>
      <c r="C39" s="20">
        <v>61600</v>
      </c>
      <c r="D39" s="20">
        <v>18700</v>
      </c>
      <c r="E39" s="20">
        <v>9000</v>
      </c>
      <c r="F39" s="20">
        <v>10500</v>
      </c>
      <c r="G39" s="20">
        <v>6500</v>
      </c>
      <c r="H39" s="20">
        <v>5100</v>
      </c>
      <c r="I39" s="20">
        <v>7800</v>
      </c>
      <c r="J39" s="135" t="s">
        <v>87</v>
      </c>
      <c r="K39" s="20">
        <v>55400</v>
      </c>
      <c r="L39" s="20">
        <v>75300</v>
      </c>
      <c r="M39" s="20">
        <v>27100</v>
      </c>
      <c r="O39" s="26"/>
      <c r="P39" s="26"/>
      <c r="Q39" s="26"/>
    </row>
    <row r="40" spans="1:17">
      <c r="A40" s="5">
        <v>2010</v>
      </c>
      <c r="B40" s="20">
        <v>43000</v>
      </c>
      <c r="C40" s="20">
        <v>64000</v>
      </c>
      <c r="D40" s="20">
        <v>18800</v>
      </c>
      <c r="E40" s="20">
        <v>9100</v>
      </c>
      <c r="F40" s="20">
        <v>10300</v>
      </c>
      <c r="G40" s="20">
        <v>7800</v>
      </c>
      <c r="H40" s="20">
        <v>5400</v>
      </c>
      <c r="I40" s="20">
        <v>8500</v>
      </c>
      <c r="J40" s="20">
        <v>1300</v>
      </c>
      <c r="K40" s="20">
        <v>56100</v>
      </c>
      <c r="L40" s="20">
        <v>77900</v>
      </c>
      <c r="M40" s="20">
        <v>27700</v>
      </c>
      <c r="O40" s="26"/>
      <c r="P40" s="26"/>
      <c r="Q40" s="26"/>
    </row>
    <row r="41" spans="1:17">
      <c r="A41" s="5">
        <v>2011</v>
      </c>
      <c r="B41" s="20">
        <v>44400</v>
      </c>
      <c r="C41" s="20">
        <v>62200</v>
      </c>
      <c r="D41" s="20">
        <v>18600</v>
      </c>
      <c r="E41" s="20">
        <v>9900</v>
      </c>
      <c r="F41" s="20">
        <v>11100</v>
      </c>
      <c r="G41" s="20">
        <v>8100</v>
      </c>
      <c r="H41" s="20">
        <v>5600</v>
      </c>
      <c r="I41" s="20">
        <v>8400</v>
      </c>
      <c r="J41" s="20">
        <v>1600</v>
      </c>
      <c r="K41" s="20">
        <v>56800</v>
      </c>
      <c r="L41" s="20">
        <v>76000</v>
      </c>
      <c r="M41" s="20">
        <v>27300</v>
      </c>
      <c r="O41" s="26"/>
      <c r="P41" s="26"/>
      <c r="Q41" s="26"/>
    </row>
    <row r="42" spans="1:17">
      <c r="A42" s="5">
        <v>2012</v>
      </c>
      <c r="B42" s="20">
        <v>43300</v>
      </c>
      <c r="C42" s="20">
        <v>63400</v>
      </c>
      <c r="D42" s="20">
        <v>19900</v>
      </c>
      <c r="E42" s="20">
        <v>8500</v>
      </c>
      <c r="F42" s="20">
        <v>9900</v>
      </c>
      <c r="G42" s="20">
        <v>6900</v>
      </c>
      <c r="H42" s="20">
        <v>5200</v>
      </c>
      <c r="I42" s="20">
        <v>8100</v>
      </c>
      <c r="J42" s="135" t="s">
        <v>87</v>
      </c>
      <c r="K42" s="20">
        <v>57300</v>
      </c>
      <c r="L42" s="20">
        <v>73400</v>
      </c>
      <c r="M42" s="20">
        <v>28200</v>
      </c>
      <c r="O42" s="26"/>
      <c r="P42" s="26"/>
      <c r="Q42" s="26"/>
    </row>
    <row r="43" spans="1:17">
      <c r="A43" s="5">
        <v>2013</v>
      </c>
      <c r="B43" s="20">
        <v>44400</v>
      </c>
      <c r="C43" s="20">
        <v>63000</v>
      </c>
      <c r="D43" s="20">
        <v>20900</v>
      </c>
      <c r="E43" s="20">
        <v>9400</v>
      </c>
      <c r="F43" s="20">
        <v>11700</v>
      </c>
      <c r="G43" s="135" t="s">
        <v>87</v>
      </c>
      <c r="H43" s="20">
        <v>5900</v>
      </c>
      <c r="I43" s="20">
        <v>9000</v>
      </c>
      <c r="J43" s="20">
        <v>2300</v>
      </c>
      <c r="K43" s="20">
        <v>57200</v>
      </c>
      <c r="L43" s="20">
        <v>76300</v>
      </c>
      <c r="M43" s="20">
        <v>29600</v>
      </c>
      <c r="O43" s="26"/>
      <c r="P43" s="26"/>
      <c r="Q43" s="26"/>
    </row>
    <row r="44" spans="1:17">
      <c r="A44" s="5">
        <v>2014</v>
      </c>
      <c r="B44" s="20">
        <v>45600</v>
      </c>
      <c r="C44" s="20">
        <v>67400</v>
      </c>
      <c r="D44" s="20">
        <v>20700</v>
      </c>
      <c r="E44" s="20">
        <v>9900</v>
      </c>
      <c r="F44" s="20">
        <v>11000</v>
      </c>
      <c r="G44" s="20">
        <v>8900</v>
      </c>
      <c r="H44" s="20">
        <v>5900</v>
      </c>
      <c r="I44" s="20">
        <v>9300</v>
      </c>
      <c r="J44" s="20">
        <v>2700</v>
      </c>
      <c r="K44" s="20">
        <v>59700</v>
      </c>
      <c r="L44" s="20">
        <v>79700</v>
      </c>
      <c r="M44" s="20">
        <v>31300</v>
      </c>
      <c r="O44" s="26"/>
      <c r="P44" s="26"/>
      <c r="Q44" s="26"/>
    </row>
    <row r="45" spans="1:17">
      <c r="A45" s="5">
        <v>2015</v>
      </c>
      <c r="B45" s="20">
        <v>46900</v>
      </c>
      <c r="C45" s="20">
        <v>67100</v>
      </c>
      <c r="D45" s="20">
        <v>17800</v>
      </c>
      <c r="E45" s="20">
        <v>9800</v>
      </c>
      <c r="F45" s="20">
        <v>11800</v>
      </c>
      <c r="G45" s="20">
        <v>7200</v>
      </c>
      <c r="H45" s="20">
        <v>6500</v>
      </c>
      <c r="I45" s="20">
        <v>9800</v>
      </c>
      <c r="J45" s="135" t="s">
        <v>87</v>
      </c>
      <c r="K45" s="20">
        <v>61200</v>
      </c>
      <c r="L45" s="20">
        <v>80600</v>
      </c>
      <c r="M45" s="20">
        <v>27900</v>
      </c>
      <c r="O45" s="26"/>
      <c r="P45" s="26"/>
      <c r="Q45" s="26"/>
    </row>
    <row r="46" spans="1:17">
      <c r="A46" s="5">
        <v>2016</v>
      </c>
      <c r="B46" s="20">
        <v>44600</v>
      </c>
      <c r="C46" s="20">
        <v>63900</v>
      </c>
      <c r="D46" s="20">
        <v>18900</v>
      </c>
      <c r="E46" s="20">
        <v>10400</v>
      </c>
      <c r="F46" s="20">
        <v>12400</v>
      </c>
      <c r="G46" s="20">
        <v>7600</v>
      </c>
      <c r="H46" s="20">
        <v>5900</v>
      </c>
      <c r="I46" s="20">
        <v>9700</v>
      </c>
      <c r="J46" s="20">
        <v>1500</v>
      </c>
      <c r="K46" s="20">
        <v>59800</v>
      </c>
      <c r="L46" s="20">
        <v>79300</v>
      </c>
      <c r="M46" s="20">
        <v>28500</v>
      </c>
      <c r="O46" s="26"/>
      <c r="P46" s="26"/>
      <c r="Q46" s="26"/>
    </row>
    <row r="47" spans="1:17">
      <c r="A47" s="5">
        <v>2017</v>
      </c>
      <c r="B47" s="20">
        <v>45900</v>
      </c>
      <c r="C47" s="20">
        <v>65100</v>
      </c>
      <c r="D47" s="20">
        <v>20200</v>
      </c>
      <c r="E47" s="20">
        <v>12100</v>
      </c>
      <c r="F47" s="20">
        <v>14000</v>
      </c>
      <c r="G47" s="20">
        <v>7800</v>
      </c>
      <c r="H47" s="20">
        <v>6500</v>
      </c>
      <c r="I47" s="20">
        <v>9900</v>
      </c>
      <c r="J47" s="20">
        <v>2400</v>
      </c>
      <c r="K47" s="20">
        <v>61200</v>
      </c>
      <c r="L47" s="20">
        <v>82600</v>
      </c>
      <c r="M47" s="20">
        <v>31400</v>
      </c>
      <c r="O47" s="26"/>
      <c r="P47" s="26"/>
      <c r="Q47" s="26"/>
    </row>
    <row r="48" spans="1:17">
      <c r="A48" s="5">
        <v>2018</v>
      </c>
      <c r="B48" s="20">
        <v>46800</v>
      </c>
      <c r="C48" s="20">
        <v>66000</v>
      </c>
      <c r="D48" s="20">
        <v>20600</v>
      </c>
      <c r="E48" s="20">
        <v>10900</v>
      </c>
      <c r="F48" s="20">
        <v>13100</v>
      </c>
      <c r="G48" s="20">
        <v>7800</v>
      </c>
      <c r="H48" s="20">
        <v>6300</v>
      </c>
      <c r="I48" s="20">
        <v>10200</v>
      </c>
      <c r="J48" s="20">
        <v>2000</v>
      </c>
      <c r="K48" s="20">
        <v>62900</v>
      </c>
      <c r="L48" s="20">
        <v>83500</v>
      </c>
      <c r="M48" s="20">
        <v>29700</v>
      </c>
      <c r="O48" s="26"/>
      <c r="P48" s="26"/>
      <c r="Q48" s="26"/>
    </row>
    <row r="49" spans="1:17">
      <c r="A49" s="5">
        <v>2019</v>
      </c>
      <c r="B49" s="20">
        <v>47000</v>
      </c>
      <c r="C49" s="20">
        <v>66900</v>
      </c>
      <c r="D49" s="20">
        <v>21200</v>
      </c>
      <c r="E49" s="20">
        <v>12200</v>
      </c>
      <c r="F49" s="20">
        <v>13600</v>
      </c>
      <c r="G49" s="20">
        <v>10400</v>
      </c>
      <c r="H49" s="20">
        <v>6800</v>
      </c>
      <c r="I49" s="20">
        <v>10400</v>
      </c>
      <c r="J49" s="20">
        <v>2600</v>
      </c>
      <c r="K49" s="20">
        <v>63700</v>
      </c>
      <c r="L49" s="20">
        <v>82900</v>
      </c>
      <c r="M49" s="20">
        <v>32200</v>
      </c>
      <c r="O49" s="26"/>
      <c r="P49" s="26"/>
      <c r="Q49" s="26"/>
    </row>
    <row r="51" spans="1:17">
      <c r="A51" s="5" t="s">
        <v>83</v>
      </c>
      <c r="B51" s="143">
        <f>100*((B49/B6)^(1/43)-1)</f>
        <v>0.10117931907431821</v>
      </c>
      <c r="C51" s="143">
        <f t="shared" ref="C51:M51" si="0">100*((C49/C6)^(1/43)-1)</f>
        <v>0.45229711743204337</v>
      </c>
      <c r="D51" s="143">
        <f t="shared" si="0"/>
        <v>1.5590950476580323</v>
      </c>
      <c r="E51" s="143">
        <f t="shared" si="0"/>
        <v>2.2430977844822841</v>
      </c>
      <c r="F51" s="143">
        <f t="shared" si="0"/>
        <v>2.5530065535638524</v>
      </c>
      <c r="G51" s="143">
        <f t="shared" si="0"/>
        <v>1.492558615415418</v>
      </c>
      <c r="H51" s="143">
        <f t="shared" si="0"/>
        <v>1.0175093850224526</v>
      </c>
      <c r="I51" s="143">
        <f t="shared" si="0"/>
        <v>1.0990271113809236</v>
      </c>
      <c r="J51" s="23">
        <f>100*((J49/J8)^(1/41)-1)</f>
        <v>5.4082107084963305</v>
      </c>
      <c r="K51" s="143">
        <f t="shared" si="0"/>
        <v>0.35060007306988439</v>
      </c>
      <c r="L51" s="143">
        <f t="shared" si="0"/>
        <v>0.64413287577569367</v>
      </c>
      <c r="M51" s="143">
        <f t="shared" si="0"/>
        <v>1.808259771725651</v>
      </c>
    </row>
    <row r="52" spans="1:17">
      <c r="A52" s="5" t="s">
        <v>84</v>
      </c>
      <c r="B52" s="143">
        <f>100*((B30/B6)^(1/24)-1)</f>
        <v>-0.38712549250768946</v>
      </c>
      <c r="C52" s="143">
        <f t="shared" ref="C52:M52" si="1">100*((C30/C6)^(1/24)-1)</f>
        <v>0.14135627925264682</v>
      </c>
      <c r="D52" s="143">
        <f t="shared" si="1"/>
        <v>0.60571887207918618</v>
      </c>
      <c r="E52" s="143">
        <f t="shared" si="1"/>
        <v>2.0782077186675352</v>
      </c>
      <c r="F52" s="143">
        <f t="shared" si="1"/>
        <v>2.0577469036658025</v>
      </c>
      <c r="G52" s="143">
        <f t="shared" si="1"/>
        <v>1.5202511320332457</v>
      </c>
      <c r="H52" s="143">
        <f t="shared" si="1"/>
        <v>1.3006986427904987</v>
      </c>
      <c r="I52" s="143">
        <f t="shared" si="1"/>
        <v>1.3179810517150559</v>
      </c>
      <c r="J52" s="23">
        <f>100*((J30/J8)^(1/22)-1)</f>
        <v>7.5898653113133374</v>
      </c>
      <c r="K52" s="143">
        <f t="shared" si="1"/>
        <v>-0.23430858742119476</v>
      </c>
      <c r="L52" s="143">
        <f t="shared" si="1"/>
        <v>0.20697466058932079</v>
      </c>
      <c r="M52" s="143">
        <f t="shared" si="1"/>
        <v>1.7321392544993319</v>
      </c>
    </row>
    <row r="53" spans="1:17">
      <c r="A53" s="5" t="s">
        <v>11</v>
      </c>
      <c r="B53" s="143">
        <f>100*((B49/B30)^(1/19)-1)</f>
        <v>0.72140830759861441</v>
      </c>
      <c r="C53" s="143">
        <f t="shared" ref="C53:M53" si="2">100*((C49/C30)^(1/19)-1)</f>
        <v>0.84644488502969573</v>
      </c>
      <c r="D53" s="143">
        <f t="shared" si="2"/>
        <v>2.7762840388395604</v>
      </c>
      <c r="E53" s="143">
        <f t="shared" si="2"/>
        <v>2.4517607404576536</v>
      </c>
      <c r="F53" s="143">
        <f t="shared" si="2"/>
        <v>3.1820344334751116</v>
      </c>
      <c r="G53" s="143">
        <f t="shared" si="2"/>
        <v>1.4575893914536397</v>
      </c>
      <c r="H53" s="143">
        <f t="shared" si="2"/>
        <v>0.66092793642977821</v>
      </c>
      <c r="I53" s="143">
        <f t="shared" si="2"/>
        <v>0.82312991924304857</v>
      </c>
      <c r="J53" s="143">
        <f t="shared" si="2"/>
        <v>2.9372926075508898</v>
      </c>
      <c r="K53" s="143">
        <f t="shared" si="2"/>
        <v>1.094336177932842</v>
      </c>
      <c r="L53" s="143">
        <f t="shared" si="2"/>
        <v>1.1990597436813299</v>
      </c>
      <c r="M53" s="143">
        <f t="shared" si="2"/>
        <v>1.9044934212343101</v>
      </c>
    </row>
    <row r="55" spans="1:17">
      <c r="A55" s="5" t="s">
        <v>88</v>
      </c>
    </row>
    <row r="56" spans="1:17">
      <c r="A56" s="5" t="s">
        <v>89</v>
      </c>
    </row>
    <row r="58" spans="1:17">
      <c r="A58" s="5" t="s">
        <v>607</v>
      </c>
    </row>
    <row r="59" spans="1:17">
      <c r="B59" s="144"/>
    </row>
  </sheetData>
  <mergeCells count="5">
    <mergeCell ref="B4:D4"/>
    <mergeCell ref="E4:G4"/>
    <mergeCell ref="H4:J4"/>
    <mergeCell ref="K4:M4"/>
    <mergeCell ref="O4:Q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0D96B-05CF-3F43-9436-FD5562C47B7E}">
  <sheetPr codeName="Sheet19"/>
  <dimension ref="A1:O55"/>
  <sheetViews>
    <sheetView zoomScale="110" workbookViewId="0"/>
  </sheetViews>
  <sheetFormatPr baseColWidth="10" defaultColWidth="11" defaultRowHeight="16"/>
  <cols>
    <col min="1" max="1" width="21.33203125" style="5" customWidth="1"/>
    <col min="2" max="13" width="16.83203125" style="5" customWidth="1"/>
    <col min="14" max="16384" width="11" style="5"/>
  </cols>
  <sheetData>
    <row r="1" spans="1:15">
      <c r="A1" s="3" t="s">
        <v>621</v>
      </c>
    </row>
    <row r="2" spans="1:15">
      <c r="B2" s="135"/>
      <c r="C2" s="135"/>
      <c r="D2" s="135"/>
      <c r="E2" s="135"/>
      <c r="F2" s="135"/>
      <c r="G2" s="135"/>
      <c r="H2" s="135"/>
      <c r="I2" s="135"/>
      <c r="J2" s="135"/>
      <c r="K2" s="135"/>
      <c r="L2" s="135"/>
      <c r="M2" s="135"/>
    </row>
    <row r="3" spans="1:15">
      <c r="B3" s="328" t="s">
        <v>26</v>
      </c>
      <c r="C3" s="328"/>
      <c r="D3" s="328"/>
      <c r="E3" s="328" t="s">
        <v>27</v>
      </c>
      <c r="F3" s="328"/>
      <c r="G3" s="328"/>
      <c r="H3" s="328" t="s">
        <v>29</v>
      </c>
      <c r="I3" s="328"/>
      <c r="J3" s="328"/>
      <c r="K3" s="328" t="s">
        <v>28</v>
      </c>
      <c r="L3" s="328"/>
      <c r="M3" s="328"/>
    </row>
    <row r="4" spans="1:15" ht="81" customHeight="1">
      <c r="A4" s="137"/>
      <c r="B4" s="137" t="s">
        <v>81</v>
      </c>
      <c r="C4" s="137" t="s">
        <v>77</v>
      </c>
      <c r="D4" s="137" t="s">
        <v>78</v>
      </c>
      <c r="E4" s="137" t="s">
        <v>81</v>
      </c>
      <c r="F4" s="137" t="s">
        <v>77</v>
      </c>
      <c r="G4" s="137" t="s">
        <v>78</v>
      </c>
      <c r="H4" s="137" t="s">
        <v>81</v>
      </c>
      <c r="I4" s="137" t="s">
        <v>77</v>
      </c>
      <c r="J4" s="137" t="s">
        <v>78</v>
      </c>
      <c r="K4" s="137" t="s">
        <v>81</v>
      </c>
      <c r="L4" s="137" t="s">
        <v>77</v>
      </c>
      <c r="M4" s="137" t="s">
        <v>78</v>
      </c>
    </row>
    <row r="5" spans="1:15">
      <c r="A5" s="5">
        <v>1976</v>
      </c>
      <c r="B5" s="8">
        <v>77.319587628865989</v>
      </c>
      <c r="C5" s="8">
        <v>77.934936350777946</v>
      </c>
      <c r="D5" s="8">
        <v>46.982758620689658</v>
      </c>
      <c r="E5" s="8">
        <v>195.83333333333331</v>
      </c>
      <c r="F5" s="8">
        <v>176.92307692307691</v>
      </c>
      <c r="G5" s="78" t="s">
        <v>87</v>
      </c>
      <c r="H5" s="8">
        <v>63.768115942028977</v>
      </c>
      <c r="I5" s="8">
        <v>67.708333333333343</v>
      </c>
      <c r="J5" s="8">
        <v>1.4285714285714287E-7</v>
      </c>
      <c r="K5" s="8">
        <v>87.539936102236425</v>
      </c>
      <c r="L5" s="8">
        <v>83.311258278145701</v>
      </c>
      <c r="M5" s="8">
        <v>56.015037593984964</v>
      </c>
      <c r="O5" s="8"/>
    </row>
    <row r="6" spans="1:15">
      <c r="A6" s="5">
        <v>1977</v>
      </c>
      <c r="B6" s="8">
        <v>75.300171526586624</v>
      </c>
      <c r="C6" s="8">
        <v>75.668073136427566</v>
      </c>
      <c r="D6" s="8">
        <v>52.72727272727272</v>
      </c>
      <c r="E6" s="8">
        <v>211.53846153846155</v>
      </c>
      <c r="F6" s="8">
        <v>190</v>
      </c>
      <c r="G6" s="78" t="s">
        <v>87</v>
      </c>
      <c r="H6" s="8">
        <v>56.521739130434781</v>
      </c>
      <c r="I6" s="8">
        <v>61.29032258064516</v>
      </c>
      <c r="J6" s="8">
        <v>1.6666666666666665E-7</v>
      </c>
      <c r="K6" s="8">
        <v>82.670906200317958</v>
      </c>
      <c r="L6" s="8">
        <v>81.734559789750321</v>
      </c>
      <c r="M6" s="8">
        <v>69.961977186311785</v>
      </c>
    </row>
    <row r="7" spans="1:15">
      <c r="A7" s="5">
        <v>1978</v>
      </c>
      <c r="B7" s="8">
        <v>76.80412371134021</v>
      </c>
      <c r="C7" s="8">
        <v>78.431372549019613</v>
      </c>
      <c r="D7" s="8">
        <v>79.820627802690581</v>
      </c>
      <c r="E7" s="8">
        <v>231.99999999999997</v>
      </c>
      <c r="F7" s="8">
        <v>241.37931034482759</v>
      </c>
      <c r="G7" s="78" t="s">
        <v>87</v>
      </c>
      <c r="H7" s="8">
        <v>58.461538461538467</v>
      </c>
      <c r="I7" s="8">
        <v>60.674157303370791</v>
      </c>
      <c r="J7" s="8">
        <v>50</v>
      </c>
      <c r="K7" s="8">
        <v>88.132911392405063</v>
      </c>
      <c r="L7" s="8">
        <v>84.967320261437905</v>
      </c>
      <c r="M7" s="8">
        <v>84.981684981684978</v>
      </c>
    </row>
    <row r="8" spans="1:15">
      <c r="A8" s="5">
        <v>1979</v>
      </c>
      <c r="B8" s="8">
        <v>79.280821917808225</v>
      </c>
      <c r="C8" s="8">
        <v>75.828729281767963</v>
      </c>
      <c r="D8" s="8">
        <v>58.964143426294825</v>
      </c>
      <c r="E8" s="8">
        <v>305.55555555555554</v>
      </c>
      <c r="F8" s="8">
        <v>271.42857142857144</v>
      </c>
      <c r="G8" s="78" t="s">
        <v>87</v>
      </c>
      <c r="H8" s="8">
        <v>60.810810810810814</v>
      </c>
      <c r="I8" s="8">
        <v>58.415841584158414</v>
      </c>
      <c r="J8" s="8">
        <v>17.647058823529413</v>
      </c>
      <c r="K8" s="8">
        <v>86.486486486486484</v>
      </c>
      <c r="L8" s="8">
        <v>80.415045395590141</v>
      </c>
      <c r="M8" s="8">
        <v>78.32167832167832</v>
      </c>
    </row>
    <row r="9" spans="1:15">
      <c r="A9" s="5">
        <v>1980</v>
      </c>
      <c r="B9" s="8">
        <v>73.232323232323239</v>
      </c>
      <c r="C9" s="8">
        <v>71.159029649595681</v>
      </c>
      <c r="D9" s="8">
        <v>54.54545454545454</v>
      </c>
      <c r="E9" s="8">
        <v>218.5185185185185</v>
      </c>
      <c r="F9" s="8">
        <v>200</v>
      </c>
      <c r="G9" s="8">
        <v>883.33333333333337</v>
      </c>
      <c r="H9" s="8">
        <v>60.526315789473685</v>
      </c>
      <c r="I9" s="8">
        <v>60.576923076923073</v>
      </c>
      <c r="J9" s="8">
        <v>18.75</v>
      </c>
      <c r="K9" s="8">
        <v>82.534775888717164</v>
      </c>
      <c r="L9" s="8">
        <v>77.904040404040416</v>
      </c>
      <c r="M9" s="8">
        <v>67.63636363636364</v>
      </c>
    </row>
    <row r="10" spans="1:15">
      <c r="A10" s="5">
        <v>1981</v>
      </c>
      <c r="B10" s="8">
        <v>70.984455958549219</v>
      </c>
      <c r="C10" s="8">
        <v>70.303867403314911</v>
      </c>
      <c r="D10" s="8">
        <v>52.631578947368418</v>
      </c>
      <c r="E10" s="8">
        <v>234.61538461538461</v>
      </c>
      <c r="F10" s="8">
        <v>217.24137931034483</v>
      </c>
      <c r="G10" s="8">
        <v>783.33333333333326</v>
      </c>
      <c r="H10" s="8">
        <v>53.94736842105263</v>
      </c>
      <c r="I10" s="8">
        <v>54.901960784313729</v>
      </c>
      <c r="J10" s="8">
        <v>15</v>
      </c>
      <c r="K10" s="8">
        <v>80.507131537242472</v>
      </c>
      <c r="L10" s="8">
        <v>78.322580645161281</v>
      </c>
      <c r="M10" s="8">
        <v>73.972602739726028</v>
      </c>
    </row>
    <row r="11" spans="1:15">
      <c r="A11" s="5">
        <v>1982</v>
      </c>
      <c r="B11" s="8">
        <v>70.848708487084863</v>
      </c>
      <c r="C11" s="8">
        <v>72.082717872968985</v>
      </c>
      <c r="D11" s="8">
        <v>44.396551724137936</v>
      </c>
      <c r="E11" s="8">
        <v>225.71428571428572</v>
      </c>
      <c r="F11" s="8">
        <v>223.07692307692309</v>
      </c>
      <c r="G11" s="8">
        <v>640</v>
      </c>
      <c r="H11" s="8">
        <v>59.154929577464785</v>
      </c>
      <c r="I11" s="8">
        <v>60</v>
      </c>
      <c r="J11" s="8">
        <v>4.7619047619047619</v>
      </c>
      <c r="K11" s="8">
        <v>80.889621087314666</v>
      </c>
      <c r="L11" s="8">
        <v>78.897849462365585</v>
      </c>
      <c r="M11" s="8">
        <v>70.070422535211264</v>
      </c>
    </row>
    <row r="12" spans="1:15">
      <c r="A12" s="5">
        <v>1983</v>
      </c>
      <c r="B12" s="8">
        <v>66.924564796905216</v>
      </c>
      <c r="C12" s="8">
        <v>63.981762917933125</v>
      </c>
      <c r="D12" s="8">
        <v>26.737967914438503</v>
      </c>
      <c r="E12" s="8">
        <v>214.28571428571428</v>
      </c>
      <c r="F12" s="8">
        <v>208.10810810810813</v>
      </c>
      <c r="G12" s="8">
        <v>327.27272727272731</v>
      </c>
      <c r="H12" s="8">
        <v>49.253731343283583</v>
      </c>
      <c r="I12" s="8">
        <v>54.255319148936167</v>
      </c>
      <c r="J12" s="8">
        <v>7.1428571428571437E-8</v>
      </c>
      <c r="K12" s="8">
        <v>79.658119658119659</v>
      </c>
      <c r="L12" s="8">
        <v>76.625172890733069</v>
      </c>
      <c r="M12" s="8">
        <v>67.716535433070874</v>
      </c>
    </row>
    <row r="13" spans="1:15">
      <c r="A13" s="5">
        <v>1984</v>
      </c>
      <c r="B13" s="8">
        <v>75.47892720306514</v>
      </c>
      <c r="C13" s="8">
        <v>75.712143928035985</v>
      </c>
      <c r="D13" s="8">
        <v>54.950495049504951</v>
      </c>
      <c r="E13" s="8">
        <v>235.29411764705884</v>
      </c>
      <c r="F13" s="8">
        <v>224.32432432432435</v>
      </c>
      <c r="G13" s="8">
        <v>553.84615384615381</v>
      </c>
      <c r="H13" s="8">
        <v>67.64705882352942</v>
      </c>
      <c r="I13" s="8">
        <v>69.148936170212778</v>
      </c>
      <c r="J13" s="8">
        <v>11.76470588235294</v>
      </c>
      <c r="K13" s="8">
        <v>87.436332767402376</v>
      </c>
      <c r="L13" s="8">
        <v>83.175033921302571</v>
      </c>
      <c r="M13" s="8">
        <v>75.555555555555557</v>
      </c>
    </row>
    <row r="14" spans="1:15">
      <c r="A14" s="5">
        <v>1985</v>
      </c>
      <c r="B14" s="8">
        <v>74.764595103578159</v>
      </c>
      <c r="C14" s="8">
        <v>72.181551976573942</v>
      </c>
      <c r="D14" s="8">
        <v>62.5</v>
      </c>
      <c r="E14" s="8">
        <v>242.42424242424244</v>
      </c>
      <c r="F14" s="8">
        <v>242.85714285714283</v>
      </c>
      <c r="G14" s="8">
        <v>540</v>
      </c>
      <c r="H14" s="8">
        <v>67.123287671232873</v>
      </c>
      <c r="I14" s="8">
        <v>62.376237623762378</v>
      </c>
      <c r="J14" s="8">
        <v>26.315789473684209</v>
      </c>
      <c r="K14" s="8">
        <v>85.929648241206024</v>
      </c>
      <c r="L14" s="8">
        <v>81.575433911882513</v>
      </c>
      <c r="M14" s="8">
        <v>80.970149253731336</v>
      </c>
    </row>
    <row r="15" spans="1:15">
      <c r="A15" s="5">
        <v>1986</v>
      </c>
      <c r="B15" s="8">
        <v>77.137546468401482</v>
      </c>
      <c r="C15" s="8">
        <v>72.596843615494976</v>
      </c>
      <c r="D15" s="8">
        <v>66.197183098591552</v>
      </c>
      <c r="E15" s="8">
        <v>267.74193548387098</v>
      </c>
      <c r="F15" s="8">
        <v>260</v>
      </c>
      <c r="G15" s="8">
        <v>1028.5714285714287</v>
      </c>
      <c r="H15" s="8">
        <v>73.170731707317074</v>
      </c>
      <c r="I15" s="8">
        <v>64.035087719298247</v>
      </c>
      <c r="J15" s="8">
        <v>47.619047619047613</v>
      </c>
      <c r="K15" s="8">
        <v>89.10891089108911</v>
      </c>
      <c r="L15" s="8">
        <v>81.806282722513089</v>
      </c>
      <c r="M15" s="8">
        <v>83.211678832116789</v>
      </c>
    </row>
    <row r="16" spans="1:15">
      <c r="A16" s="5">
        <v>1987</v>
      </c>
      <c r="B16" s="8">
        <v>72.490706319702596</v>
      </c>
      <c r="C16" s="8">
        <v>73.504273504273513</v>
      </c>
      <c r="D16" s="8">
        <v>44.796380090497742</v>
      </c>
      <c r="E16" s="8">
        <v>290</v>
      </c>
      <c r="F16" s="8">
        <v>266.66666666666663</v>
      </c>
      <c r="G16" s="8">
        <v>1025</v>
      </c>
      <c r="H16" s="8">
        <v>67.777777777777786</v>
      </c>
      <c r="I16" s="8">
        <v>66.129032258064512</v>
      </c>
      <c r="J16" s="8">
        <v>13.793103448275861</v>
      </c>
      <c r="K16" s="8">
        <v>83.333333333333343</v>
      </c>
      <c r="L16" s="8">
        <v>81.712062256809332</v>
      </c>
      <c r="M16" s="8">
        <v>70.921985815602838</v>
      </c>
    </row>
    <row r="17" spans="1:13">
      <c r="A17" s="5">
        <v>1988</v>
      </c>
      <c r="B17" s="8">
        <v>72.202166064981952</v>
      </c>
      <c r="C17" s="8">
        <v>71.625344352617077</v>
      </c>
      <c r="D17" s="8">
        <v>61.009174311926607</v>
      </c>
      <c r="E17" s="8">
        <v>310</v>
      </c>
      <c r="F17" s="8">
        <v>300</v>
      </c>
      <c r="G17" s="8">
        <v>830.00000000000011</v>
      </c>
      <c r="H17" s="8">
        <v>70</v>
      </c>
      <c r="I17" s="8">
        <v>65.079365079365076</v>
      </c>
      <c r="J17" s="8">
        <v>43.333333333333336</v>
      </c>
      <c r="K17" s="8">
        <v>85.55194805194806</v>
      </c>
      <c r="L17" s="8">
        <v>80.228136882129277</v>
      </c>
      <c r="M17" s="8">
        <v>81.184668989547035</v>
      </c>
    </row>
    <row r="18" spans="1:13">
      <c r="A18" s="5">
        <v>1989</v>
      </c>
      <c r="B18" s="8">
        <v>76.59574468085107</v>
      </c>
      <c r="C18" s="8">
        <v>74.491180461329719</v>
      </c>
      <c r="D18" s="8">
        <v>63.821138211382113</v>
      </c>
      <c r="E18" s="8">
        <v>229.41176470588235</v>
      </c>
      <c r="F18" s="8">
        <v>213.51351351351352</v>
      </c>
      <c r="G18" s="8">
        <v>641.66666666666674</v>
      </c>
      <c r="H18" s="8">
        <v>72.916666666666657</v>
      </c>
      <c r="I18" s="8">
        <v>68.421052631578945</v>
      </c>
      <c r="J18" s="8">
        <v>45.945945945945951</v>
      </c>
      <c r="K18" s="8">
        <v>85.84905660377359</v>
      </c>
      <c r="L18" s="8">
        <v>80.793060718711274</v>
      </c>
      <c r="M18" s="8">
        <v>76.470588235294116</v>
      </c>
    </row>
    <row r="19" spans="1:13">
      <c r="A19" s="5">
        <v>1990</v>
      </c>
      <c r="B19" s="8">
        <v>79.846449136276391</v>
      </c>
      <c r="C19" s="8">
        <v>77.635327635327627</v>
      </c>
      <c r="D19" s="8">
        <v>60.096153846153847</v>
      </c>
      <c r="E19" s="8">
        <v>209.52380952380955</v>
      </c>
      <c r="F19" s="8">
        <v>211.62790697674421</v>
      </c>
      <c r="G19" s="8">
        <v>183.87096774193549</v>
      </c>
      <c r="H19" s="8">
        <v>76.666666666666671</v>
      </c>
      <c r="I19" s="8">
        <v>70.769230769230774</v>
      </c>
      <c r="J19" s="8">
        <v>61.29032258064516</v>
      </c>
      <c r="K19" s="8">
        <v>87.973640856672148</v>
      </c>
      <c r="L19" s="8">
        <v>82.714468629961587</v>
      </c>
      <c r="M19" s="8">
        <v>82.269503546099287</v>
      </c>
    </row>
    <row r="20" spans="1:13">
      <c r="A20" s="5">
        <v>1991</v>
      </c>
      <c r="B20" s="8">
        <v>74.639175257731964</v>
      </c>
      <c r="C20" s="8">
        <v>74.1248097412481</v>
      </c>
      <c r="D20" s="8">
        <v>69.767441860465112</v>
      </c>
      <c r="E20" s="8">
        <v>178.84615384615387</v>
      </c>
      <c r="F20" s="8">
        <v>200</v>
      </c>
      <c r="G20" s="8">
        <v>152</v>
      </c>
      <c r="H20" s="8">
        <v>72.61904761904762</v>
      </c>
      <c r="I20" s="8">
        <v>68.59504132231406</v>
      </c>
      <c r="J20" s="8">
        <v>65.384615384615387</v>
      </c>
      <c r="K20" s="8">
        <v>87.085514834205938</v>
      </c>
      <c r="L20" s="8">
        <v>81.903485254691688</v>
      </c>
      <c r="M20" s="8">
        <v>85.82375478927203</v>
      </c>
    </row>
    <row r="21" spans="1:13">
      <c r="A21" s="5">
        <v>1992</v>
      </c>
      <c r="B21" s="8">
        <v>76.433121019108285</v>
      </c>
      <c r="C21" s="8">
        <v>75</v>
      </c>
      <c r="D21" s="8">
        <v>58.928571428571431</v>
      </c>
      <c r="E21" s="8">
        <v>182.14285714285714</v>
      </c>
      <c r="F21" s="8">
        <v>187.71929824561403</v>
      </c>
      <c r="G21" s="8">
        <v>173.58490566037736</v>
      </c>
      <c r="H21" s="8">
        <v>74.683544303797461</v>
      </c>
      <c r="I21" s="8">
        <v>70.434782608695656</v>
      </c>
      <c r="J21" s="8">
        <v>47.826086956521742</v>
      </c>
      <c r="K21" s="8">
        <v>87.915936952714532</v>
      </c>
      <c r="L21" s="8">
        <v>82.707774798927616</v>
      </c>
      <c r="M21" s="8">
        <v>83.203125</v>
      </c>
    </row>
    <row r="22" spans="1:13">
      <c r="A22" s="5">
        <v>1993</v>
      </c>
      <c r="B22" s="8">
        <v>79.257641921397379</v>
      </c>
      <c r="C22" s="8">
        <v>77.777777777777786</v>
      </c>
      <c r="D22" s="8">
        <v>59.74842767295597</v>
      </c>
      <c r="E22" s="8">
        <v>179.66101694915255</v>
      </c>
      <c r="F22" s="8">
        <v>196.61016949152543</v>
      </c>
      <c r="G22" s="8">
        <v>155</v>
      </c>
      <c r="H22" s="8">
        <v>80.519480519480524</v>
      </c>
      <c r="I22" s="8">
        <v>78.571428571428569</v>
      </c>
      <c r="J22" s="8">
        <v>45.454545454545453</v>
      </c>
      <c r="K22" s="8">
        <v>90.143369175627242</v>
      </c>
      <c r="L22" s="8">
        <v>86.126373626373635</v>
      </c>
      <c r="M22" s="8">
        <v>80.54474708171206</v>
      </c>
    </row>
    <row r="23" spans="1:13">
      <c r="A23" s="5">
        <v>1994</v>
      </c>
      <c r="B23" s="8">
        <v>78.232758620689651</v>
      </c>
      <c r="C23" s="8">
        <v>76.63551401869158</v>
      </c>
      <c r="D23" s="8">
        <v>56.410256410256409</v>
      </c>
      <c r="E23" s="8">
        <v>171.92982456140351</v>
      </c>
      <c r="F23" s="8">
        <v>182.14285714285714</v>
      </c>
      <c r="G23" s="8">
        <v>150</v>
      </c>
      <c r="H23" s="8">
        <v>80.769230769230774</v>
      </c>
      <c r="I23" s="8">
        <v>75</v>
      </c>
      <c r="J23" s="8">
        <v>45</v>
      </c>
      <c r="K23" s="8">
        <v>90.40852575488455</v>
      </c>
      <c r="L23" s="8">
        <v>83.175033921302571</v>
      </c>
      <c r="M23" s="8">
        <v>89.2</v>
      </c>
    </row>
    <row r="24" spans="1:13">
      <c r="A24" s="5">
        <v>1995</v>
      </c>
      <c r="B24" s="8">
        <v>77.253218884120173</v>
      </c>
      <c r="C24" s="8">
        <v>75.039001560062403</v>
      </c>
      <c r="D24" s="8">
        <v>68.156424581005581</v>
      </c>
      <c r="E24" s="8">
        <v>192.15686274509804</v>
      </c>
      <c r="F24" s="8">
        <v>201.88679245283021</v>
      </c>
      <c r="G24" s="8">
        <v>190.2439024390244</v>
      </c>
      <c r="H24" s="8">
        <v>78.48101265822784</v>
      </c>
      <c r="I24" s="8">
        <v>70.689655172413794</v>
      </c>
      <c r="J24" s="8">
        <v>57.692307692307686</v>
      </c>
      <c r="K24" s="8">
        <v>88.454706927175835</v>
      </c>
      <c r="L24" s="8">
        <v>82.489740082079351</v>
      </c>
      <c r="M24" s="8">
        <v>86.311787072243348</v>
      </c>
    </row>
    <row r="25" spans="1:13">
      <c r="A25" s="5">
        <v>1996</v>
      </c>
      <c r="B25" s="8">
        <v>78.993435448577671</v>
      </c>
      <c r="C25" s="8">
        <v>77.115987460815049</v>
      </c>
      <c r="D25" s="8">
        <v>68.322981366459629</v>
      </c>
      <c r="E25" s="8">
        <v>177.77777777777777</v>
      </c>
      <c r="F25" s="8">
        <v>185.45454545454544</v>
      </c>
      <c r="G25" s="8">
        <v>178</v>
      </c>
      <c r="H25" s="8">
        <v>77.922077922077932</v>
      </c>
      <c r="I25" s="8">
        <v>74.137931034482762</v>
      </c>
      <c r="J25" s="8">
        <v>59.090909090909093</v>
      </c>
      <c r="K25" s="8">
        <v>87.884267631103071</v>
      </c>
      <c r="L25" s="8">
        <v>83.651226158038156</v>
      </c>
      <c r="M25" s="8">
        <v>88.095238095238088</v>
      </c>
    </row>
    <row r="26" spans="1:13">
      <c r="A26" s="5">
        <v>1997</v>
      </c>
      <c r="B26" s="8">
        <v>78.649237472766885</v>
      </c>
      <c r="C26" s="8">
        <v>75.425038639876348</v>
      </c>
      <c r="D26" s="8">
        <v>65.217391304347828</v>
      </c>
      <c r="E26" s="8">
        <v>189.36170212765958</v>
      </c>
      <c r="F26" s="8">
        <v>204.16666666666666</v>
      </c>
      <c r="G26" s="8">
        <v>156.09756097560975</v>
      </c>
      <c r="H26" s="8">
        <v>80</v>
      </c>
      <c r="I26" s="8">
        <v>71.794871794871796</v>
      </c>
      <c r="J26" s="8" t="s">
        <v>51</v>
      </c>
      <c r="K26" s="8">
        <v>88.949275362318829</v>
      </c>
      <c r="L26" s="8">
        <v>82.138024357239516</v>
      </c>
      <c r="M26" s="8">
        <v>85.317460317460316</v>
      </c>
    </row>
    <row r="27" spans="1:13">
      <c r="A27" s="5">
        <v>1998</v>
      </c>
      <c r="B27" s="8">
        <v>80.597014925373131</v>
      </c>
      <c r="C27" s="8">
        <v>78.325859491778772</v>
      </c>
      <c r="D27" s="8">
        <v>78.160919540229884</v>
      </c>
      <c r="E27" s="8">
        <v>174</v>
      </c>
      <c r="F27" s="8">
        <v>178.84615384615387</v>
      </c>
      <c r="G27" s="8">
        <v>176.92307692307691</v>
      </c>
      <c r="H27" s="8">
        <v>78.205128205128204</v>
      </c>
      <c r="I27" s="8">
        <v>70.833333333333343</v>
      </c>
      <c r="J27" s="8">
        <v>56.521739130434781</v>
      </c>
      <c r="K27" s="8">
        <v>86.643233743409482</v>
      </c>
      <c r="L27" s="8">
        <v>83.815789473684205</v>
      </c>
      <c r="M27" s="8">
        <v>85.057471264367805</v>
      </c>
    </row>
    <row r="28" spans="1:13">
      <c r="A28" s="5">
        <v>1999</v>
      </c>
      <c r="B28" s="8">
        <v>82.364729458917836</v>
      </c>
      <c r="C28" s="8">
        <v>81.402002861230329</v>
      </c>
      <c r="D28" s="8">
        <v>75.935828877005349</v>
      </c>
      <c r="E28" s="8">
        <v>197.5</v>
      </c>
      <c r="F28" s="8">
        <v>188.88888888888889</v>
      </c>
      <c r="G28" s="8">
        <v>507.14285714285711</v>
      </c>
      <c r="H28" s="8">
        <v>79.487179487179489</v>
      </c>
      <c r="I28" s="8">
        <v>76.271186440677965</v>
      </c>
      <c r="J28" s="8">
        <v>60.869565217391312</v>
      </c>
      <c r="K28" s="8">
        <v>88.566552901023883</v>
      </c>
      <c r="L28" s="8">
        <v>85.384615384615387</v>
      </c>
      <c r="M28" s="8">
        <v>85.130111524163567</v>
      </c>
    </row>
    <row r="29" spans="1:13">
      <c r="A29" s="5">
        <v>2000</v>
      </c>
      <c r="B29" s="8">
        <v>80.392156862745097</v>
      </c>
      <c r="C29" s="8">
        <v>79.497907949790786</v>
      </c>
      <c r="D29" s="8">
        <v>63.316582914572862</v>
      </c>
      <c r="E29" s="8">
        <v>208.10810810810813</v>
      </c>
      <c r="F29" s="8">
        <v>174.41860465116278</v>
      </c>
      <c r="G29" s="8">
        <v>607.69230769230762</v>
      </c>
      <c r="H29" s="8">
        <v>74.074074074074076</v>
      </c>
      <c r="I29" s="8">
        <v>72.950819672131146</v>
      </c>
      <c r="J29" s="8">
        <v>55.555555555555557</v>
      </c>
      <c r="K29" s="8">
        <v>87.205387205387211</v>
      </c>
      <c r="L29" s="8">
        <v>83.144654088050316</v>
      </c>
      <c r="M29" s="8">
        <v>80.357142857142861</v>
      </c>
    </row>
    <row r="30" spans="1:13">
      <c r="A30" s="5">
        <v>2001</v>
      </c>
      <c r="B30" s="8">
        <v>78.446601941747574</v>
      </c>
      <c r="C30" s="8">
        <v>78.63128491620111</v>
      </c>
      <c r="D30" s="8">
        <v>59.905660377358494</v>
      </c>
      <c r="E30" s="8">
        <v>200</v>
      </c>
      <c r="F30" s="8">
        <v>176.47058823529412</v>
      </c>
      <c r="G30" s="8">
        <v>564.28571428571433</v>
      </c>
      <c r="H30" s="8">
        <v>77.631578947368425</v>
      </c>
      <c r="I30" s="8">
        <v>76.576576576576571</v>
      </c>
      <c r="J30" s="8">
        <v>40.74074074074074</v>
      </c>
      <c r="K30" s="8">
        <v>87.335526315789465</v>
      </c>
      <c r="L30" s="8">
        <v>84.301606922126084</v>
      </c>
      <c r="M30" s="8">
        <v>80.27210884353741</v>
      </c>
    </row>
    <row r="31" spans="1:13">
      <c r="A31" s="5">
        <v>2002</v>
      </c>
      <c r="B31" s="8">
        <v>75.533980582524279</v>
      </c>
      <c r="C31" s="8">
        <v>81.188118811881196</v>
      </c>
      <c r="D31" s="8">
        <v>50</v>
      </c>
      <c r="E31" s="8">
        <v>209.30232558139537</v>
      </c>
      <c r="F31" s="8">
        <v>190</v>
      </c>
      <c r="G31" s="8">
        <v>512.5</v>
      </c>
      <c r="H31" s="8">
        <v>74.324324324324323</v>
      </c>
      <c r="I31" s="8">
        <v>78.181818181818187</v>
      </c>
      <c r="J31" s="78" t="s">
        <v>87</v>
      </c>
      <c r="K31" s="8">
        <v>85.785123966942152</v>
      </c>
      <c r="L31" s="8">
        <v>85.447761194029852</v>
      </c>
      <c r="M31" s="8">
        <v>71.844660194174764</v>
      </c>
    </row>
    <row r="32" spans="1:13">
      <c r="A32" s="5">
        <v>2003</v>
      </c>
      <c r="B32" s="8">
        <v>76.459143968871587</v>
      </c>
      <c r="C32" s="8">
        <v>78.531073446327682</v>
      </c>
      <c r="D32" s="8">
        <v>53.153153153153156</v>
      </c>
      <c r="E32" s="8">
        <v>209.52380952380955</v>
      </c>
      <c r="F32" s="8">
        <v>186</v>
      </c>
      <c r="G32" s="8">
        <v>666.66666666666674</v>
      </c>
      <c r="H32" s="8">
        <v>79.729729729729726</v>
      </c>
      <c r="I32" s="8">
        <v>76.363636363636374</v>
      </c>
      <c r="J32" s="78" t="s">
        <v>87</v>
      </c>
      <c r="K32" s="8">
        <v>86.092715231788077</v>
      </c>
      <c r="L32" s="8">
        <v>84.262701363073106</v>
      </c>
      <c r="M32" s="8">
        <v>78</v>
      </c>
    </row>
    <row r="33" spans="1:13">
      <c r="A33" s="5">
        <v>2004</v>
      </c>
      <c r="B33" s="8">
        <v>76.254826254826256</v>
      </c>
      <c r="C33" s="8">
        <v>77.146814404432135</v>
      </c>
      <c r="D33" s="8">
        <v>57.657657657657658</v>
      </c>
      <c r="E33" s="8">
        <v>204.76190476190476</v>
      </c>
      <c r="F33" s="8">
        <v>173.07692307692309</v>
      </c>
      <c r="G33" s="8">
        <v>866.66666666666663</v>
      </c>
      <c r="H33" s="8">
        <v>79.729729729729726</v>
      </c>
      <c r="I33" s="8">
        <v>75.675675675675677</v>
      </c>
      <c r="J33" s="8">
        <v>58.620689655172406</v>
      </c>
      <c r="K33" s="8">
        <v>85.947712418300654</v>
      </c>
      <c r="L33" s="8">
        <v>84.332925336597313</v>
      </c>
      <c r="M33" s="8">
        <v>78.688524590163937</v>
      </c>
    </row>
    <row r="34" spans="1:13">
      <c r="A34" s="5">
        <v>2005</v>
      </c>
      <c r="B34" s="8">
        <v>76.48183556405354</v>
      </c>
      <c r="C34" s="8">
        <v>74.89768076398363</v>
      </c>
      <c r="D34" s="8">
        <v>57.826086956521735</v>
      </c>
      <c r="E34" s="8">
        <v>194.87179487179486</v>
      </c>
      <c r="F34" s="8">
        <v>164</v>
      </c>
      <c r="G34" s="8">
        <v>850</v>
      </c>
      <c r="H34" s="8">
        <v>73.611111111111114</v>
      </c>
      <c r="I34" s="8">
        <v>70.642201834862391</v>
      </c>
      <c r="J34" s="78" t="s">
        <v>87</v>
      </c>
      <c r="K34" s="8">
        <v>85.967741935483872</v>
      </c>
      <c r="L34" s="8">
        <v>80.121212121212125</v>
      </c>
      <c r="M34" s="8">
        <v>77.777777777777786</v>
      </c>
    </row>
    <row r="35" spans="1:13">
      <c r="A35" s="5">
        <v>2006</v>
      </c>
      <c r="B35" s="8">
        <v>77.094972067039109</v>
      </c>
      <c r="C35" s="8">
        <v>74.266666666666666</v>
      </c>
      <c r="D35" s="8">
        <v>68.859649122807014</v>
      </c>
      <c r="E35" s="8">
        <v>177.27272727272728</v>
      </c>
      <c r="F35" s="8">
        <v>157.62711864406779</v>
      </c>
      <c r="G35" s="78" t="s">
        <v>87</v>
      </c>
      <c r="H35" s="8">
        <v>74.666666666666671</v>
      </c>
      <c r="I35" s="8">
        <v>71.681415929203538</v>
      </c>
      <c r="J35" s="78" t="s">
        <v>87</v>
      </c>
      <c r="K35" s="8">
        <v>84.276729559748432</v>
      </c>
      <c r="L35" s="8">
        <v>81.861012956419316</v>
      </c>
      <c r="M35" s="8">
        <v>84.488448844884488</v>
      </c>
    </row>
    <row r="36" spans="1:13">
      <c r="A36" s="5">
        <v>2007</v>
      </c>
      <c r="B36" s="8">
        <v>77.777777777777786</v>
      </c>
      <c r="C36" s="8">
        <v>76.332899869960997</v>
      </c>
      <c r="D36" s="8">
        <v>75.819672131147541</v>
      </c>
      <c r="E36" s="8">
        <v>182.60869565217391</v>
      </c>
      <c r="F36" s="8">
        <v>157.37704918032787</v>
      </c>
      <c r="G36" s="8">
        <v>633.33333333333326</v>
      </c>
      <c r="H36" s="8">
        <v>74.285714285714292</v>
      </c>
      <c r="I36" s="8">
        <v>72.641509433962256</v>
      </c>
      <c r="J36" s="8">
        <v>76</v>
      </c>
      <c r="K36" s="8">
        <v>85.625965996908818</v>
      </c>
      <c r="L36" s="8">
        <v>81.056257175660164</v>
      </c>
      <c r="M36" s="8">
        <v>83.492063492063494</v>
      </c>
    </row>
    <row r="37" spans="1:13">
      <c r="A37" s="5">
        <v>2008</v>
      </c>
      <c r="B37" s="8">
        <v>78.853046594982075</v>
      </c>
      <c r="C37" s="8">
        <v>79.64376590330788</v>
      </c>
      <c r="D37" s="8">
        <v>66.269841269841265</v>
      </c>
      <c r="E37" s="8">
        <v>170.21276595744681</v>
      </c>
      <c r="F37" s="8">
        <v>142.37288135593221</v>
      </c>
      <c r="G37" s="8">
        <v>760</v>
      </c>
      <c r="H37" s="8">
        <v>81.944444444444443</v>
      </c>
      <c r="I37" s="8">
        <v>79.43925233644859</v>
      </c>
      <c r="J37" s="78" t="s">
        <v>87</v>
      </c>
      <c r="K37" s="8">
        <v>85.213414634146346</v>
      </c>
      <c r="L37" s="8">
        <v>82.957110609480807</v>
      </c>
      <c r="M37" s="8">
        <v>79.87616099071208</v>
      </c>
    </row>
    <row r="38" spans="1:13">
      <c r="A38" s="5">
        <v>2009</v>
      </c>
      <c r="B38" s="8">
        <v>79.702048417132218</v>
      </c>
      <c r="C38" s="8">
        <v>80.733944954128447</v>
      </c>
      <c r="D38" s="8">
        <v>77.916666666666671</v>
      </c>
      <c r="E38" s="8">
        <v>147.54098360655738</v>
      </c>
      <c r="F38" s="8">
        <v>140</v>
      </c>
      <c r="G38" s="8">
        <v>342.10526315789474</v>
      </c>
      <c r="H38" s="8">
        <v>80.952380952380949</v>
      </c>
      <c r="I38" s="8">
        <v>81.25</v>
      </c>
      <c r="J38" s="78" t="s">
        <v>87</v>
      </c>
      <c r="K38" s="8">
        <v>86.024844720496901</v>
      </c>
      <c r="L38" s="8">
        <v>86.05714285714285</v>
      </c>
      <c r="M38" s="8">
        <v>83.128834355828218</v>
      </c>
    </row>
    <row r="39" spans="1:13">
      <c r="A39" s="5">
        <v>2010</v>
      </c>
      <c r="B39" s="8">
        <v>80.979284369114879</v>
      </c>
      <c r="C39" s="8">
        <v>83.550913838120096</v>
      </c>
      <c r="D39" s="8">
        <v>78.333333333333329</v>
      </c>
      <c r="E39" s="8">
        <v>144.44444444444443</v>
      </c>
      <c r="F39" s="8">
        <v>133.76623376623377</v>
      </c>
      <c r="G39" s="8">
        <v>371.42857142857144</v>
      </c>
      <c r="H39" s="8">
        <v>83.07692307692308</v>
      </c>
      <c r="I39" s="8">
        <v>87.628865979381445</v>
      </c>
      <c r="J39" s="8">
        <v>54.166666666666664</v>
      </c>
      <c r="K39" s="8">
        <v>87.519500780031194</v>
      </c>
      <c r="L39" s="8">
        <v>88.623435722411841</v>
      </c>
      <c r="M39" s="8">
        <v>83.685800604229613</v>
      </c>
    </row>
    <row r="40" spans="1:13">
      <c r="A40" s="5">
        <v>2011</v>
      </c>
      <c r="B40" s="8">
        <v>83.146067415730343</v>
      </c>
      <c r="C40" s="8">
        <v>79.438058748403577</v>
      </c>
      <c r="D40" s="8">
        <v>80.172413793103445</v>
      </c>
      <c r="E40" s="8">
        <v>170.68965517241378</v>
      </c>
      <c r="F40" s="8">
        <v>158.57142857142856</v>
      </c>
      <c r="G40" s="8">
        <v>385.71428571428572</v>
      </c>
      <c r="H40" s="8">
        <v>84.848484848484844</v>
      </c>
      <c r="I40" s="8">
        <v>80</v>
      </c>
      <c r="J40" s="8">
        <v>72.727272727272734</v>
      </c>
      <c r="K40" s="8">
        <v>88.75</v>
      </c>
      <c r="L40" s="8">
        <v>85.489313835770531</v>
      </c>
      <c r="M40" s="8">
        <v>87.5</v>
      </c>
    </row>
    <row r="41" spans="1:13">
      <c r="A41" s="5">
        <v>2012</v>
      </c>
      <c r="B41" s="8">
        <v>78.44202898550725</v>
      </c>
      <c r="C41" s="8">
        <v>78.855721393034827</v>
      </c>
      <c r="D41" s="8">
        <v>79.600000000000009</v>
      </c>
      <c r="E41" s="8">
        <v>149.12280701754386</v>
      </c>
      <c r="F41" s="8">
        <v>130.26315789473685</v>
      </c>
      <c r="G41" s="8">
        <v>431.25</v>
      </c>
      <c r="H41" s="8">
        <v>76.470588235294116</v>
      </c>
      <c r="I41" s="8">
        <v>74.311926605504581</v>
      </c>
      <c r="J41" s="78" t="s">
        <v>87</v>
      </c>
      <c r="K41" s="8">
        <v>86.949924127465863</v>
      </c>
      <c r="L41" s="8">
        <v>79.95642701525054</v>
      </c>
      <c r="M41" s="8">
        <v>85.196374622356501</v>
      </c>
    </row>
    <row r="42" spans="1:13">
      <c r="A42" s="5">
        <v>2013</v>
      </c>
      <c r="B42" s="8">
        <v>80</v>
      </c>
      <c r="C42" s="8">
        <v>77.873918417799743</v>
      </c>
      <c r="D42" s="8">
        <v>81.007751937984494</v>
      </c>
      <c r="E42" s="8">
        <v>164.91228070175438</v>
      </c>
      <c r="F42" s="8">
        <v>150</v>
      </c>
      <c r="G42" s="78" t="s">
        <v>87</v>
      </c>
      <c r="H42" s="8">
        <v>83.098591549295776</v>
      </c>
      <c r="I42" s="8">
        <v>82.568807339449549</v>
      </c>
      <c r="J42" s="8">
        <v>85.18518518518519</v>
      </c>
      <c r="K42" s="8">
        <v>86.144578313253021</v>
      </c>
      <c r="L42" s="8">
        <v>82.844733984799134</v>
      </c>
      <c r="M42" s="8">
        <v>86.29737609329446</v>
      </c>
    </row>
    <row r="43" spans="1:13">
      <c r="A43" s="5">
        <v>2014</v>
      </c>
      <c r="B43" s="8">
        <v>80.565371024734972</v>
      </c>
      <c r="C43" s="8">
        <v>81.204819277108427</v>
      </c>
      <c r="D43" s="8">
        <v>77.238805970149244</v>
      </c>
      <c r="E43" s="8">
        <v>162.29508196721312</v>
      </c>
      <c r="F43" s="8">
        <v>137.5</v>
      </c>
      <c r="G43" s="8">
        <v>523.52941176470586</v>
      </c>
      <c r="H43" s="8">
        <v>79.729729729729726</v>
      </c>
      <c r="I43" s="8">
        <v>82.30088495575221</v>
      </c>
      <c r="J43" s="8">
        <v>93.103448275862064</v>
      </c>
      <c r="K43" s="8">
        <v>87.153284671532845</v>
      </c>
      <c r="L43" s="8">
        <v>84.338624338624328</v>
      </c>
      <c r="M43" s="8">
        <v>90.201729106628235</v>
      </c>
    </row>
    <row r="44" spans="1:13">
      <c r="A44" s="5">
        <v>2015</v>
      </c>
      <c r="B44" s="8">
        <v>83.75</v>
      </c>
      <c r="C44" s="8">
        <v>81.136638452236994</v>
      </c>
      <c r="D44" s="8">
        <v>73.251028806584358</v>
      </c>
      <c r="E44" s="8">
        <v>140</v>
      </c>
      <c r="F44" s="8">
        <v>135.63218390804596</v>
      </c>
      <c r="G44" s="8">
        <v>378.9473684210526</v>
      </c>
      <c r="H44" s="8">
        <v>89.041095890410958</v>
      </c>
      <c r="I44" s="8">
        <v>84.482758620689651</v>
      </c>
      <c r="J44" s="78" t="s">
        <v>87</v>
      </c>
      <c r="K44" s="8">
        <v>89.867841409691636</v>
      </c>
      <c r="L44" s="8">
        <v>84.93150684931507</v>
      </c>
      <c r="M44" s="8">
        <v>85.321100917431195</v>
      </c>
    </row>
    <row r="45" spans="1:13">
      <c r="A45" s="5">
        <v>2016</v>
      </c>
      <c r="B45" s="8">
        <v>80.505415162454881</v>
      </c>
      <c r="C45" s="8">
        <v>78.50122850122851</v>
      </c>
      <c r="D45" s="8">
        <v>75</v>
      </c>
      <c r="E45" s="8">
        <v>133.33333333333331</v>
      </c>
      <c r="F45" s="8">
        <v>130.5263157894737</v>
      </c>
      <c r="G45" s="8">
        <v>422.22222222222223</v>
      </c>
      <c r="H45" s="8">
        <v>84.285714285714292</v>
      </c>
      <c r="I45" s="8">
        <v>85.840707964601776</v>
      </c>
      <c r="J45" s="8">
        <v>62.5</v>
      </c>
      <c r="K45" s="8">
        <v>88.330871491875925</v>
      </c>
      <c r="L45" s="8">
        <v>83.826638477801268</v>
      </c>
      <c r="M45" s="8">
        <v>85.585585585585591</v>
      </c>
    </row>
    <row r="46" spans="1:13">
      <c r="A46" s="5">
        <v>2017</v>
      </c>
      <c r="B46" s="8">
        <v>80.952380952380949</v>
      </c>
      <c r="C46" s="8">
        <v>77.964071856287418</v>
      </c>
      <c r="D46" s="8">
        <v>78.294573643410843</v>
      </c>
      <c r="E46" s="8">
        <v>151.25</v>
      </c>
      <c r="F46" s="8">
        <v>140</v>
      </c>
      <c r="G46" s="8">
        <v>354.54545454545456</v>
      </c>
      <c r="H46" s="8">
        <v>87.837837837837839</v>
      </c>
      <c r="I46" s="8">
        <v>83.898305084745758</v>
      </c>
      <c r="J46" s="8">
        <v>92.307692307692307</v>
      </c>
      <c r="K46" s="8">
        <v>87.428571428571431</v>
      </c>
      <c r="L46" s="8">
        <v>85.41882109617373</v>
      </c>
      <c r="M46" s="8">
        <v>91.545189504373184</v>
      </c>
    </row>
    <row r="47" spans="1:13">
      <c r="A47" s="5">
        <v>2018</v>
      </c>
      <c r="B47" s="8">
        <v>80.412371134020617</v>
      </c>
      <c r="C47" s="8">
        <v>77.192982456140342</v>
      </c>
      <c r="D47" s="8">
        <v>78.326996197718628</v>
      </c>
      <c r="E47" s="8">
        <v>143.42105263157893</v>
      </c>
      <c r="F47" s="8">
        <v>139.36170212765958</v>
      </c>
      <c r="G47" s="8">
        <v>371.42857142857144</v>
      </c>
      <c r="H47" s="8">
        <v>81.818181818181827</v>
      </c>
      <c r="I47" s="8">
        <v>82.926829268292678</v>
      </c>
      <c r="J47" s="8">
        <v>74.074074074074076</v>
      </c>
      <c r="K47" s="8">
        <v>88.716502115655842</v>
      </c>
      <c r="L47" s="8">
        <v>84.08862034239678</v>
      </c>
      <c r="M47" s="8">
        <v>86.842105263157904</v>
      </c>
    </row>
    <row r="48" spans="1:13">
      <c r="A48" s="5">
        <v>2019</v>
      </c>
      <c r="B48" s="8">
        <v>80.617495711835332</v>
      </c>
      <c r="C48" s="8">
        <v>78.154205607476641</v>
      </c>
      <c r="D48" s="8">
        <v>77.941176470588232</v>
      </c>
      <c r="E48" s="8">
        <v>148.78048780487805</v>
      </c>
      <c r="F48" s="8">
        <v>137.37373737373736</v>
      </c>
      <c r="G48" s="8">
        <v>371.42857142857144</v>
      </c>
      <c r="H48" s="8">
        <v>89.473684210526315</v>
      </c>
      <c r="I48" s="8">
        <v>85.245901639344254</v>
      </c>
      <c r="J48" s="8">
        <v>92.857142857142861</v>
      </c>
      <c r="K48" s="8">
        <v>89.466292134831463</v>
      </c>
      <c r="L48" s="8">
        <v>83.652875882946518</v>
      </c>
      <c r="M48" s="8">
        <v>90.196078431372555</v>
      </c>
    </row>
    <row r="50" spans="1:13">
      <c r="A50" s="22" t="s">
        <v>22</v>
      </c>
      <c r="B50" s="58">
        <f>B48-B5</f>
        <v>3.297908082969343</v>
      </c>
      <c r="C50" s="58">
        <f t="shared" ref="C50:M50" si="0">C48-C5</f>
        <v>0.2192692566986949</v>
      </c>
      <c r="D50" s="58">
        <f t="shared" si="0"/>
        <v>30.958417849898574</v>
      </c>
      <c r="E50" s="58">
        <f t="shared" si="0"/>
        <v>-47.052845528455265</v>
      </c>
      <c r="F50" s="58">
        <f t="shared" si="0"/>
        <v>-39.54933954933955</v>
      </c>
      <c r="G50" s="78" t="s">
        <v>87</v>
      </c>
      <c r="H50" s="58">
        <f t="shared" si="0"/>
        <v>25.705568268497338</v>
      </c>
      <c r="I50" s="58">
        <f t="shared" si="0"/>
        <v>17.537568306010911</v>
      </c>
      <c r="J50" s="58">
        <f t="shared" si="0"/>
        <v>92.857142714285715</v>
      </c>
      <c r="K50" s="58">
        <f t="shared" si="0"/>
        <v>1.926356032595038</v>
      </c>
      <c r="L50" s="58">
        <f t="shared" si="0"/>
        <v>0.34161760480081682</v>
      </c>
      <c r="M50" s="58">
        <f t="shared" si="0"/>
        <v>34.181040837387592</v>
      </c>
    </row>
    <row r="51" spans="1:13">
      <c r="A51" s="22" t="s">
        <v>23</v>
      </c>
      <c r="B51" s="58">
        <f>B29-B5</f>
        <v>3.0725692338791077</v>
      </c>
      <c r="C51" s="58">
        <f t="shared" ref="C51:M51" si="1">C29-C5</f>
        <v>1.5629715990128403</v>
      </c>
      <c r="D51" s="58">
        <f t="shared" si="1"/>
        <v>16.333824293883204</v>
      </c>
      <c r="E51" s="58">
        <f t="shared" si="1"/>
        <v>12.274774774774812</v>
      </c>
      <c r="F51" s="58">
        <f t="shared" si="1"/>
        <v>-2.5044722719141248</v>
      </c>
      <c r="G51" s="78" t="s">
        <v>87</v>
      </c>
      <c r="H51" s="58">
        <f t="shared" si="1"/>
        <v>10.305958132045099</v>
      </c>
      <c r="I51" s="58">
        <f t="shared" si="1"/>
        <v>5.2424863387978036</v>
      </c>
      <c r="J51" s="58">
        <f t="shared" si="1"/>
        <v>55.555555412698418</v>
      </c>
      <c r="K51" s="58">
        <f t="shared" si="1"/>
        <v>-0.33454889684921341</v>
      </c>
      <c r="L51" s="58">
        <f t="shared" si="1"/>
        <v>-0.1666041900953843</v>
      </c>
      <c r="M51" s="58">
        <f t="shared" si="1"/>
        <v>24.342105263157897</v>
      </c>
    </row>
    <row r="52" spans="1:13">
      <c r="A52" s="22" t="s">
        <v>24</v>
      </c>
      <c r="B52" s="58">
        <f>B48-B29</f>
        <v>0.22533884909023527</v>
      </c>
      <c r="C52" s="58">
        <f t="shared" ref="C52:M52" si="2">C48-C29</f>
        <v>-1.3437023423141454</v>
      </c>
      <c r="D52" s="58">
        <f t="shared" si="2"/>
        <v>14.62459355601537</v>
      </c>
      <c r="E52" s="58">
        <f t="shared" si="2"/>
        <v>-59.327620303230077</v>
      </c>
      <c r="F52" s="58">
        <f t="shared" si="2"/>
        <v>-37.044867277425425</v>
      </c>
      <c r="G52" s="58">
        <f t="shared" si="2"/>
        <v>-236.26373626373618</v>
      </c>
      <c r="H52" s="58">
        <f t="shared" si="2"/>
        <v>15.399610136452239</v>
      </c>
      <c r="I52" s="58">
        <f t="shared" si="2"/>
        <v>12.295081967213108</v>
      </c>
      <c r="J52" s="58">
        <f t="shared" si="2"/>
        <v>37.301587301587304</v>
      </c>
      <c r="K52" s="58">
        <f t="shared" si="2"/>
        <v>2.2609049294442514</v>
      </c>
      <c r="L52" s="58">
        <f t="shared" si="2"/>
        <v>0.50822179489620112</v>
      </c>
      <c r="M52" s="58">
        <f t="shared" si="2"/>
        <v>9.8389355742296942</v>
      </c>
    </row>
    <row r="55" spans="1:13">
      <c r="A55" s="22" t="s">
        <v>607</v>
      </c>
    </row>
  </sheetData>
  <mergeCells count="4">
    <mergeCell ref="B3:D3"/>
    <mergeCell ref="E3:G3"/>
    <mergeCell ref="H3:J3"/>
    <mergeCell ref="K3:M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D5EF-CD96-1845-B786-0E0C89A24C51}">
  <dimension ref="A1:AH62"/>
  <sheetViews>
    <sheetView zoomScale="75" zoomScaleNormal="93" workbookViewId="0">
      <pane xSplit="1" topLeftCell="B1" activePane="topRight" state="frozen"/>
      <selection pane="topRight"/>
    </sheetView>
  </sheetViews>
  <sheetFormatPr baseColWidth="10" defaultColWidth="10.83203125" defaultRowHeight="16"/>
  <cols>
    <col min="1" max="1" width="17.6640625" style="5" customWidth="1"/>
    <col min="2" max="16384" width="10.83203125" style="5"/>
  </cols>
  <sheetData>
    <row r="1" spans="1:34">
      <c r="A1" s="3" t="s">
        <v>622</v>
      </c>
    </row>
    <row r="2" spans="1:34">
      <c r="A2" s="5" t="s">
        <v>3</v>
      </c>
    </row>
    <row r="4" spans="1:34">
      <c r="A4" s="99"/>
      <c r="B4" s="334" t="s">
        <v>81</v>
      </c>
      <c r="C4" s="334"/>
      <c r="D4" s="334"/>
      <c r="E4" s="334"/>
      <c r="F4" s="334"/>
      <c r="G4" s="334"/>
      <c r="H4" s="334"/>
      <c r="I4" s="334"/>
      <c r="J4" s="334"/>
      <c r="K4" s="334"/>
      <c r="L4" s="334"/>
      <c r="M4" s="335" t="s">
        <v>77</v>
      </c>
      <c r="N4" s="334"/>
      <c r="O4" s="334"/>
      <c r="P4" s="334"/>
      <c r="Q4" s="334"/>
      <c r="R4" s="334"/>
      <c r="S4" s="334"/>
      <c r="T4" s="334"/>
      <c r="U4" s="334"/>
      <c r="V4" s="334"/>
      <c r="W4" s="336"/>
      <c r="X4" s="334" t="s">
        <v>78</v>
      </c>
      <c r="Y4" s="334"/>
      <c r="Z4" s="334"/>
      <c r="AA4" s="334"/>
      <c r="AB4" s="334"/>
      <c r="AC4" s="334"/>
      <c r="AD4" s="334"/>
      <c r="AE4" s="334"/>
      <c r="AF4" s="334"/>
      <c r="AG4" s="334"/>
      <c r="AH4" s="334"/>
    </row>
    <row r="5" spans="1:34" ht="32" customHeight="1">
      <c r="A5" s="99"/>
      <c r="B5" s="100" t="s">
        <v>91</v>
      </c>
      <c r="C5" s="100" t="s">
        <v>92</v>
      </c>
      <c r="D5" s="100" t="s">
        <v>172</v>
      </c>
      <c r="E5" s="100" t="s">
        <v>173</v>
      </c>
      <c r="F5" s="100" t="s">
        <v>174</v>
      </c>
      <c r="G5" s="100" t="s">
        <v>93</v>
      </c>
      <c r="H5" s="100" t="s">
        <v>175</v>
      </c>
      <c r="I5" s="100" t="s">
        <v>176</v>
      </c>
      <c r="J5" s="100" t="s">
        <v>177</v>
      </c>
      <c r="K5" s="100" t="s">
        <v>178</v>
      </c>
      <c r="L5" s="100" t="s">
        <v>94</v>
      </c>
      <c r="M5" s="275" t="s">
        <v>91</v>
      </c>
      <c r="N5" s="100" t="s">
        <v>92</v>
      </c>
      <c r="O5" s="100" t="s">
        <v>172</v>
      </c>
      <c r="P5" s="100" t="s">
        <v>173</v>
      </c>
      <c r="Q5" s="100" t="s">
        <v>174</v>
      </c>
      <c r="R5" s="100" t="s">
        <v>93</v>
      </c>
      <c r="S5" s="100" t="s">
        <v>175</v>
      </c>
      <c r="T5" s="100" t="s">
        <v>176</v>
      </c>
      <c r="U5" s="100" t="s">
        <v>177</v>
      </c>
      <c r="V5" s="100" t="s">
        <v>178</v>
      </c>
      <c r="W5" s="276" t="s">
        <v>94</v>
      </c>
      <c r="X5" s="100" t="s">
        <v>91</v>
      </c>
      <c r="Y5" s="100" t="s">
        <v>92</v>
      </c>
      <c r="Z5" s="100" t="s">
        <v>172</v>
      </c>
      <c r="AA5" s="100" t="s">
        <v>173</v>
      </c>
      <c r="AB5" s="100" t="s">
        <v>174</v>
      </c>
      <c r="AC5" s="100" t="s">
        <v>93</v>
      </c>
      <c r="AD5" s="100" t="s">
        <v>175</v>
      </c>
      <c r="AE5" s="100" t="s">
        <v>176</v>
      </c>
      <c r="AF5" s="100" t="s">
        <v>177</v>
      </c>
      <c r="AG5" s="100" t="s">
        <v>178</v>
      </c>
      <c r="AH5" s="100" t="s">
        <v>94</v>
      </c>
    </row>
    <row r="6" spans="1:34">
      <c r="A6" s="99">
        <v>1976</v>
      </c>
      <c r="B6" s="101">
        <v>50600</v>
      </c>
      <c r="C6" s="101">
        <v>6600</v>
      </c>
      <c r="D6" s="101">
        <v>18000</v>
      </c>
      <c r="E6" s="101">
        <v>27300</v>
      </c>
      <c r="F6" s="101">
        <v>34300</v>
      </c>
      <c r="G6" s="101">
        <v>42900</v>
      </c>
      <c r="H6" s="101">
        <v>51900</v>
      </c>
      <c r="I6" s="101">
        <v>59200</v>
      </c>
      <c r="J6" s="101">
        <v>68500</v>
      </c>
      <c r="K6" s="101">
        <v>82200</v>
      </c>
      <c r="L6" s="101">
        <v>115400</v>
      </c>
      <c r="M6" s="202">
        <v>58000</v>
      </c>
      <c r="N6" s="101">
        <v>15300</v>
      </c>
      <c r="O6" s="101">
        <v>27800</v>
      </c>
      <c r="P6" s="101">
        <v>35700</v>
      </c>
      <c r="Q6" s="101">
        <v>44300</v>
      </c>
      <c r="R6" s="101">
        <v>51800</v>
      </c>
      <c r="S6" s="101">
        <v>57800</v>
      </c>
      <c r="T6" s="101">
        <v>65000</v>
      </c>
      <c r="U6" s="101">
        <v>74100</v>
      </c>
      <c r="V6" s="101">
        <v>87900</v>
      </c>
      <c r="W6" s="277">
        <v>120800</v>
      </c>
      <c r="X6" s="101">
        <v>22200</v>
      </c>
      <c r="Y6" s="271"/>
      <c r="Z6" s="271"/>
      <c r="AA6" s="271"/>
      <c r="AB6" s="271"/>
      <c r="AC6" s="271"/>
      <c r="AD6" s="271"/>
      <c r="AE6" s="271"/>
      <c r="AF6" s="271"/>
      <c r="AG6" s="271"/>
      <c r="AH6" s="271"/>
    </row>
    <row r="7" spans="1:34">
      <c r="A7" s="99">
        <v>1977</v>
      </c>
      <c r="B7" s="101">
        <v>52700</v>
      </c>
      <c r="C7" s="101">
        <v>8200</v>
      </c>
      <c r="D7" s="101">
        <v>18500</v>
      </c>
      <c r="E7" s="101">
        <v>26500</v>
      </c>
      <c r="F7" s="101">
        <v>35300</v>
      </c>
      <c r="G7" s="101">
        <v>43700</v>
      </c>
      <c r="H7" s="101">
        <v>51600</v>
      </c>
      <c r="I7" s="101">
        <v>60400</v>
      </c>
      <c r="J7" s="101">
        <v>71200</v>
      </c>
      <c r="K7" s="101">
        <v>86300</v>
      </c>
      <c r="L7" s="101">
        <v>124900</v>
      </c>
      <c r="M7" s="202">
        <v>60600</v>
      </c>
      <c r="N7" s="101">
        <v>15800</v>
      </c>
      <c r="O7" s="101">
        <v>28100</v>
      </c>
      <c r="P7" s="101">
        <v>37200</v>
      </c>
      <c r="Q7" s="101">
        <v>44800</v>
      </c>
      <c r="R7" s="101">
        <v>51700</v>
      </c>
      <c r="S7" s="101">
        <v>59000</v>
      </c>
      <c r="T7" s="101">
        <v>67500</v>
      </c>
      <c r="U7" s="101">
        <v>77900</v>
      </c>
      <c r="V7" s="101">
        <v>92500</v>
      </c>
      <c r="W7" s="277">
        <v>131500</v>
      </c>
      <c r="X7" s="101">
        <v>22500</v>
      </c>
      <c r="Y7" s="101">
        <v>1600</v>
      </c>
      <c r="Z7" s="101">
        <v>9700</v>
      </c>
      <c r="AA7" s="101">
        <v>11800</v>
      </c>
      <c r="AB7" s="101">
        <v>13100</v>
      </c>
      <c r="AC7" s="101">
        <v>16200</v>
      </c>
      <c r="AD7" s="101">
        <v>20200</v>
      </c>
      <c r="AE7" s="101">
        <v>24400</v>
      </c>
      <c r="AF7" s="101">
        <v>29500</v>
      </c>
      <c r="AG7" s="101">
        <v>39500</v>
      </c>
      <c r="AH7" s="101">
        <v>58900</v>
      </c>
    </row>
    <row r="8" spans="1:34">
      <c r="A8" s="99">
        <v>1978</v>
      </c>
      <c r="B8" s="101">
        <v>52300</v>
      </c>
      <c r="C8" s="101">
        <v>8200</v>
      </c>
      <c r="D8" s="101">
        <v>19100</v>
      </c>
      <c r="E8" s="101">
        <v>27300</v>
      </c>
      <c r="F8" s="101">
        <v>35800</v>
      </c>
      <c r="G8" s="101">
        <v>45000</v>
      </c>
      <c r="H8" s="101">
        <v>54700</v>
      </c>
      <c r="I8" s="101">
        <v>62400</v>
      </c>
      <c r="J8" s="101">
        <v>72400</v>
      </c>
      <c r="K8" s="101">
        <v>84400</v>
      </c>
      <c r="L8" s="101">
        <v>113500</v>
      </c>
      <c r="M8" s="202">
        <v>59500</v>
      </c>
      <c r="N8" s="101">
        <v>15000</v>
      </c>
      <c r="O8" s="101">
        <v>26600</v>
      </c>
      <c r="P8" s="101">
        <v>36900</v>
      </c>
      <c r="Q8" s="101">
        <v>46200</v>
      </c>
      <c r="R8" s="101">
        <v>54900</v>
      </c>
      <c r="S8" s="101">
        <v>61300</v>
      </c>
      <c r="T8" s="101">
        <v>68800</v>
      </c>
      <c r="U8" s="101">
        <v>77800</v>
      </c>
      <c r="V8" s="101">
        <v>89200</v>
      </c>
      <c r="W8" s="277">
        <v>117800</v>
      </c>
      <c r="X8" s="101">
        <v>25700</v>
      </c>
      <c r="Y8" s="271"/>
      <c r="Z8" s="271"/>
      <c r="AA8" s="271"/>
      <c r="AB8" s="271"/>
      <c r="AC8" s="271"/>
      <c r="AD8" s="271"/>
      <c r="AE8" s="271"/>
      <c r="AF8" s="271"/>
      <c r="AG8" s="271"/>
      <c r="AH8" s="271"/>
    </row>
    <row r="9" spans="1:34">
      <c r="A9" s="99">
        <v>1979</v>
      </c>
      <c r="B9" s="101">
        <v>52400</v>
      </c>
      <c r="C9" s="101">
        <v>10400</v>
      </c>
      <c r="D9" s="101">
        <v>19500</v>
      </c>
      <c r="E9" s="101">
        <v>26900</v>
      </c>
      <c r="F9" s="101">
        <v>35900</v>
      </c>
      <c r="G9" s="101">
        <v>44700</v>
      </c>
      <c r="H9" s="101">
        <v>52700</v>
      </c>
      <c r="I9" s="101">
        <v>60400</v>
      </c>
      <c r="J9" s="101">
        <v>69400</v>
      </c>
      <c r="K9" s="101">
        <v>83600</v>
      </c>
      <c r="L9" s="101">
        <v>120500</v>
      </c>
      <c r="M9" s="202">
        <v>59700</v>
      </c>
      <c r="N9" s="101">
        <v>16700</v>
      </c>
      <c r="O9" s="101">
        <v>27900</v>
      </c>
      <c r="P9" s="101">
        <v>37200</v>
      </c>
      <c r="Q9" s="101">
        <v>45400</v>
      </c>
      <c r="R9" s="101">
        <v>52600</v>
      </c>
      <c r="S9" s="101">
        <v>59000</v>
      </c>
      <c r="T9" s="101">
        <v>65800</v>
      </c>
      <c r="U9" s="101">
        <v>75500</v>
      </c>
      <c r="V9" s="101">
        <v>89700</v>
      </c>
      <c r="W9" s="277">
        <v>126900</v>
      </c>
      <c r="X9" s="101">
        <v>26000</v>
      </c>
      <c r="Y9" s="101">
        <v>4400</v>
      </c>
      <c r="Z9" s="101">
        <v>11600</v>
      </c>
      <c r="AA9" s="101">
        <v>13300</v>
      </c>
      <c r="AB9" s="101">
        <v>15800</v>
      </c>
      <c r="AC9" s="101">
        <v>19000</v>
      </c>
      <c r="AD9" s="101">
        <v>22400</v>
      </c>
      <c r="AE9" s="101">
        <v>26600</v>
      </c>
      <c r="AF9" s="101">
        <v>34800</v>
      </c>
      <c r="AG9" s="101">
        <v>45000</v>
      </c>
      <c r="AH9" s="101">
        <v>67700</v>
      </c>
    </row>
    <row r="10" spans="1:34">
      <c r="A10" s="99">
        <v>1980</v>
      </c>
      <c r="B10" s="101">
        <v>51500</v>
      </c>
      <c r="C10" s="101">
        <v>10200</v>
      </c>
      <c r="D10" s="101">
        <v>19000</v>
      </c>
      <c r="E10" s="101">
        <v>27900</v>
      </c>
      <c r="F10" s="101">
        <v>35900</v>
      </c>
      <c r="G10" s="101">
        <v>44200</v>
      </c>
      <c r="H10" s="101">
        <v>51200</v>
      </c>
      <c r="I10" s="101">
        <v>59300</v>
      </c>
      <c r="J10" s="101">
        <v>68500</v>
      </c>
      <c r="K10" s="101">
        <v>82500</v>
      </c>
      <c r="L10" s="101">
        <v>116500</v>
      </c>
      <c r="M10" s="202">
        <v>58900</v>
      </c>
      <c r="N10" s="101">
        <v>17800</v>
      </c>
      <c r="O10" s="101">
        <v>29400</v>
      </c>
      <c r="P10" s="101">
        <v>37100</v>
      </c>
      <c r="Q10" s="101">
        <v>44700</v>
      </c>
      <c r="R10" s="101">
        <v>51100</v>
      </c>
      <c r="S10" s="101">
        <v>57700</v>
      </c>
      <c r="T10" s="101">
        <v>65600</v>
      </c>
      <c r="U10" s="101">
        <v>75100</v>
      </c>
      <c r="V10" s="101">
        <v>87700</v>
      </c>
      <c r="W10" s="277">
        <v>122600</v>
      </c>
      <c r="X10" s="101">
        <v>25200</v>
      </c>
      <c r="Y10" s="271"/>
      <c r="Z10" s="271"/>
      <c r="AA10" s="271"/>
      <c r="AB10" s="271"/>
      <c r="AC10" s="271"/>
      <c r="AD10" s="271"/>
      <c r="AE10" s="271"/>
      <c r="AF10" s="271"/>
      <c r="AG10" s="271"/>
      <c r="AH10" s="271"/>
    </row>
    <row r="11" spans="1:34">
      <c r="A11" s="99">
        <v>1981</v>
      </c>
      <c r="B11" s="101">
        <v>51400</v>
      </c>
      <c r="C11" s="101">
        <v>10200</v>
      </c>
      <c r="D11" s="101">
        <v>18800</v>
      </c>
      <c r="E11" s="101">
        <v>26200</v>
      </c>
      <c r="F11" s="101">
        <v>33100</v>
      </c>
      <c r="G11" s="101">
        <v>41600</v>
      </c>
      <c r="H11" s="101">
        <v>49600</v>
      </c>
      <c r="I11" s="101">
        <v>58300</v>
      </c>
      <c r="J11" s="101">
        <v>67700</v>
      </c>
      <c r="K11" s="101">
        <v>81900</v>
      </c>
      <c r="L11" s="101">
        <v>126500</v>
      </c>
      <c r="M11" s="202">
        <v>58900</v>
      </c>
      <c r="N11" s="101">
        <v>15700</v>
      </c>
      <c r="O11" s="101">
        <v>26800</v>
      </c>
      <c r="P11" s="101">
        <v>34400</v>
      </c>
      <c r="Q11" s="101">
        <v>42800</v>
      </c>
      <c r="R11" s="101">
        <v>49900</v>
      </c>
      <c r="S11" s="101">
        <v>57500</v>
      </c>
      <c r="T11" s="101">
        <v>64900</v>
      </c>
      <c r="U11" s="101">
        <v>74300</v>
      </c>
      <c r="V11" s="101">
        <v>88400</v>
      </c>
      <c r="W11" s="277">
        <v>134500</v>
      </c>
      <c r="X11" s="101">
        <v>25000</v>
      </c>
      <c r="Y11" s="101">
        <v>5400</v>
      </c>
      <c r="Z11" s="101">
        <v>11300</v>
      </c>
      <c r="AA11" s="101">
        <v>13900</v>
      </c>
      <c r="AB11" s="101">
        <v>15700</v>
      </c>
      <c r="AC11" s="101">
        <v>18500</v>
      </c>
      <c r="AD11" s="101">
        <v>22600</v>
      </c>
      <c r="AE11" s="101">
        <v>27100</v>
      </c>
      <c r="AF11" s="101">
        <v>32400</v>
      </c>
      <c r="AG11" s="101">
        <v>41500</v>
      </c>
      <c r="AH11" s="101">
        <v>61300</v>
      </c>
    </row>
    <row r="12" spans="1:34">
      <c r="A12" s="99">
        <v>1982</v>
      </c>
      <c r="B12" s="101">
        <v>50300</v>
      </c>
      <c r="C12" s="101">
        <v>9800</v>
      </c>
      <c r="D12" s="101">
        <v>18300</v>
      </c>
      <c r="E12" s="101">
        <v>25300</v>
      </c>
      <c r="F12" s="101">
        <v>32400</v>
      </c>
      <c r="G12" s="101">
        <v>40300</v>
      </c>
      <c r="H12" s="101">
        <v>48500</v>
      </c>
      <c r="I12" s="101">
        <v>57300</v>
      </c>
      <c r="J12" s="101">
        <v>68400</v>
      </c>
      <c r="K12" s="101">
        <v>83000</v>
      </c>
      <c r="L12" s="101">
        <v>119700</v>
      </c>
      <c r="M12" s="202">
        <v>57800</v>
      </c>
      <c r="N12" s="101">
        <v>16300</v>
      </c>
      <c r="O12" s="101">
        <v>26500</v>
      </c>
      <c r="P12" s="101">
        <v>33500</v>
      </c>
      <c r="Q12" s="101">
        <v>41000</v>
      </c>
      <c r="R12" s="101">
        <v>48400</v>
      </c>
      <c r="S12" s="101">
        <v>56300</v>
      </c>
      <c r="T12" s="101">
        <v>65300</v>
      </c>
      <c r="U12" s="101">
        <v>75600</v>
      </c>
      <c r="V12" s="101">
        <v>89700</v>
      </c>
      <c r="W12" s="277">
        <v>125600</v>
      </c>
      <c r="X12" s="101">
        <v>24300</v>
      </c>
      <c r="Y12" s="101">
        <v>3200</v>
      </c>
      <c r="Z12" s="101">
        <v>10700</v>
      </c>
      <c r="AA12" s="101">
        <v>13800</v>
      </c>
      <c r="AB12" s="101">
        <v>14900</v>
      </c>
      <c r="AC12" s="101">
        <v>17600</v>
      </c>
      <c r="AD12" s="101">
        <v>20800</v>
      </c>
      <c r="AE12" s="101">
        <v>25200</v>
      </c>
      <c r="AF12" s="101">
        <v>32900</v>
      </c>
      <c r="AG12" s="101">
        <v>43100</v>
      </c>
      <c r="AH12" s="101">
        <v>60700</v>
      </c>
    </row>
    <row r="13" spans="1:34">
      <c r="A13" s="99">
        <v>1983</v>
      </c>
      <c r="B13" s="101">
        <v>47800</v>
      </c>
      <c r="C13" s="101">
        <v>8500</v>
      </c>
      <c r="D13" s="101">
        <v>16500</v>
      </c>
      <c r="E13" s="101">
        <v>22800</v>
      </c>
      <c r="F13" s="101">
        <v>30200</v>
      </c>
      <c r="G13" s="101">
        <v>37500</v>
      </c>
      <c r="H13" s="101">
        <v>46500</v>
      </c>
      <c r="I13" s="101">
        <v>54200</v>
      </c>
      <c r="J13" s="101">
        <v>63500</v>
      </c>
      <c r="K13" s="101">
        <v>78000</v>
      </c>
      <c r="L13" s="101">
        <v>120400</v>
      </c>
      <c r="M13" s="202">
        <v>55400</v>
      </c>
      <c r="N13" s="101">
        <v>15100</v>
      </c>
      <c r="O13" s="101">
        <v>24300</v>
      </c>
      <c r="P13" s="101">
        <v>31200</v>
      </c>
      <c r="Q13" s="101">
        <v>38000</v>
      </c>
      <c r="R13" s="101">
        <v>46700</v>
      </c>
      <c r="S13" s="101">
        <v>53800</v>
      </c>
      <c r="T13" s="101">
        <v>60600</v>
      </c>
      <c r="U13" s="101">
        <v>70700</v>
      </c>
      <c r="V13" s="101">
        <v>84400</v>
      </c>
      <c r="W13" s="277">
        <v>128800</v>
      </c>
      <c r="X13" s="101">
        <v>21800</v>
      </c>
      <c r="Y13" s="271"/>
      <c r="Z13" s="271"/>
      <c r="AA13" s="271"/>
      <c r="AB13" s="271"/>
      <c r="AC13" s="271"/>
      <c r="AD13" s="271"/>
      <c r="AE13" s="271"/>
      <c r="AF13" s="271"/>
      <c r="AG13" s="271"/>
      <c r="AH13" s="271"/>
    </row>
    <row r="14" spans="1:34">
      <c r="A14" s="99">
        <v>1984</v>
      </c>
      <c r="B14" s="101">
        <v>51300</v>
      </c>
      <c r="C14" s="101">
        <v>10000</v>
      </c>
      <c r="D14" s="101">
        <v>18400</v>
      </c>
      <c r="E14" s="101">
        <v>25600</v>
      </c>
      <c r="F14" s="101">
        <v>33300</v>
      </c>
      <c r="G14" s="101">
        <v>41200</v>
      </c>
      <c r="H14" s="101">
        <v>50400</v>
      </c>
      <c r="I14" s="101">
        <v>59600</v>
      </c>
      <c r="J14" s="101">
        <v>69600</v>
      </c>
      <c r="K14" s="101">
        <v>83900</v>
      </c>
      <c r="L14" s="101">
        <v>121000</v>
      </c>
      <c r="M14" s="202">
        <v>58900</v>
      </c>
      <c r="N14" s="101">
        <v>16100</v>
      </c>
      <c r="O14" s="101">
        <v>26800</v>
      </c>
      <c r="P14" s="101">
        <v>34700</v>
      </c>
      <c r="Q14" s="101">
        <v>42300</v>
      </c>
      <c r="R14" s="101">
        <v>50600</v>
      </c>
      <c r="S14" s="101">
        <v>58600</v>
      </c>
      <c r="T14" s="101">
        <v>66400</v>
      </c>
      <c r="U14" s="101">
        <v>76100</v>
      </c>
      <c r="V14" s="101">
        <v>89600</v>
      </c>
      <c r="W14" s="277">
        <v>127800</v>
      </c>
      <c r="X14" s="101">
        <v>26000</v>
      </c>
      <c r="Y14" s="101">
        <v>3600</v>
      </c>
      <c r="Z14" s="101">
        <v>10400</v>
      </c>
      <c r="AA14" s="101">
        <v>14100</v>
      </c>
      <c r="AB14" s="101">
        <v>15800</v>
      </c>
      <c r="AC14" s="101">
        <v>18400</v>
      </c>
      <c r="AD14" s="101">
        <v>22000</v>
      </c>
      <c r="AE14" s="101">
        <v>26700</v>
      </c>
      <c r="AF14" s="101">
        <v>33500</v>
      </c>
      <c r="AG14" s="101">
        <v>44600</v>
      </c>
      <c r="AH14" s="101">
        <v>70400</v>
      </c>
    </row>
    <row r="15" spans="1:34">
      <c r="A15" s="99">
        <v>1985</v>
      </c>
      <c r="B15" s="101">
        <v>51900</v>
      </c>
      <c r="C15" s="101">
        <v>10600</v>
      </c>
      <c r="D15" s="101">
        <v>19500</v>
      </c>
      <c r="E15" s="101">
        <v>27500</v>
      </c>
      <c r="F15" s="101">
        <v>34700</v>
      </c>
      <c r="G15" s="101">
        <v>41900</v>
      </c>
      <c r="H15" s="101">
        <v>49900</v>
      </c>
      <c r="I15" s="101">
        <v>58800</v>
      </c>
      <c r="J15" s="101">
        <v>69400</v>
      </c>
      <c r="K15" s="101">
        <v>84500</v>
      </c>
      <c r="L15" s="101">
        <v>121800</v>
      </c>
      <c r="M15" s="202">
        <v>59600</v>
      </c>
      <c r="N15" s="101">
        <v>17300</v>
      </c>
      <c r="O15" s="101">
        <v>28900</v>
      </c>
      <c r="P15" s="101">
        <v>36400</v>
      </c>
      <c r="Q15" s="101">
        <v>43400</v>
      </c>
      <c r="R15" s="101">
        <v>50500</v>
      </c>
      <c r="S15" s="101">
        <v>58100</v>
      </c>
      <c r="T15" s="101">
        <v>66500</v>
      </c>
      <c r="U15" s="101">
        <v>76600</v>
      </c>
      <c r="V15" s="101">
        <v>91100</v>
      </c>
      <c r="W15" s="277">
        <v>127700</v>
      </c>
      <c r="X15" s="101">
        <v>26300</v>
      </c>
      <c r="Y15" s="101">
        <v>3400</v>
      </c>
      <c r="Z15" s="101">
        <v>11500</v>
      </c>
      <c r="AA15" s="101">
        <v>15100</v>
      </c>
      <c r="AB15" s="101">
        <v>17200</v>
      </c>
      <c r="AC15" s="101">
        <v>19400</v>
      </c>
      <c r="AD15" s="101">
        <v>23000</v>
      </c>
      <c r="AE15" s="101">
        <v>28400</v>
      </c>
      <c r="AF15" s="101">
        <v>34100</v>
      </c>
      <c r="AG15" s="101">
        <v>42600</v>
      </c>
      <c r="AH15" s="101">
        <v>68100</v>
      </c>
    </row>
    <row r="16" spans="1:34">
      <c r="A16" s="99">
        <v>1986</v>
      </c>
      <c r="B16" s="101">
        <v>51200</v>
      </c>
      <c r="C16" s="101">
        <v>10700</v>
      </c>
      <c r="D16" s="101">
        <v>19700</v>
      </c>
      <c r="E16" s="101">
        <v>27400</v>
      </c>
      <c r="F16" s="101">
        <v>35300</v>
      </c>
      <c r="G16" s="101">
        <v>43500</v>
      </c>
      <c r="H16" s="101">
        <v>50700</v>
      </c>
      <c r="I16" s="101">
        <v>58900</v>
      </c>
      <c r="J16" s="101">
        <v>68200</v>
      </c>
      <c r="K16" s="101">
        <v>81200</v>
      </c>
      <c r="L16" s="101">
        <v>116400</v>
      </c>
      <c r="M16" s="202">
        <v>58700</v>
      </c>
      <c r="N16" s="101">
        <v>17300</v>
      </c>
      <c r="O16" s="101">
        <v>29400</v>
      </c>
      <c r="P16" s="101">
        <v>37400</v>
      </c>
      <c r="Q16" s="101">
        <v>44900</v>
      </c>
      <c r="R16" s="101">
        <v>51100</v>
      </c>
      <c r="S16" s="101">
        <v>58000</v>
      </c>
      <c r="T16" s="101">
        <v>65300</v>
      </c>
      <c r="U16" s="101">
        <v>74100</v>
      </c>
      <c r="V16" s="101">
        <v>87100</v>
      </c>
      <c r="W16" s="277">
        <v>122600</v>
      </c>
      <c r="X16" s="101">
        <v>27000</v>
      </c>
      <c r="Y16" s="101">
        <v>4800</v>
      </c>
      <c r="Z16" s="101">
        <v>11500</v>
      </c>
      <c r="AA16" s="101">
        <v>15300</v>
      </c>
      <c r="AB16" s="101">
        <v>17300</v>
      </c>
      <c r="AC16" s="101">
        <v>19800</v>
      </c>
      <c r="AD16" s="101">
        <v>23000</v>
      </c>
      <c r="AE16" s="101">
        <v>27600</v>
      </c>
      <c r="AF16" s="101">
        <v>34500</v>
      </c>
      <c r="AG16" s="101">
        <v>45200</v>
      </c>
      <c r="AH16" s="101">
        <v>71100</v>
      </c>
    </row>
    <row r="17" spans="1:34">
      <c r="A17" s="99">
        <v>1987</v>
      </c>
      <c r="B17" s="101">
        <v>49900</v>
      </c>
      <c r="C17" s="101">
        <v>10700</v>
      </c>
      <c r="D17" s="101">
        <v>18400</v>
      </c>
      <c r="E17" s="101">
        <v>25100</v>
      </c>
      <c r="F17" s="101">
        <v>32700</v>
      </c>
      <c r="G17" s="101">
        <v>40300</v>
      </c>
      <c r="H17" s="101">
        <v>48300</v>
      </c>
      <c r="I17" s="101">
        <v>57700</v>
      </c>
      <c r="J17" s="101">
        <v>68700</v>
      </c>
      <c r="K17" s="101">
        <v>82700</v>
      </c>
      <c r="L17" s="101">
        <v>114900</v>
      </c>
      <c r="M17" s="202">
        <v>58500</v>
      </c>
      <c r="N17" s="101">
        <v>17300</v>
      </c>
      <c r="O17" s="101">
        <v>27800</v>
      </c>
      <c r="P17" s="101">
        <v>35600</v>
      </c>
      <c r="Q17" s="101">
        <v>42800</v>
      </c>
      <c r="R17" s="101">
        <v>50100</v>
      </c>
      <c r="S17" s="101">
        <v>58000</v>
      </c>
      <c r="T17" s="101">
        <v>66400</v>
      </c>
      <c r="U17" s="101">
        <v>76600</v>
      </c>
      <c r="V17" s="101">
        <v>88900</v>
      </c>
      <c r="W17" s="277">
        <v>121600</v>
      </c>
      <c r="X17" s="101">
        <v>23300</v>
      </c>
      <c r="Y17" s="101">
        <v>5000</v>
      </c>
      <c r="Z17" s="101">
        <v>10500</v>
      </c>
      <c r="AA17" s="101">
        <v>14600</v>
      </c>
      <c r="AB17" s="101">
        <v>16500</v>
      </c>
      <c r="AC17" s="101">
        <v>18100</v>
      </c>
      <c r="AD17" s="101">
        <v>20800</v>
      </c>
      <c r="AE17" s="101">
        <v>24800</v>
      </c>
      <c r="AF17" s="101">
        <v>30500</v>
      </c>
      <c r="AG17" s="101">
        <v>38300</v>
      </c>
      <c r="AH17" s="101">
        <v>54400</v>
      </c>
    </row>
    <row r="18" spans="1:34">
      <c r="A18" s="99">
        <v>1988</v>
      </c>
      <c r="B18" s="101">
        <v>51500</v>
      </c>
      <c r="C18" s="101">
        <v>12300</v>
      </c>
      <c r="D18" s="101">
        <v>19900</v>
      </c>
      <c r="E18" s="101">
        <v>27300</v>
      </c>
      <c r="F18" s="101">
        <v>34800</v>
      </c>
      <c r="G18" s="101">
        <v>42200</v>
      </c>
      <c r="H18" s="101">
        <v>50300</v>
      </c>
      <c r="I18" s="101">
        <v>58500</v>
      </c>
      <c r="J18" s="101">
        <v>69200</v>
      </c>
      <c r="K18" s="101">
        <v>82900</v>
      </c>
      <c r="L18" s="101">
        <v>117200</v>
      </c>
      <c r="M18" s="202">
        <v>59700</v>
      </c>
      <c r="N18" s="101">
        <v>18400</v>
      </c>
      <c r="O18" s="101">
        <v>29900</v>
      </c>
      <c r="P18" s="101">
        <v>37500</v>
      </c>
      <c r="Q18" s="101">
        <v>44500</v>
      </c>
      <c r="R18" s="101">
        <v>51500</v>
      </c>
      <c r="S18" s="101">
        <v>58400</v>
      </c>
      <c r="T18" s="101">
        <v>66900</v>
      </c>
      <c r="U18" s="101">
        <v>76300</v>
      </c>
      <c r="V18" s="101">
        <v>89900</v>
      </c>
      <c r="W18" s="277">
        <v>123400</v>
      </c>
      <c r="X18" s="101">
        <v>26600</v>
      </c>
      <c r="Y18" s="101">
        <v>7200</v>
      </c>
      <c r="Z18" s="101">
        <v>12600</v>
      </c>
      <c r="AA18" s="101">
        <v>16100</v>
      </c>
      <c r="AB18" s="101">
        <v>17800</v>
      </c>
      <c r="AC18" s="101">
        <v>20400</v>
      </c>
      <c r="AD18" s="101">
        <v>24000</v>
      </c>
      <c r="AE18" s="101">
        <v>27500</v>
      </c>
      <c r="AF18" s="101">
        <v>33300</v>
      </c>
      <c r="AG18" s="101">
        <v>42300</v>
      </c>
      <c r="AH18" s="101">
        <v>64900</v>
      </c>
    </row>
    <row r="19" spans="1:34">
      <c r="A19" s="99">
        <v>1989</v>
      </c>
      <c r="B19" s="101">
        <v>52700</v>
      </c>
      <c r="C19" s="101">
        <v>12300</v>
      </c>
      <c r="D19" s="101">
        <v>20100</v>
      </c>
      <c r="E19" s="101">
        <v>27700</v>
      </c>
      <c r="F19" s="101">
        <v>35800</v>
      </c>
      <c r="G19" s="101">
        <v>43400</v>
      </c>
      <c r="H19" s="101">
        <v>51100</v>
      </c>
      <c r="I19" s="101">
        <v>59600</v>
      </c>
      <c r="J19" s="101">
        <v>69700</v>
      </c>
      <c r="K19" s="101">
        <v>84900</v>
      </c>
      <c r="L19" s="101">
        <v>122700</v>
      </c>
      <c r="M19" s="202">
        <v>61600</v>
      </c>
      <c r="N19" s="101">
        <v>18900</v>
      </c>
      <c r="O19" s="101">
        <v>30600</v>
      </c>
      <c r="P19" s="101">
        <v>38600</v>
      </c>
      <c r="Q19" s="101">
        <v>45700</v>
      </c>
      <c r="R19" s="101">
        <v>53100</v>
      </c>
      <c r="S19" s="101">
        <v>60200</v>
      </c>
      <c r="T19" s="101">
        <v>68100</v>
      </c>
      <c r="U19" s="101">
        <v>77600</v>
      </c>
      <c r="V19" s="101">
        <v>93000</v>
      </c>
      <c r="W19" s="277">
        <v>130400</v>
      </c>
      <c r="X19" s="101">
        <v>26600</v>
      </c>
      <c r="Y19" s="101">
        <v>7100</v>
      </c>
      <c r="Z19" s="101">
        <v>13000</v>
      </c>
      <c r="AA19" s="101">
        <v>16100</v>
      </c>
      <c r="AB19" s="101">
        <v>18000</v>
      </c>
      <c r="AC19" s="101">
        <v>20300</v>
      </c>
      <c r="AD19" s="101">
        <v>23300</v>
      </c>
      <c r="AE19" s="101">
        <v>28500</v>
      </c>
      <c r="AF19" s="101">
        <v>35700</v>
      </c>
      <c r="AG19" s="101">
        <v>44100</v>
      </c>
      <c r="AH19" s="101">
        <v>59900</v>
      </c>
    </row>
    <row r="20" spans="1:34">
      <c r="A20" s="99">
        <v>1990</v>
      </c>
      <c r="B20" s="101">
        <v>51100</v>
      </c>
      <c r="C20" s="101">
        <v>11600</v>
      </c>
      <c r="D20" s="101">
        <v>19900</v>
      </c>
      <c r="E20" s="101">
        <v>26900</v>
      </c>
      <c r="F20" s="101">
        <v>34400</v>
      </c>
      <c r="G20" s="101">
        <v>41800</v>
      </c>
      <c r="H20" s="101">
        <v>50000</v>
      </c>
      <c r="I20" s="101">
        <v>58700</v>
      </c>
      <c r="J20" s="101">
        <v>68800</v>
      </c>
      <c r="K20" s="101">
        <v>81800</v>
      </c>
      <c r="L20" s="101">
        <v>117600</v>
      </c>
      <c r="M20" s="202">
        <v>59800</v>
      </c>
      <c r="N20" s="101">
        <v>19000</v>
      </c>
      <c r="O20" s="101">
        <v>29700</v>
      </c>
      <c r="P20" s="101">
        <v>36800</v>
      </c>
      <c r="Q20" s="101">
        <v>44300</v>
      </c>
      <c r="R20" s="101">
        <v>52000</v>
      </c>
      <c r="S20" s="101">
        <v>59200</v>
      </c>
      <c r="T20" s="101">
        <v>66900</v>
      </c>
      <c r="U20" s="101">
        <v>76400</v>
      </c>
      <c r="V20" s="101">
        <v>88300</v>
      </c>
      <c r="W20" s="277">
        <v>125800</v>
      </c>
      <c r="X20" s="101">
        <v>26200</v>
      </c>
      <c r="Y20" s="101">
        <v>5700</v>
      </c>
      <c r="Z20" s="101">
        <v>11900</v>
      </c>
      <c r="AA20" s="101">
        <v>15900</v>
      </c>
      <c r="AB20" s="101">
        <v>18000</v>
      </c>
      <c r="AC20" s="101">
        <v>20100</v>
      </c>
      <c r="AD20" s="101">
        <v>23000</v>
      </c>
      <c r="AE20" s="101">
        <v>27600</v>
      </c>
      <c r="AF20" s="101">
        <v>35000</v>
      </c>
      <c r="AG20" s="101">
        <v>44000</v>
      </c>
      <c r="AH20" s="101">
        <v>60700</v>
      </c>
    </row>
    <row r="21" spans="1:34">
      <c r="A21" s="99">
        <v>1991</v>
      </c>
      <c r="B21" s="101">
        <v>49700</v>
      </c>
      <c r="C21" s="101">
        <v>10900</v>
      </c>
      <c r="D21" s="101">
        <v>19000</v>
      </c>
      <c r="E21" s="101">
        <v>25700</v>
      </c>
      <c r="F21" s="101">
        <v>32500</v>
      </c>
      <c r="G21" s="101">
        <v>39900</v>
      </c>
      <c r="H21" s="101">
        <v>47500</v>
      </c>
      <c r="I21" s="101">
        <v>56500</v>
      </c>
      <c r="J21" s="101">
        <v>67100</v>
      </c>
      <c r="K21" s="101">
        <v>82300</v>
      </c>
      <c r="L21" s="101">
        <v>115700</v>
      </c>
      <c r="M21" s="202">
        <v>58200</v>
      </c>
      <c r="N21" s="101">
        <v>17500</v>
      </c>
      <c r="O21" s="101">
        <v>28500</v>
      </c>
      <c r="P21" s="101">
        <v>35100</v>
      </c>
      <c r="Q21" s="101">
        <v>42000</v>
      </c>
      <c r="R21" s="101">
        <v>48700</v>
      </c>
      <c r="S21" s="101">
        <v>56500</v>
      </c>
      <c r="T21" s="101">
        <v>65000</v>
      </c>
      <c r="U21" s="101">
        <v>76100</v>
      </c>
      <c r="V21" s="101">
        <v>89400</v>
      </c>
      <c r="W21" s="277">
        <v>123100</v>
      </c>
      <c r="X21" s="101">
        <v>26000</v>
      </c>
      <c r="Y21" s="101">
        <v>6000</v>
      </c>
      <c r="Z21" s="101">
        <v>10800</v>
      </c>
      <c r="AA21" s="101">
        <v>15500</v>
      </c>
      <c r="AB21" s="101">
        <v>17800</v>
      </c>
      <c r="AC21" s="101">
        <v>19900</v>
      </c>
      <c r="AD21" s="101">
        <v>22300</v>
      </c>
      <c r="AE21" s="101">
        <v>26700</v>
      </c>
      <c r="AF21" s="101">
        <v>33300</v>
      </c>
      <c r="AG21" s="101">
        <v>44000</v>
      </c>
      <c r="AH21" s="101">
        <v>63900</v>
      </c>
    </row>
    <row r="22" spans="1:34">
      <c r="A22" s="99">
        <v>1992</v>
      </c>
      <c r="B22" s="101">
        <v>49900</v>
      </c>
      <c r="C22" s="101">
        <v>10900</v>
      </c>
      <c r="D22" s="101">
        <v>18500</v>
      </c>
      <c r="E22" s="101">
        <v>25100</v>
      </c>
      <c r="F22" s="101">
        <v>32200</v>
      </c>
      <c r="G22" s="101">
        <v>40000</v>
      </c>
      <c r="H22" s="101">
        <v>47600</v>
      </c>
      <c r="I22" s="101">
        <v>56400</v>
      </c>
      <c r="J22" s="101">
        <v>67500</v>
      </c>
      <c r="K22" s="101">
        <v>82300</v>
      </c>
      <c r="L22" s="101">
        <v>118800</v>
      </c>
      <c r="M22" s="202">
        <v>59300</v>
      </c>
      <c r="N22" s="101">
        <v>17700</v>
      </c>
      <c r="O22" s="101">
        <v>28600</v>
      </c>
      <c r="P22" s="101">
        <v>35900</v>
      </c>
      <c r="Q22" s="101">
        <v>43700</v>
      </c>
      <c r="R22" s="101">
        <v>50000</v>
      </c>
      <c r="S22" s="101">
        <v>57600</v>
      </c>
      <c r="T22" s="101">
        <v>66200</v>
      </c>
      <c r="U22" s="101">
        <v>76300</v>
      </c>
      <c r="V22" s="101">
        <v>90400</v>
      </c>
      <c r="W22" s="277">
        <v>126700</v>
      </c>
      <c r="X22" s="101">
        <v>24100</v>
      </c>
      <c r="Y22" s="101">
        <v>5700</v>
      </c>
      <c r="Z22" s="101">
        <v>11600</v>
      </c>
      <c r="AA22" s="101">
        <v>14900</v>
      </c>
      <c r="AB22" s="101">
        <v>17000</v>
      </c>
      <c r="AC22" s="101">
        <v>19000</v>
      </c>
      <c r="AD22" s="101">
        <v>21800</v>
      </c>
      <c r="AE22" s="101">
        <v>25200</v>
      </c>
      <c r="AF22" s="101">
        <v>31200</v>
      </c>
      <c r="AG22" s="101">
        <v>39200</v>
      </c>
      <c r="AH22" s="101">
        <v>55600</v>
      </c>
    </row>
    <row r="23" spans="1:34">
      <c r="A23" s="99">
        <v>1993</v>
      </c>
      <c r="B23" s="101">
        <v>49300</v>
      </c>
      <c r="C23" s="101">
        <v>10400</v>
      </c>
      <c r="D23" s="101">
        <v>18300</v>
      </c>
      <c r="E23" s="101">
        <v>25100</v>
      </c>
      <c r="F23" s="101">
        <v>32800</v>
      </c>
      <c r="G23" s="101">
        <v>40100</v>
      </c>
      <c r="H23" s="101">
        <v>48700</v>
      </c>
      <c r="I23" s="101">
        <v>56600</v>
      </c>
      <c r="J23" s="101">
        <v>66500</v>
      </c>
      <c r="K23" s="101">
        <v>80400</v>
      </c>
      <c r="L23" s="101">
        <v>113800</v>
      </c>
      <c r="M23" s="202">
        <v>58100</v>
      </c>
      <c r="N23" s="101">
        <v>16800</v>
      </c>
      <c r="O23" s="101">
        <v>29100</v>
      </c>
      <c r="P23" s="101">
        <v>36200</v>
      </c>
      <c r="Q23" s="101">
        <v>43000</v>
      </c>
      <c r="R23" s="101">
        <v>50400</v>
      </c>
      <c r="S23" s="101">
        <v>57100</v>
      </c>
      <c r="T23" s="101">
        <v>65000</v>
      </c>
      <c r="U23" s="101">
        <v>74500</v>
      </c>
      <c r="V23" s="101">
        <v>88000</v>
      </c>
      <c r="W23" s="277">
        <v>121000</v>
      </c>
      <c r="X23" s="101">
        <v>24800</v>
      </c>
      <c r="Y23" s="101">
        <v>5700</v>
      </c>
      <c r="Z23" s="101">
        <v>10700</v>
      </c>
      <c r="AA23" s="101">
        <v>15200</v>
      </c>
      <c r="AB23" s="101">
        <v>16700</v>
      </c>
      <c r="AC23" s="101">
        <v>19000</v>
      </c>
      <c r="AD23" s="101">
        <v>21700</v>
      </c>
      <c r="AE23" s="101">
        <v>25200</v>
      </c>
      <c r="AF23" s="101">
        <v>31400</v>
      </c>
      <c r="AG23" s="101">
        <v>41900</v>
      </c>
      <c r="AH23" s="101">
        <v>60100</v>
      </c>
    </row>
    <row r="24" spans="1:34">
      <c r="A24" s="99">
        <v>1994</v>
      </c>
      <c r="B24" s="101">
        <v>48800</v>
      </c>
      <c r="C24" s="101">
        <v>10100</v>
      </c>
      <c r="D24" s="101">
        <v>18700</v>
      </c>
      <c r="E24" s="101">
        <v>24800</v>
      </c>
      <c r="F24" s="101">
        <v>32800</v>
      </c>
      <c r="G24" s="101">
        <v>40300</v>
      </c>
      <c r="H24" s="101">
        <v>47700</v>
      </c>
      <c r="I24" s="101">
        <v>55700</v>
      </c>
      <c r="J24" s="101">
        <v>65700</v>
      </c>
      <c r="K24" s="101">
        <v>79200</v>
      </c>
      <c r="L24" s="101">
        <v>112800</v>
      </c>
      <c r="M24" s="202">
        <v>57500</v>
      </c>
      <c r="N24" s="101">
        <v>16400</v>
      </c>
      <c r="O24" s="101">
        <v>28500</v>
      </c>
      <c r="P24" s="101">
        <v>36300</v>
      </c>
      <c r="Q24" s="101">
        <v>43100</v>
      </c>
      <c r="R24" s="101">
        <v>49400</v>
      </c>
      <c r="S24" s="101">
        <v>56400</v>
      </c>
      <c r="T24" s="101">
        <v>64500</v>
      </c>
      <c r="U24" s="101">
        <v>73400</v>
      </c>
      <c r="V24" s="101">
        <v>87300</v>
      </c>
      <c r="W24" s="277">
        <v>119700</v>
      </c>
      <c r="X24" s="101">
        <v>24900</v>
      </c>
      <c r="Y24" s="101">
        <v>5300</v>
      </c>
      <c r="Z24" s="101">
        <v>11000</v>
      </c>
      <c r="AA24" s="101">
        <v>15100</v>
      </c>
      <c r="AB24" s="101">
        <v>17600</v>
      </c>
      <c r="AC24" s="101">
        <v>19800</v>
      </c>
      <c r="AD24" s="101">
        <v>22200</v>
      </c>
      <c r="AE24" s="101">
        <v>25600</v>
      </c>
      <c r="AF24" s="101">
        <v>32200</v>
      </c>
      <c r="AG24" s="101">
        <v>42000</v>
      </c>
      <c r="AH24" s="101">
        <v>58100</v>
      </c>
    </row>
    <row r="25" spans="1:34">
      <c r="A25" s="99">
        <v>1995</v>
      </c>
      <c r="B25" s="101">
        <v>49100</v>
      </c>
      <c r="C25" s="101">
        <v>10900</v>
      </c>
      <c r="D25" s="101">
        <v>19100</v>
      </c>
      <c r="E25" s="101">
        <v>25200</v>
      </c>
      <c r="F25" s="101">
        <v>32200</v>
      </c>
      <c r="G25" s="101">
        <v>39500</v>
      </c>
      <c r="H25" s="101">
        <v>47200</v>
      </c>
      <c r="I25" s="101">
        <v>55200</v>
      </c>
      <c r="J25" s="101">
        <v>66400</v>
      </c>
      <c r="K25" s="101">
        <v>80100</v>
      </c>
      <c r="L25" s="101">
        <v>115200</v>
      </c>
      <c r="M25" s="202">
        <v>57500</v>
      </c>
      <c r="N25" s="101">
        <v>17000</v>
      </c>
      <c r="O25" s="101">
        <v>27600</v>
      </c>
      <c r="P25" s="101">
        <v>35000</v>
      </c>
      <c r="Q25" s="101">
        <v>41800</v>
      </c>
      <c r="R25" s="101">
        <v>48700</v>
      </c>
      <c r="S25" s="101">
        <v>55800</v>
      </c>
      <c r="T25" s="101">
        <v>65000</v>
      </c>
      <c r="U25" s="101">
        <v>74500</v>
      </c>
      <c r="V25" s="101">
        <v>87300</v>
      </c>
      <c r="W25" s="277">
        <v>122600</v>
      </c>
      <c r="X25" s="101">
        <v>26200</v>
      </c>
      <c r="Y25" s="101">
        <v>5700</v>
      </c>
      <c r="Z25" s="101">
        <v>11300</v>
      </c>
      <c r="AA25" s="101">
        <v>16000</v>
      </c>
      <c r="AB25" s="101">
        <v>18300</v>
      </c>
      <c r="AC25" s="101">
        <v>20300</v>
      </c>
      <c r="AD25" s="101">
        <v>23200</v>
      </c>
      <c r="AE25" s="101">
        <v>27600</v>
      </c>
      <c r="AF25" s="101">
        <v>33800</v>
      </c>
      <c r="AG25" s="101">
        <v>43500</v>
      </c>
      <c r="AH25" s="101">
        <v>62200</v>
      </c>
    </row>
    <row r="26" spans="1:34">
      <c r="A26" s="99">
        <v>1996</v>
      </c>
      <c r="B26" s="101">
        <v>49000</v>
      </c>
      <c r="C26" s="101">
        <v>10300</v>
      </c>
      <c r="D26" s="101">
        <v>18600</v>
      </c>
      <c r="E26" s="101">
        <v>24600</v>
      </c>
      <c r="F26" s="101">
        <v>32000</v>
      </c>
      <c r="G26" s="101">
        <v>39000</v>
      </c>
      <c r="H26" s="101">
        <v>46600</v>
      </c>
      <c r="I26" s="101">
        <v>55700</v>
      </c>
      <c r="J26" s="101">
        <v>65900</v>
      </c>
      <c r="K26" s="101">
        <v>79900</v>
      </c>
      <c r="L26" s="101">
        <v>117600</v>
      </c>
      <c r="M26" s="202">
        <v>58300</v>
      </c>
      <c r="N26" s="101">
        <v>17000</v>
      </c>
      <c r="O26" s="101">
        <v>28400</v>
      </c>
      <c r="P26" s="101">
        <v>35600</v>
      </c>
      <c r="Q26" s="101">
        <v>42100</v>
      </c>
      <c r="R26" s="101">
        <v>49000</v>
      </c>
      <c r="S26" s="101">
        <v>56900</v>
      </c>
      <c r="T26" s="101">
        <v>64600</v>
      </c>
      <c r="U26" s="101">
        <v>74200</v>
      </c>
      <c r="V26" s="101">
        <v>88500</v>
      </c>
      <c r="W26" s="277">
        <v>126300</v>
      </c>
      <c r="X26" s="101">
        <v>24700</v>
      </c>
      <c r="Y26" s="101">
        <v>5300</v>
      </c>
      <c r="Z26" s="101">
        <v>11100</v>
      </c>
      <c r="AA26" s="101">
        <v>15100</v>
      </c>
      <c r="AB26" s="101">
        <v>17300</v>
      </c>
      <c r="AC26" s="101">
        <v>19800</v>
      </c>
      <c r="AD26" s="101">
        <v>22300</v>
      </c>
      <c r="AE26" s="101">
        <v>25900</v>
      </c>
      <c r="AF26" s="101">
        <v>31700</v>
      </c>
      <c r="AG26" s="101">
        <v>39900</v>
      </c>
      <c r="AH26" s="101">
        <v>58600</v>
      </c>
    </row>
    <row r="27" spans="1:34">
      <c r="A27" s="99">
        <v>1997</v>
      </c>
      <c r="B27" s="101">
        <v>48400</v>
      </c>
      <c r="C27" s="101">
        <v>9000</v>
      </c>
      <c r="D27" s="101">
        <v>17900</v>
      </c>
      <c r="E27" s="101">
        <v>24200</v>
      </c>
      <c r="F27" s="101">
        <v>31500</v>
      </c>
      <c r="G27" s="101">
        <v>38800</v>
      </c>
      <c r="H27" s="101">
        <v>46700</v>
      </c>
      <c r="I27" s="101">
        <v>55300</v>
      </c>
      <c r="J27" s="101">
        <v>65600</v>
      </c>
      <c r="K27" s="101">
        <v>78900</v>
      </c>
      <c r="L27" s="101">
        <v>116300</v>
      </c>
      <c r="M27" s="202">
        <v>57400</v>
      </c>
      <c r="N27" s="101">
        <v>16400</v>
      </c>
      <c r="O27" s="101">
        <v>27800</v>
      </c>
      <c r="P27" s="101">
        <v>34800</v>
      </c>
      <c r="Q27" s="101">
        <v>41800</v>
      </c>
      <c r="R27" s="101">
        <v>48900</v>
      </c>
      <c r="S27" s="101">
        <v>56200</v>
      </c>
      <c r="T27" s="101">
        <v>64300</v>
      </c>
      <c r="U27" s="101">
        <v>73100</v>
      </c>
      <c r="V27" s="101">
        <v>86800</v>
      </c>
      <c r="W27" s="277">
        <v>124300</v>
      </c>
      <c r="X27" s="101">
        <v>25000</v>
      </c>
      <c r="Y27" s="101">
        <v>4400</v>
      </c>
      <c r="Z27" s="101">
        <v>9600</v>
      </c>
      <c r="AA27" s="101">
        <v>13200</v>
      </c>
      <c r="AB27" s="101">
        <v>16700</v>
      </c>
      <c r="AC27" s="101">
        <v>19200</v>
      </c>
      <c r="AD27" s="101">
        <v>22000</v>
      </c>
      <c r="AE27" s="101">
        <v>26000</v>
      </c>
      <c r="AF27" s="101">
        <v>32300</v>
      </c>
      <c r="AG27" s="101">
        <v>41900</v>
      </c>
      <c r="AH27" s="101">
        <v>64700</v>
      </c>
    </row>
    <row r="28" spans="1:34">
      <c r="A28" s="99">
        <v>1998</v>
      </c>
      <c r="B28" s="101">
        <v>50800</v>
      </c>
      <c r="C28" s="101">
        <v>10100</v>
      </c>
      <c r="D28" s="101">
        <v>18700</v>
      </c>
      <c r="E28" s="101">
        <v>24800</v>
      </c>
      <c r="F28" s="101">
        <v>32400</v>
      </c>
      <c r="G28" s="101">
        <v>39100</v>
      </c>
      <c r="H28" s="101">
        <v>47400</v>
      </c>
      <c r="I28" s="101">
        <v>57200</v>
      </c>
      <c r="J28" s="101">
        <v>68100</v>
      </c>
      <c r="K28" s="101">
        <v>82600</v>
      </c>
      <c r="L28" s="101">
        <v>127200</v>
      </c>
      <c r="M28" s="202">
        <v>60500</v>
      </c>
      <c r="N28" s="101">
        <v>16500</v>
      </c>
      <c r="O28" s="101">
        <v>28400</v>
      </c>
      <c r="P28" s="101">
        <v>35800</v>
      </c>
      <c r="Q28" s="101">
        <v>43100</v>
      </c>
      <c r="R28" s="101">
        <v>50600</v>
      </c>
      <c r="S28" s="101">
        <v>58500</v>
      </c>
      <c r="T28" s="101">
        <v>67000</v>
      </c>
      <c r="U28" s="101">
        <v>77000</v>
      </c>
      <c r="V28" s="101">
        <v>90300</v>
      </c>
      <c r="W28" s="277">
        <v>137600</v>
      </c>
      <c r="X28" s="101">
        <v>25800</v>
      </c>
      <c r="Y28" s="101">
        <v>5600</v>
      </c>
      <c r="Z28" s="101">
        <v>11400</v>
      </c>
      <c r="AA28" s="101">
        <v>15200</v>
      </c>
      <c r="AB28" s="101">
        <v>17700</v>
      </c>
      <c r="AC28" s="101">
        <v>20000</v>
      </c>
      <c r="AD28" s="101">
        <v>22200</v>
      </c>
      <c r="AE28" s="101">
        <v>27500</v>
      </c>
      <c r="AF28" s="101">
        <v>32800</v>
      </c>
      <c r="AG28" s="101">
        <v>40100</v>
      </c>
      <c r="AH28" s="101">
        <v>65400</v>
      </c>
    </row>
    <row r="29" spans="1:34">
      <c r="A29" s="99">
        <v>1999</v>
      </c>
      <c r="B29" s="101">
        <v>52200</v>
      </c>
      <c r="C29" s="101">
        <v>10500</v>
      </c>
      <c r="D29" s="101">
        <v>19300</v>
      </c>
      <c r="E29" s="101">
        <v>26500</v>
      </c>
      <c r="F29" s="101">
        <v>33700</v>
      </c>
      <c r="G29" s="101">
        <v>40900</v>
      </c>
      <c r="H29" s="101">
        <v>49900</v>
      </c>
      <c r="I29" s="101">
        <v>59000</v>
      </c>
      <c r="J29" s="101">
        <v>70600</v>
      </c>
      <c r="K29" s="101">
        <v>86000</v>
      </c>
      <c r="L29" s="101">
        <v>125400</v>
      </c>
      <c r="M29" s="202">
        <v>62400</v>
      </c>
      <c r="N29" s="101">
        <v>18400</v>
      </c>
      <c r="O29" s="101">
        <v>30000</v>
      </c>
      <c r="P29" s="101">
        <v>37400</v>
      </c>
      <c r="Q29" s="101">
        <v>45400</v>
      </c>
      <c r="R29" s="101">
        <v>53400</v>
      </c>
      <c r="S29" s="101">
        <v>60600</v>
      </c>
      <c r="T29" s="101">
        <v>69700</v>
      </c>
      <c r="U29" s="101">
        <v>80200</v>
      </c>
      <c r="V29" s="101">
        <v>94100</v>
      </c>
      <c r="W29" s="277">
        <v>134500</v>
      </c>
      <c r="X29" s="101">
        <v>26300</v>
      </c>
      <c r="Y29" s="101">
        <v>3900</v>
      </c>
      <c r="Z29" s="101">
        <v>11300</v>
      </c>
      <c r="AA29" s="101">
        <v>16200</v>
      </c>
      <c r="AB29" s="101">
        <v>18200</v>
      </c>
      <c r="AC29" s="101">
        <v>20400</v>
      </c>
      <c r="AD29" s="101">
        <v>23800</v>
      </c>
      <c r="AE29" s="101">
        <v>29500</v>
      </c>
      <c r="AF29" s="101">
        <v>34800</v>
      </c>
      <c r="AG29" s="101">
        <v>41400</v>
      </c>
      <c r="AH29" s="101">
        <v>64000</v>
      </c>
    </row>
    <row r="30" spans="1:34">
      <c r="A30" s="99">
        <v>2000</v>
      </c>
      <c r="B30" s="101">
        <v>53400</v>
      </c>
      <c r="C30" s="101">
        <v>9800</v>
      </c>
      <c r="D30" s="101">
        <v>19200</v>
      </c>
      <c r="E30" s="101">
        <v>26300</v>
      </c>
      <c r="F30" s="101">
        <v>34100</v>
      </c>
      <c r="G30" s="101">
        <v>41600</v>
      </c>
      <c r="H30" s="101">
        <v>49700</v>
      </c>
      <c r="I30" s="101">
        <v>58900</v>
      </c>
      <c r="J30" s="101">
        <v>71100</v>
      </c>
      <c r="K30" s="101">
        <v>88500</v>
      </c>
      <c r="L30" s="101">
        <v>134800</v>
      </c>
      <c r="M30" s="202">
        <v>64600</v>
      </c>
      <c r="N30" s="101">
        <v>18900</v>
      </c>
      <c r="O30" s="101">
        <v>31300</v>
      </c>
      <c r="P30" s="101">
        <v>39000</v>
      </c>
      <c r="Q30" s="101">
        <v>46200</v>
      </c>
      <c r="R30" s="101">
        <v>53000</v>
      </c>
      <c r="S30" s="101">
        <v>61200</v>
      </c>
      <c r="T30" s="101">
        <v>70200</v>
      </c>
      <c r="U30" s="101">
        <v>81800</v>
      </c>
      <c r="V30" s="101">
        <v>98400</v>
      </c>
      <c r="W30" s="277">
        <v>145900</v>
      </c>
      <c r="X30" s="101">
        <v>25600</v>
      </c>
      <c r="Y30" s="101">
        <v>4800</v>
      </c>
      <c r="Z30" s="101">
        <v>10000</v>
      </c>
      <c r="AA30" s="101">
        <v>15700</v>
      </c>
      <c r="AB30" s="101">
        <v>17700</v>
      </c>
      <c r="AC30" s="101">
        <v>19900</v>
      </c>
      <c r="AD30" s="101">
        <v>22300</v>
      </c>
      <c r="AE30" s="101">
        <v>27200</v>
      </c>
      <c r="AF30" s="101">
        <v>33200</v>
      </c>
      <c r="AG30" s="101">
        <v>41000</v>
      </c>
      <c r="AH30" s="101">
        <v>63900</v>
      </c>
    </row>
    <row r="31" spans="1:34">
      <c r="A31" s="99">
        <v>2001</v>
      </c>
      <c r="B31" s="101">
        <v>55000</v>
      </c>
      <c r="C31" s="101">
        <v>10300</v>
      </c>
      <c r="D31" s="101">
        <v>19300</v>
      </c>
      <c r="E31" s="101">
        <v>26500</v>
      </c>
      <c r="F31" s="101">
        <v>34600</v>
      </c>
      <c r="G31" s="101">
        <v>42300</v>
      </c>
      <c r="H31" s="101">
        <v>51500</v>
      </c>
      <c r="I31" s="101">
        <v>61200</v>
      </c>
      <c r="J31" s="101">
        <v>72600</v>
      </c>
      <c r="K31" s="101">
        <v>90600</v>
      </c>
      <c r="L31" s="101">
        <v>141300</v>
      </c>
      <c r="M31" s="202">
        <v>66000</v>
      </c>
      <c r="N31" s="101">
        <v>18500</v>
      </c>
      <c r="O31" s="101">
        <v>31600</v>
      </c>
      <c r="P31" s="101">
        <v>39600</v>
      </c>
      <c r="Q31" s="101">
        <v>47500</v>
      </c>
      <c r="R31" s="101">
        <v>55200</v>
      </c>
      <c r="S31" s="101">
        <v>63000</v>
      </c>
      <c r="T31" s="101">
        <v>71500</v>
      </c>
      <c r="U31" s="101">
        <v>83400</v>
      </c>
      <c r="V31" s="101">
        <v>100600</v>
      </c>
      <c r="W31" s="277">
        <v>148700</v>
      </c>
      <c r="X31" s="101">
        <v>28200</v>
      </c>
      <c r="Y31" s="101">
        <v>5100</v>
      </c>
      <c r="Z31" s="101">
        <v>10700</v>
      </c>
      <c r="AA31" s="101">
        <v>15500</v>
      </c>
      <c r="AB31" s="101">
        <v>18000</v>
      </c>
      <c r="AC31" s="101">
        <v>20700</v>
      </c>
      <c r="AD31" s="101">
        <v>24000</v>
      </c>
      <c r="AE31" s="101">
        <v>28600</v>
      </c>
      <c r="AF31" s="101">
        <v>34000</v>
      </c>
      <c r="AG31" s="101">
        <v>42300</v>
      </c>
      <c r="AH31" s="101">
        <v>82700</v>
      </c>
    </row>
    <row r="32" spans="1:34">
      <c r="A32" s="99">
        <v>2002</v>
      </c>
      <c r="B32" s="101">
        <v>54100</v>
      </c>
      <c r="C32" s="101">
        <v>10300</v>
      </c>
      <c r="D32" s="101">
        <v>19100</v>
      </c>
      <c r="E32" s="101">
        <v>25700</v>
      </c>
      <c r="F32" s="101">
        <v>33500</v>
      </c>
      <c r="G32" s="101">
        <v>41100</v>
      </c>
      <c r="H32" s="101">
        <v>50700</v>
      </c>
      <c r="I32" s="101">
        <v>60900</v>
      </c>
      <c r="J32" s="101">
        <v>73600</v>
      </c>
      <c r="K32" s="101">
        <v>89200</v>
      </c>
      <c r="L32" s="101">
        <v>137300</v>
      </c>
      <c r="M32" s="202">
        <v>65900</v>
      </c>
      <c r="N32" s="101">
        <v>18400</v>
      </c>
      <c r="O32" s="101">
        <v>31500</v>
      </c>
      <c r="P32" s="101">
        <v>38700</v>
      </c>
      <c r="Q32" s="101">
        <v>47200</v>
      </c>
      <c r="R32" s="101">
        <v>55300</v>
      </c>
      <c r="S32" s="101">
        <v>63200</v>
      </c>
      <c r="T32" s="101">
        <v>72900</v>
      </c>
      <c r="U32" s="101">
        <v>82900</v>
      </c>
      <c r="V32" s="101">
        <v>99500</v>
      </c>
      <c r="W32" s="277">
        <v>148900</v>
      </c>
      <c r="X32" s="101">
        <v>25500</v>
      </c>
      <c r="Y32" s="101">
        <v>4800</v>
      </c>
      <c r="Z32" s="101">
        <v>10700</v>
      </c>
      <c r="AA32" s="101">
        <v>16100</v>
      </c>
      <c r="AB32" s="101">
        <v>18100</v>
      </c>
      <c r="AC32" s="101">
        <v>20200</v>
      </c>
      <c r="AD32" s="101">
        <v>22600</v>
      </c>
      <c r="AE32" s="101">
        <v>26700</v>
      </c>
      <c r="AF32" s="101">
        <v>31900</v>
      </c>
      <c r="AG32" s="101">
        <v>39700</v>
      </c>
      <c r="AH32" s="101">
        <v>64000</v>
      </c>
    </row>
    <row r="33" spans="1:34">
      <c r="A33" s="99">
        <v>2003</v>
      </c>
      <c r="B33" s="101">
        <v>54200</v>
      </c>
      <c r="C33" s="101">
        <v>9600</v>
      </c>
      <c r="D33" s="101">
        <v>19600</v>
      </c>
      <c r="E33" s="101">
        <v>26300</v>
      </c>
      <c r="F33" s="101">
        <v>33700</v>
      </c>
      <c r="G33" s="101">
        <v>41700</v>
      </c>
      <c r="H33" s="101">
        <v>50300</v>
      </c>
      <c r="I33" s="101">
        <v>60000</v>
      </c>
      <c r="J33" s="101">
        <v>72400</v>
      </c>
      <c r="K33" s="101">
        <v>88200</v>
      </c>
      <c r="L33" s="101">
        <v>140300</v>
      </c>
      <c r="M33" s="202">
        <v>65900</v>
      </c>
      <c r="N33" s="101">
        <v>17600</v>
      </c>
      <c r="O33" s="101">
        <v>31300</v>
      </c>
      <c r="P33" s="101">
        <v>39300</v>
      </c>
      <c r="Q33" s="101">
        <v>47000</v>
      </c>
      <c r="R33" s="101">
        <v>54200</v>
      </c>
      <c r="S33" s="101">
        <v>62700</v>
      </c>
      <c r="T33" s="101">
        <v>71900</v>
      </c>
      <c r="U33" s="101">
        <v>82900</v>
      </c>
      <c r="V33" s="101">
        <v>98200</v>
      </c>
      <c r="W33" s="277">
        <v>153800</v>
      </c>
      <c r="X33" s="101">
        <v>25900</v>
      </c>
      <c r="Y33" s="101">
        <v>3800</v>
      </c>
      <c r="Z33" s="101">
        <v>10600</v>
      </c>
      <c r="AA33" s="101">
        <v>16600</v>
      </c>
      <c r="AB33" s="101">
        <v>19000</v>
      </c>
      <c r="AC33" s="101">
        <v>21200</v>
      </c>
      <c r="AD33" s="101">
        <v>24200</v>
      </c>
      <c r="AE33" s="101">
        <v>27900</v>
      </c>
      <c r="AF33" s="101">
        <v>32700</v>
      </c>
      <c r="AG33" s="101">
        <v>40700</v>
      </c>
      <c r="AH33" s="101">
        <v>62500</v>
      </c>
    </row>
    <row r="34" spans="1:34">
      <c r="A34" s="99">
        <v>2004</v>
      </c>
      <c r="B34" s="101">
        <v>55100</v>
      </c>
      <c r="C34" s="101">
        <v>10300</v>
      </c>
      <c r="D34" s="101">
        <v>19600</v>
      </c>
      <c r="E34" s="101">
        <v>26600</v>
      </c>
      <c r="F34" s="101">
        <v>34100</v>
      </c>
      <c r="G34" s="101">
        <v>42400</v>
      </c>
      <c r="H34" s="101">
        <v>50800</v>
      </c>
      <c r="I34" s="101">
        <v>61200</v>
      </c>
      <c r="J34" s="101">
        <v>73300</v>
      </c>
      <c r="K34" s="101">
        <v>90500</v>
      </c>
      <c r="L34" s="101">
        <v>142100</v>
      </c>
      <c r="M34" s="202">
        <v>67400</v>
      </c>
      <c r="N34" s="101">
        <v>18500</v>
      </c>
      <c r="O34" s="101">
        <v>32300</v>
      </c>
      <c r="P34" s="101">
        <v>40300</v>
      </c>
      <c r="Q34" s="101">
        <v>47600</v>
      </c>
      <c r="R34" s="101">
        <v>55900</v>
      </c>
      <c r="S34" s="101">
        <v>63700</v>
      </c>
      <c r="T34" s="101">
        <v>73300</v>
      </c>
      <c r="U34" s="101">
        <v>84800</v>
      </c>
      <c r="V34" s="101">
        <v>100700</v>
      </c>
      <c r="W34" s="277">
        <v>156800</v>
      </c>
      <c r="X34" s="101">
        <v>25600</v>
      </c>
      <c r="Y34" s="101">
        <v>5200</v>
      </c>
      <c r="Z34" s="101">
        <v>10900</v>
      </c>
      <c r="AA34" s="101">
        <v>16200</v>
      </c>
      <c r="AB34" s="101">
        <v>18900</v>
      </c>
      <c r="AC34" s="101">
        <v>21400</v>
      </c>
      <c r="AD34" s="101">
        <v>23900</v>
      </c>
      <c r="AE34" s="101">
        <v>27700</v>
      </c>
      <c r="AF34" s="101">
        <v>32500</v>
      </c>
      <c r="AG34" s="101">
        <v>40900</v>
      </c>
      <c r="AH34" s="101">
        <v>58600</v>
      </c>
    </row>
    <row r="35" spans="1:34">
      <c r="A35" s="99">
        <v>2005</v>
      </c>
      <c r="B35" s="101">
        <v>54700</v>
      </c>
      <c r="C35" s="101">
        <v>9400</v>
      </c>
      <c r="D35" s="101">
        <v>19100</v>
      </c>
      <c r="E35" s="101">
        <v>26700</v>
      </c>
      <c r="F35" s="101">
        <v>35100</v>
      </c>
      <c r="G35" s="101">
        <v>43300</v>
      </c>
      <c r="H35" s="101">
        <v>51000</v>
      </c>
      <c r="I35" s="101">
        <v>59700</v>
      </c>
      <c r="J35" s="101">
        <v>72200</v>
      </c>
      <c r="K35" s="101">
        <v>90400</v>
      </c>
      <c r="L35" s="101">
        <v>139800</v>
      </c>
      <c r="M35" s="202">
        <v>66400</v>
      </c>
      <c r="N35" s="101">
        <v>18400</v>
      </c>
      <c r="O35" s="101">
        <v>32300</v>
      </c>
      <c r="P35" s="101">
        <v>40100</v>
      </c>
      <c r="Q35" s="101">
        <v>47500</v>
      </c>
      <c r="R35" s="101">
        <v>54400</v>
      </c>
      <c r="S35" s="101">
        <v>61800</v>
      </c>
      <c r="T35" s="101">
        <v>71800</v>
      </c>
      <c r="U35" s="101">
        <v>84100</v>
      </c>
      <c r="V35" s="101">
        <v>101600</v>
      </c>
      <c r="W35" s="277">
        <v>152300</v>
      </c>
      <c r="X35" s="101">
        <v>26300</v>
      </c>
      <c r="Y35" s="101">
        <v>5200</v>
      </c>
      <c r="Z35" s="101">
        <v>9400</v>
      </c>
      <c r="AA35" s="101">
        <v>14300</v>
      </c>
      <c r="AB35" s="101">
        <v>17700</v>
      </c>
      <c r="AC35" s="101">
        <v>20700</v>
      </c>
      <c r="AD35" s="101">
        <v>23900</v>
      </c>
      <c r="AE35" s="101">
        <v>28900</v>
      </c>
      <c r="AF35" s="101">
        <v>35000</v>
      </c>
      <c r="AG35" s="101">
        <v>44800</v>
      </c>
      <c r="AH35" s="101">
        <v>63200</v>
      </c>
    </row>
    <row r="36" spans="1:34">
      <c r="A36" s="99">
        <v>2006</v>
      </c>
      <c r="B36" s="101">
        <v>55800</v>
      </c>
      <c r="C36" s="101">
        <v>9800</v>
      </c>
      <c r="D36" s="101">
        <v>20200</v>
      </c>
      <c r="E36" s="101">
        <v>27900</v>
      </c>
      <c r="F36" s="101">
        <v>35500</v>
      </c>
      <c r="G36" s="101">
        <v>43500</v>
      </c>
      <c r="H36" s="101">
        <v>51900</v>
      </c>
      <c r="I36" s="101">
        <v>61300</v>
      </c>
      <c r="J36" s="101">
        <v>73400</v>
      </c>
      <c r="K36" s="101">
        <v>91600</v>
      </c>
      <c r="L36" s="101">
        <v>142800</v>
      </c>
      <c r="M36" s="202">
        <v>69300</v>
      </c>
      <c r="N36" s="101">
        <v>22000</v>
      </c>
      <c r="O36" s="101">
        <v>34300</v>
      </c>
      <c r="P36" s="101">
        <v>42000</v>
      </c>
      <c r="Q36" s="101">
        <v>49300</v>
      </c>
      <c r="R36" s="101">
        <v>57300</v>
      </c>
      <c r="S36" s="101">
        <v>65200</v>
      </c>
      <c r="T36" s="101">
        <v>74300</v>
      </c>
      <c r="U36" s="101">
        <v>86600</v>
      </c>
      <c r="V36" s="101">
        <v>104500</v>
      </c>
      <c r="W36" s="277">
        <v>157900</v>
      </c>
      <c r="X36" s="101">
        <v>27200</v>
      </c>
      <c r="Y36" s="101">
        <v>4600</v>
      </c>
      <c r="Z36" s="101">
        <v>10400</v>
      </c>
      <c r="AA36" s="101">
        <v>15900</v>
      </c>
      <c r="AB36" s="101">
        <v>18900</v>
      </c>
      <c r="AC36" s="101">
        <v>22100</v>
      </c>
      <c r="AD36" s="101">
        <v>25600</v>
      </c>
      <c r="AE36" s="101">
        <v>30000</v>
      </c>
      <c r="AF36" s="101">
        <v>36700</v>
      </c>
      <c r="AG36" s="101">
        <v>45500</v>
      </c>
      <c r="AH36" s="101">
        <v>62700</v>
      </c>
    </row>
    <row r="37" spans="1:34">
      <c r="A37" s="99">
        <v>2007</v>
      </c>
      <c r="B37" s="101">
        <v>58200</v>
      </c>
      <c r="C37" s="101">
        <v>11500</v>
      </c>
      <c r="D37" s="101">
        <v>21300</v>
      </c>
      <c r="E37" s="101">
        <v>29000</v>
      </c>
      <c r="F37" s="101">
        <v>36800</v>
      </c>
      <c r="G37" s="101">
        <v>44900</v>
      </c>
      <c r="H37" s="101">
        <v>54200</v>
      </c>
      <c r="I37" s="101">
        <v>63800</v>
      </c>
      <c r="J37" s="101">
        <v>77100</v>
      </c>
      <c r="K37" s="101">
        <v>95700</v>
      </c>
      <c r="L37" s="101">
        <v>147400</v>
      </c>
      <c r="M37" s="202">
        <v>71700</v>
      </c>
      <c r="N37" s="101">
        <v>21700</v>
      </c>
      <c r="O37" s="101">
        <v>35400</v>
      </c>
      <c r="P37" s="101">
        <v>43100</v>
      </c>
      <c r="Q37" s="101">
        <v>51300</v>
      </c>
      <c r="R37" s="101">
        <v>59200</v>
      </c>
      <c r="S37" s="101">
        <v>67900</v>
      </c>
      <c r="T37" s="101">
        <v>78100</v>
      </c>
      <c r="U37" s="101">
        <v>89900</v>
      </c>
      <c r="V37" s="101">
        <v>109200</v>
      </c>
      <c r="W37" s="277">
        <v>161300</v>
      </c>
      <c r="X37" s="101">
        <v>29700</v>
      </c>
      <c r="Y37" s="101">
        <v>6300</v>
      </c>
      <c r="Z37" s="101">
        <v>13000</v>
      </c>
      <c r="AA37" s="101">
        <v>18000</v>
      </c>
      <c r="AB37" s="101">
        <v>20800</v>
      </c>
      <c r="AC37" s="101">
        <v>23100</v>
      </c>
      <c r="AD37" s="101">
        <v>26800</v>
      </c>
      <c r="AE37" s="101">
        <v>31800</v>
      </c>
      <c r="AF37" s="101">
        <v>38300</v>
      </c>
      <c r="AG37" s="101">
        <v>48100</v>
      </c>
      <c r="AH37" s="101">
        <v>70700</v>
      </c>
    </row>
    <row r="38" spans="1:34">
      <c r="A38" s="99">
        <v>2008</v>
      </c>
      <c r="B38" s="101">
        <v>58600</v>
      </c>
      <c r="C38" s="101">
        <v>9200</v>
      </c>
      <c r="D38" s="101">
        <v>20600</v>
      </c>
      <c r="E38" s="101">
        <v>30200</v>
      </c>
      <c r="F38" s="101">
        <v>37400</v>
      </c>
      <c r="G38" s="101">
        <v>45200</v>
      </c>
      <c r="H38" s="101">
        <v>54700</v>
      </c>
      <c r="I38" s="101">
        <v>65300</v>
      </c>
      <c r="J38" s="101">
        <v>78400</v>
      </c>
      <c r="K38" s="101">
        <v>98000</v>
      </c>
      <c r="L38" s="101">
        <v>147200</v>
      </c>
      <c r="M38" s="202">
        <v>72400</v>
      </c>
      <c r="N38" s="101">
        <v>23000</v>
      </c>
      <c r="O38" s="101">
        <v>35800</v>
      </c>
      <c r="P38" s="101">
        <v>43700</v>
      </c>
      <c r="Q38" s="101">
        <v>52400</v>
      </c>
      <c r="R38" s="101">
        <v>60600</v>
      </c>
      <c r="S38" s="101">
        <v>69200</v>
      </c>
      <c r="T38" s="101">
        <v>79300</v>
      </c>
      <c r="U38" s="101">
        <v>92300</v>
      </c>
      <c r="V38" s="101">
        <v>110200</v>
      </c>
      <c r="W38" s="277">
        <v>157600</v>
      </c>
      <c r="X38" s="101">
        <v>29600</v>
      </c>
      <c r="Y38" s="101">
        <v>4100</v>
      </c>
      <c r="Z38" s="101">
        <v>10500</v>
      </c>
      <c r="AA38" s="101">
        <v>14900</v>
      </c>
      <c r="AB38" s="101">
        <v>19200</v>
      </c>
      <c r="AC38" s="101">
        <v>22600</v>
      </c>
      <c r="AD38" s="101">
        <v>27100</v>
      </c>
      <c r="AE38" s="101">
        <v>33000</v>
      </c>
      <c r="AF38" s="101">
        <v>38900</v>
      </c>
      <c r="AG38" s="101">
        <v>46900</v>
      </c>
      <c r="AH38" s="101">
        <v>78500</v>
      </c>
    </row>
    <row r="39" spans="1:34">
      <c r="A39" s="99">
        <v>2009</v>
      </c>
      <c r="B39" s="101">
        <v>60600</v>
      </c>
      <c r="C39" s="101">
        <v>9500</v>
      </c>
      <c r="D39" s="101">
        <v>21200</v>
      </c>
      <c r="E39" s="101">
        <v>30700</v>
      </c>
      <c r="F39" s="101">
        <v>37900</v>
      </c>
      <c r="G39" s="101">
        <v>45700</v>
      </c>
      <c r="H39" s="101">
        <v>55700</v>
      </c>
      <c r="I39" s="101">
        <v>67200</v>
      </c>
      <c r="J39" s="101">
        <v>80800</v>
      </c>
      <c r="K39" s="101">
        <v>101800</v>
      </c>
      <c r="L39" s="101">
        <v>155300</v>
      </c>
      <c r="M39" s="202">
        <v>75300</v>
      </c>
      <c r="N39" s="101">
        <v>22600</v>
      </c>
      <c r="O39" s="101">
        <v>36700</v>
      </c>
      <c r="P39" s="101">
        <v>44300</v>
      </c>
      <c r="Q39" s="101">
        <v>53100</v>
      </c>
      <c r="R39" s="101">
        <v>62100</v>
      </c>
      <c r="S39" s="101">
        <v>71500</v>
      </c>
      <c r="T39" s="101">
        <v>82300</v>
      </c>
      <c r="U39" s="101">
        <v>96300</v>
      </c>
      <c r="V39" s="101">
        <v>117000</v>
      </c>
      <c r="W39" s="277">
        <v>166900</v>
      </c>
      <c r="X39" s="101">
        <v>30000</v>
      </c>
      <c r="Y39" s="101">
        <v>4700</v>
      </c>
      <c r="Z39" s="101">
        <v>10900</v>
      </c>
      <c r="AA39" s="101">
        <v>16800</v>
      </c>
      <c r="AB39" s="101">
        <v>20100</v>
      </c>
      <c r="AC39" s="101">
        <v>23100</v>
      </c>
      <c r="AD39" s="101">
        <v>27900</v>
      </c>
      <c r="AE39" s="101">
        <v>33400</v>
      </c>
      <c r="AF39" s="101">
        <v>39100</v>
      </c>
      <c r="AG39" s="101">
        <v>47900</v>
      </c>
      <c r="AH39" s="101">
        <v>76100</v>
      </c>
    </row>
    <row r="40" spans="1:34">
      <c r="A40" s="99">
        <v>2010</v>
      </c>
      <c r="B40" s="101">
        <v>60500</v>
      </c>
      <c r="C40" s="101">
        <v>10800</v>
      </c>
      <c r="D40" s="101">
        <v>21700</v>
      </c>
      <c r="E40" s="101">
        <v>30000</v>
      </c>
      <c r="F40" s="101">
        <v>37700</v>
      </c>
      <c r="G40" s="101">
        <v>45800</v>
      </c>
      <c r="H40" s="101">
        <v>56700</v>
      </c>
      <c r="I40" s="101">
        <v>68900</v>
      </c>
      <c r="J40" s="101">
        <v>81900</v>
      </c>
      <c r="K40" s="101">
        <v>100800</v>
      </c>
      <c r="L40" s="101">
        <v>151000</v>
      </c>
      <c r="M40" s="202">
        <v>75300</v>
      </c>
      <c r="N40" s="101">
        <v>22300</v>
      </c>
      <c r="O40" s="101">
        <v>36300</v>
      </c>
      <c r="P40" s="101">
        <v>44800</v>
      </c>
      <c r="Q40" s="101">
        <v>54600</v>
      </c>
      <c r="R40" s="101">
        <v>63700</v>
      </c>
      <c r="S40" s="101">
        <v>73400</v>
      </c>
      <c r="T40" s="101">
        <v>82800</v>
      </c>
      <c r="U40" s="101">
        <v>96100</v>
      </c>
      <c r="V40" s="101">
        <v>113900</v>
      </c>
      <c r="W40" s="277">
        <v>164800</v>
      </c>
      <c r="X40" s="101">
        <v>30200</v>
      </c>
      <c r="Y40" s="101">
        <v>6100</v>
      </c>
      <c r="Z40" s="101">
        <v>11700</v>
      </c>
      <c r="AA40" s="101">
        <v>18200</v>
      </c>
      <c r="AB40" s="101">
        <v>20700</v>
      </c>
      <c r="AC40" s="101">
        <v>23800</v>
      </c>
      <c r="AD40" s="101">
        <v>27900</v>
      </c>
      <c r="AE40" s="101">
        <v>33500</v>
      </c>
      <c r="AF40" s="101">
        <v>39000</v>
      </c>
      <c r="AG40" s="101">
        <v>47200</v>
      </c>
      <c r="AH40" s="101">
        <v>73600</v>
      </c>
    </row>
    <row r="41" spans="1:34">
      <c r="A41" s="99">
        <v>2011</v>
      </c>
      <c r="B41" s="101">
        <v>62000</v>
      </c>
      <c r="C41" s="101">
        <v>11600</v>
      </c>
      <c r="D41" s="101">
        <v>22200</v>
      </c>
      <c r="E41" s="101">
        <v>30100</v>
      </c>
      <c r="F41" s="101">
        <v>38400</v>
      </c>
      <c r="G41" s="101">
        <v>46600</v>
      </c>
      <c r="H41" s="101">
        <v>56800</v>
      </c>
      <c r="I41" s="101">
        <v>68200</v>
      </c>
      <c r="J41" s="101">
        <v>82800</v>
      </c>
      <c r="K41" s="101">
        <v>105400</v>
      </c>
      <c r="L41" s="101">
        <v>158400</v>
      </c>
      <c r="M41" s="202">
        <v>77300</v>
      </c>
      <c r="N41" s="101">
        <v>22700</v>
      </c>
      <c r="O41" s="101">
        <v>37000</v>
      </c>
      <c r="P41" s="101">
        <v>45900</v>
      </c>
      <c r="Q41" s="101">
        <v>54600</v>
      </c>
      <c r="R41" s="101">
        <v>63800</v>
      </c>
      <c r="S41" s="101">
        <v>72700</v>
      </c>
      <c r="T41" s="101">
        <v>84100</v>
      </c>
      <c r="U41" s="101">
        <v>99700</v>
      </c>
      <c r="V41" s="101">
        <v>118200</v>
      </c>
      <c r="W41" s="277">
        <v>174700</v>
      </c>
      <c r="X41" s="101">
        <v>30700</v>
      </c>
      <c r="Y41" s="101">
        <v>6400</v>
      </c>
      <c r="Z41" s="101">
        <v>13100</v>
      </c>
      <c r="AA41" s="101">
        <v>18900</v>
      </c>
      <c r="AB41" s="101">
        <v>21400</v>
      </c>
      <c r="AC41" s="101">
        <v>24100</v>
      </c>
      <c r="AD41" s="101">
        <v>28200</v>
      </c>
      <c r="AE41" s="101">
        <v>33900</v>
      </c>
      <c r="AF41" s="101">
        <v>39800</v>
      </c>
      <c r="AG41" s="101">
        <v>47600</v>
      </c>
      <c r="AH41" s="101">
        <v>73800</v>
      </c>
    </row>
    <row r="42" spans="1:34">
      <c r="A42" s="99">
        <v>2012</v>
      </c>
      <c r="B42" s="101">
        <v>61800</v>
      </c>
      <c r="C42" s="101">
        <v>10200</v>
      </c>
      <c r="D42" s="101">
        <v>21900</v>
      </c>
      <c r="E42" s="101">
        <v>30700</v>
      </c>
      <c r="F42" s="101">
        <v>38300</v>
      </c>
      <c r="G42" s="101">
        <v>47100</v>
      </c>
      <c r="H42" s="101">
        <v>56500</v>
      </c>
      <c r="I42" s="101">
        <v>67700</v>
      </c>
      <c r="J42" s="101">
        <v>83300</v>
      </c>
      <c r="K42" s="101">
        <v>106400</v>
      </c>
      <c r="L42" s="101">
        <v>155900</v>
      </c>
      <c r="M42" s="202">
        <v>77000</v>
      </c>
      <c r="N42" s="101">
        <v>23400</v>
      </c>
      <c r="O42" s="101">
        <v>37200</v>
      </c>
      <c r="P42" s="101">
        <v>45900</v>
      </c>
      <c r="Q42" s="101">
        <v>54100</v>
      </c>
      <c r="R42" s="101">
        <v>62400</v>
      </c>
      <c r="S42" s="101">
        <v>72000</v>
      </c>
      <c r="T42" s="101">
        <v>84100</v>
      </c>
      <c r="U42" s="101">
        <v>100000</v>
      </c>
      <c r="V42" s="101">
        <v>121100</v>
      </c>
      <c r="W42" s="277">
        <v>169900</v>
      </c>
      <c r="X42" s="101">
        <v>31000</v>
      </c>
      <c r="Y42" s="101">
        <v>3300</v>
      </c>
      <c r="Z42" s="101">
        <v>11700</v>
      </c>
      <c r="AA42" s="101">
        <v>18600</v>
      </c>
      <c r="AB42" s="101">
        <v>21000</v>
      </c>
      <c r="AC42" s="101">
        <v>24100</v>
      </c>
      <c r="AD42" s="101">
        <v>28800</v>
      </c>
      <c r="AE42" s="101">
        <v>34000</v>
      </c>
      <c r="AF42" s="101">
        <v>39800</v>
      </c>
      <c r="AG42" s="101">
        <v>49700</v>
      </c>
      <c r="AH42" s="101">
        <v>78400</v>
      </c>
    </row>
    <row r="43" spans="1:34">
      <c r="A43" s="99">
        <v>2013</v>
      </c>
      <c r="B43" s="101">
        <v>61900</v>
      </c>
      <c r="C43" s="101">
        <v>10800</v>
      </c>
      <c r="D43" s="101">
        <v>22700</v>
      </c>
      <c r="E43" s="101">
        <v>30800</v>
      </c>
      <c r="F43" s="101">
        <v>38900</v>
      </c>
      <c r="G43" s="101">
        <v>47700</v>
      </c>
      <c r="H43" s="101">
        <v>56700</v>
      </c>
      <c r="I43" s="101">
        <v>67900</v>
      </c>
      <c r="J43" s="101">
        <v>83900</v>
      </c>
      <c r="K43" s="101">
        <v>103500</v>
      </c>
      <c r="L43" s="101">
        <v>156000</v>
      </c>
      <c r="M43" s="202">
        <v>76900</v>
      </c>
      <c r="N43" s="101">
        <v>22300</v>
      </c>
      <c r="O43" s="101">
        <v>37100</v>
      </c>
      <c r="P43" s="101">
        <v>46300</v>
      </c>
      <c r="Q43" s="101">
        <v>54100</v>
      </c>
      <c r="R43" s="101">
        <v>63200</v>
      </c>
      <c r="S43" s="101">
        <v>73200</v>
      </c>
      <c r="T43" s="101">
        <v>85300</v>
      </c>
      <c r="U43" s="101">
        <v>97700</v>
      </c>
      <c r="V43" s="101">
        <v>118100</v>
      </c>
      <c r="W43" s="277">
        <v>171700</v>
      </c>
      <c r="X43" s="101">
        <v>31800</v>
      </c>
      <c r="Y43" s="101">
        <v>3500</v>
      </c>
      <c r="Z43" s="101">
        <v>13900</v>
      </c>
      <c r="AA43" s="101">
        <v>19600</v>
      </c>
      <c r="AB43" s="101">
        <v>22500</v>
      </c>
      <c r="AC43" s="101">
        <v>25400</v>
      </c>
      <c r="AD43" s="101">
        <v>29600</v>
      </c>
      <c r="AE43" s="101">
        <v>35300</v>
      </c>
      <c r="AF43" s="101">
        <v>41600</v>
      </c>
      <c r="AG43" s="101">
        <v>51200</v>
      </c>
      <c r="AH43" s="101">
        <v>75100</v>
      </c>
    </row>
    <row r="44" spans="1:34">
      <c r="A44" s="99">
        <v>2014</v>
      </c>
      <c r="B44" s="101">
        <v>62100</v>
      </c>
      <c r="C44" s="101">
        <v>12500</v>
      </c>
      <c r="D44" s="101">
        <v>23300</v>
      </c>
      <c r="E44" s="101">
        <v>31700</v>
      </c>
      <c r="F44" s="101">
        <v>39000</v>
      </c>
      <c r="G44" s="101">
        <v>47700</v>
      </c>
      <c r="H44" s="101">
        <v>58800</v>
      </c>
      <c r="I44" s="101">
        <v>70600</v>
      </c>
      <c r="J44" s="101">
        <v>83900</v>
      </c>
      <c r="K44" s="101">
        <v>102900</v>
      </c>
      <c r="L44" s="101">
        <v>150700</v>
      </c>
      <c r="M44" s="202">
        <v>76300</v>
      </c>
      <c r="N44" s="101">
        <v>23200</v>
      </c>
      <c r="O44" s="101">
        <v>37800</v>
      </c>
      <c r="P44" s="101">
        <v>46400</v>
      </c>
      <c r="Q44" s="101">
        <v>55800</v>
      </c>
      <c r="R44" s="101">
        <v>65800</v>
      </c>
      <c r="S44" s="101">
        <v>74400</v>
      </c>
      <c r="T44" s="101">
        <v>84800</v>
      </c>
      <c r="U44" s="101">
        <v>97200</v>
      </c>
      <c r="V44" s="101">
        <v>115300</v>
      </c>
      <c r="W44" s="277">
        <v>162000</v>
      </c>
      <c r="X44" s="101">
        <v>34100</v>
      </c>
      <c r="Y44" s="101">
        <v>6000</v>
      </c>
      <c r="Z44" s="101">
        <v>15800</v>
      </c>
      <c r="AA44" s="101">
        <v>20400</v>
      </c>
      <c r="AB44" s="101">
        <v>23200</v>
      </c>
      <c r="AC44" s="101">
        <v>26100</v>
      </c>
      <c r="AD44" s="101">
        <v>30600</v>
      </c>
      <c r="AE44" s="101">
        <v>34900</v>
      </c>
      <c r="AF44" s="101">
        <v>41300</v>
      </c>
      <c r="AG44" s="101">
        <v>52400</v>
      </c>
      <c r="AH44" s="101">
        <v>89800</v>
      </c>
    </row>
    <row r="45" spans="1:34">
      <c r="A45" s="99">
        <v>2015</v>
      </c>
      <c r="B45" s="101">
        <v>61600</v>
      </c>
      <c r="C45" s="101">
        <v>9700</v>
      </c>
      <c r="D45" s="101">
        <v>21600</v>
      </c>
      <c r="E45" s="101">
        <v>29300</v>
      </c>
      <c r="F45" s="101">
        <v>38500</v>
      </c>
      <c r="G45" s="101">
        <v>49100</v>
      </c>
      <c r="H45" s="101">
        <v>59700</v>
      </c>
      <c r="I45" s="101">
        <v>71100</v>
      </c>
      <c r="J45" s="101">
        <v>84600</v>
      </c>
      <c r="K45" s="101">
        <v>103400</v>
      </c>
      <c r="L45" s="101">
        <v>148600</v>
      </c>
      <c r="M45" s="202">
        <v>77200</v>
      </c>
      <c r="N45" s="101">
        <v>23000</v>
      </c>
      <c r="O45" s="101">
        <v>38200</v>
      </c>
      <c r="P45" s="101">
        <v>49200</v>
      </c>
      <c r="Q45" s="101">
        <v>58100</v>
      </c>
      <c r="R45" s="101">
        <v>66800</v>
      </c>
      <c r="S45" s="101">
        <v>75800</v>
      </c>
      <c r="T45" s="101">
        <v>85900</v>
      </c>
      <c r="U45" s="101">
        <v>98900</v>
      </c>
      <c r="V45" s="101">
        <v>115300</v>
      </c>
      <c r="W45" s="277">
        <v>161100</v>
      </c>
      <c r="X45" s="101">
        <v>30600</v>
      </c>
      <c r="Y45" s="101">
        <v>3800</v>
      </c>
      <c r="Z45" s="101">
        <v>10700</v>
      </c>
      <c r="AA45" s="101">
        <v>17500</v>
      </c>
      <c r="AB45" s="101">
        <v>21100</v>
      </c>
      <c r="AC45" s="101">
        <v>24200</v>
      </c>
      <c r="AD45" s="101">
        <v>27700</v>
      </c>
      <c r="AE45" s="101">
        <v>31900</v>
      </c>
      <c r="AF45" s="101">
        <v>39400</v>
      </c>
      <c r="AG45" s="101">
        <v>49600</v>
      </c>
      <c r="AH45" s="101">
        <v>80100</v>
      </c>
    </row>
    <row r="46" spans="1:34">
      <c r="A46" s="99">
        <v>2016</v>
      </c>
      <c r="B46" s="101">
        <v>62900</v>
      </c>
      <c r="C46" s="101">
        <v>11900</v>
      </c>
      <c r="D46" s="101">
        <v>23000</v>
      </c>
      <c r="E46" s="101">
        <v>31700</v>
      </c>
      <c r="F46" s="101">
        <v>39500</v>
      </c>
      <c r="G46" s="101">
        <v>48500</v>
      </c>
      <c r="H46" s="101">
        <v>58100</v>
      </c>
      <c r="I46" s="101">
        <v>68800</v>
      </c>
      <c r="J46" s="101">
        <v>84300</v>
      </c>
      <c r="K46" s="101">
        <v>103700</v>
      </c>
      <c r="L46" s="101">
        <v>159100</v>
      </c>
      <c r="M46" s="202">
        <v>79500</v>
      </c>
      <c r="N46" s="101">
        <v>27100</v>
      </c>
      <c r="O46" s="101">
        <v>39700</v>
      </c>
      <c r="P46" s="101">
        <v>49100</v>
      </c>
      <c r="Q46" s="101">
        <v>57700</v>
      </c>
      <c r="R46" s="101">
        <v>65400</v>
      </c>
      <c r="S46" s="101">
        <v>74800</v>
      </c>
      <c r="T46" s="101">
        <v>87100</v>
      </c>
      <c r="U46" s="101">
        <v>99600</v>
      </c>
      <c r="V46" s="101">
        <v>117500</v>
      </c>
      <c r="W46" s="277">
        <v>176800</v>
      </c>
      <c r="X46" s="101">
        <v>30100</v>
      </c>
      <c r="Y46" s="101">
        <v>5900</v>
      </c>
      <c r="Z46" s="101">
        <v>12800</v>
      </c>
      <c r="AA46" s="101">
        <v>18700</v>
      </c>
      <c r="AB46" s="101">
        <v>21200</v>
      </c>
      <c r="AC46" s="101">
        <v>24700</v>
      </c>
      <c r="AD46" s="101">
        <v>28700</v>
      </c>
      <c r="AE46" s="101">
        <v>34600</v>
      </c>
      <c r="AF46" s="101">
        <v>39400</v>
      </c>
      <c r="AG46" s="101">
        <v>47800</v>
      </c>
      <c r="AH46" s="101">
        <v>67300</v>
      </c>
    </row>
    <row r="47" spans="1:34">
      <c r="A47" s="99">
        <v>2017</v>
      </c>
      <c r="B47" s="101">
        <v>64800</v>
      </c>
      <c r="C47" s="101">
        <v>12300</v>
      </c>
      <c r="D47" s="101">
        <v>23700</v>
      </c>
      <c r="E47" s="101">
        <v>32000</v>
      </c>
      <c r="F47" s="101">
        <v>40300</v>
      </c>
      <c r="G47" s="101">
        <v>50300</v>
      </c>
      <c r="H47" s="101">
        <v>60900</v>
      </c>
      <c r="I47" s="101">
        <v>71700</v>
      </c>
      <c r="J47" s="101">
        <v>86200</v>
      </c>
      <c r="K47" s="101">
        <v>109100</v>
      </c>
      <c r="L47" s="101">
        <v>161100</v>
      </c>
      <c r="M47" s="202">
        <v>81000</v>
      </c>
      <c r="N47" s="101">
        <v>24600</v>
      </c>
      <c r="O47" s="101">
        <v>39700</v>
      </c>
      <c r="P47" s="101">
        <v>49800</v>
      </c>
      <c r="Q47" s="101">
        <v>58900</v>
      </c>
      <c r="R47" s="101">
        <v>67800</v>
      </c>
      <c r="S47" s="101">
        <v>76600</v>
      </c>
      <c r="T47" s="101">
        <v>88300</v>
      </c>
      <c r="U47" s="101">
        <v>103700</v>
      </c>
      <c r="V47" s="101">
        <v>124700</v>
      </c>
      <c r="W47" s="277">
        <v>175600</v>
      </c>
      <c r="X47" s="101">
        <v>33100</v>
      </c>
      <c r="Y47" s="101">
        <v>4300</v>
      </c>
      <c r="Z47" s="101">
        <v>15700</v>
      </c>
      <c r="AA47" s="101">
        <v>20700</v>
      </c>
      <c r="AB47" s="101">
        <v>23000</v>
      </c>
      <c r="AC47" s="101">
        <v>26500</v>
      </c>
      <c r="AD47" s="101">
        <v>30900</v>
      </c>
      <c r="AE47" s="101">
        <v>35700</v>
      </c>
      <c r="AF47" s="101">
        <v>41800</v>
      </c>
      <c r="AG47" s="101">
        <v>53100</v>
      </c>
      <c r="AH47" s="101">
        <v>79000</v>
      </c>
    </row>
    <row r="48" spans="1:34">
      <c r="A48" s="99">
        <v>2018</v>
      </c>
      <c r="B48" s="101">
        <v>65900</v>
      </c>
      <c r="C48" s="101">
        <v>11600</v>
      </c>
      <c r="D48" s="101">
        <v>23900</v>
      </c>
      <c r="E48" s="101">
        <v>32500</v>
      </c>
      <c r="F48" s="101">
        <v>41300</v>
      </c>
      <c r="G48" s="101">
        <v>50700</v>
      </c>
      <c r="H48" s="101">
        <v>61000</v>
      </c>
      <c r="I48" s="101">
        <v>72500</v>
      </c>
      <c r="J48" s="101">
        <v>87100</v>
      </c>
      <c r="K48" s="101">
        <v>108000</v>
      </c>
      <c r="L48" s="101">
        <v>170600</v>
      </c>
      <c r="M48" s="202">
        <v>83000</v>
      </c>
      <c r="N48" s="101">
        <v>26700</v>
      </c>
      <c r="O48" s="101">
        <v>41600</v>
      </c>
      <c r="P48" s="101">
        <v>51600</v>
      </c>
      <c r="Q48" s="101">
        <v>60300</v>
      </c>
      <c r="R48" s="101">
        <v>68400</v>
      </c>
      <c r="S48" s="101">
        <v>77500</v>
      </c>
      <c r="T48" s="101">
        <v>88600</v>
      </c>
      <c r="U48" s="101">
        <v>102100</v>
      </c>
      <c r="V48" s="101">
        <v>124200</v>
      </c>
      <c r="W48" s="277">
        <v>189100</v>
      </c>
      <c r="X48" s="101">
        <v>32600</v>
      </c>
      <c r="Y48" s="101">
        <v>5400</v>
      </c>
      <c r="Z48" s="101">
        <v>14200</v>
      </c>
      <c r="AA48" s="101">
        <v>20100</v>
      </c>
      <c r="AB48" s="101">
        <v>22400</v>
      </c>
      <c r="AC48" s="101">
        <v>25700</v>
      </c>
      <c r="AD48" s="101">
        <v>29700</v>
      </c>
      <c r="AE48" s="101">
        <v>35000</v>
      </c>
      <c r="AF48" s="101">
        <v>41500</v>
      </c>
      <c r="AG48" s="101">
        <v>49800</v>
      </c>
      <c r="AH48" s="101">
        <v>82000</v>
      </c>
    </row>
    <row r="49" spans="1:34">
      <c r="A49" s="99">
        <v>2019</v>
      </c>
      <c r="B49" s="101">
        <v>65400</v>
      </c>
      <c r="C49" s="101">
        <v>12100</v>
      </c>
      <c r="D49" s="101">
        <v>24600</v>
      </c>
      <c r="E49" s="101">
        <v>33100</v>
      </c>
      <c r="F49" s="101">
        <v>41700</v>
      </c>
      <c r="G49" s="101">
        <v>51400</v>
      </c>
      <c r="H49" s="101">
        <v>61300</v>
      </c>
      <c r="I49" s="101">
        <v>71400</v>
      </c>
      <c r="J49" s="101">
        <v>84400</v>
      </c>
      <c r="K49" s="101">
        <v>109900</v>
      </c>
      <c r="L49" s="101">
        <v>163900</v>
      </c>
      <c r="M49" s="202">
        <v>81900</v>
      </c>
      <c r="N49" s="101">
        <v>25000</v>
      </c>
      <c r="O49" s="101">
        <v>42800</v>
      </c>
      <c r="P49" s="101">
        <v>52700</v>
      </c>
      <c r="Q49" s="101">
        <v>61100</v>
      </c>
      <c r="R49" s="101">
        <v>68400</v>
      </c>
      <c r="S49" s="101">
        <v>75900</v>
      </c>
      <c r="T49" s="101">
        <v>85900</v>
      </c>
      <c r="U49" s="101">
        <v>102700</v>
      </c>
      <c r="V49" s="101">
        <v>125800</v>
      </c>
      <c r="W49" s="277">
        <v>179200</v>
      </c>
      <c r="X49" s="101">
        <v>33300</v>
      </c>
      <c r="Y49" s="101">
        <v>6900</v>
      </c>
      <c r="Z49" s="101">
        <v>17200</v>
      </c>
      <c r="AA49" s="101">
        <v>20900</v>
      </c>
      <c r="AB49" s="101">
        <v>23200</v>
      </c>
      <c r="AC49" s="101">
        <v>26700</v>
      </c>
      <c r="AD49" s="101">
        <v>31100</v>
      </c>
      <c r="AE49" s="101">
        <v>35200</v>
      </c>
      <c r="AF49" s="101">
        <v>40900</v>
      </c>
      <c r="AG49" s="101">
        <v>49900</v>
      </c>
      <c r="AH49" s="101">
        <v>80400</v>
      </c>
    </row>
    <row r="50" spans="1:34">
      <c r="B50" s="20"/>
      <c r="C50" s="20"/>
      <c r="D50" s="20"/>
      <c r="E50" s="20"/>
      <c r="F50" s="20"/>
      <c r="G50" s="20"/>
      <c r="H50" s="20"/>
      <c r="I50" s="20"/>
      <c r="J50" s="20"/>
      <c r="K50" s="20"/>
      <c r="L50" s="20"/>
      <c r="M50" s="121"/>
      <c r="N50" s="20"/>
      <c r="O50" s="20"/>
      <c r="P50" s="20"/>
      <c r="Q50" s="20"/>
      <c r="R50" s="20"/>
      <c r="S50" s="20"/>
      <c r="T50" s="20"/>
      <c r="U50" s="20"/>
      <c r="V50" s="20"/>
      <c r="W50" s="122"/>
      <c r="X50" s="20"/>
      <c r="Y50" s="20"/>
      <c r="Z50" s="20"/>
      <c r="AA50" s="20"/>
      <c r="AB50" s="20"/>
      <c r="AC50" s="20"/>
      <c r="AD50" s="20"/>
      <c r="AE50" s="20"/>
      <c r="AF50" s="20"/>
      <c r="AG50" s="20"/>
      <c r="AH50" s="20"/>
    </row>
    <row r="51" spans="1:34" ht="34">
      <c r="B51" s="157" t="s">
        <v>91</v>
      </c>
      <c r="C51" s="157" t="s">
        <v>92</v>
      </c>
      <c r="D51" s="157" t="s">
        <v>172</v>
      </c>
      <c r="E51" s="157" t="s">
        <v>173</v>
      </c>
      <c r="F51" s="157" t="s">
        <v>174</v>
      </c>
      <c r="G51" s="157" t="s">
        <v>93</v>
      </c>
      <c r="H51" s="157" t="s">
        <v>175</v>
      </c>
      <c r="I51" s="157" t="s">
        <v>176</v>
      </c>
      <c r="J51" s="157" t="s">
        <v>177</v>
      </c>
      <c r="K51" s="157" t="s">
        <v>178</v>
      </c>
      <c r="L51" s="157" t="s">
        <v>94</v>
      </c>
      <c r="M51" s="128" t="s">
        <v>91</v>
      </c>
      <c r="N51" s="157" t="s">
        <v>92</v>
      </c>
      <c r="O51" s="157" t="s">
        <v>172</v>
      </c>
      <c r="P51" s="157" t="s">
        <v>173</v>
      </c>
      <c r="Q51" s="157" t="s">
        <v>174</v>
      </c>
      <c r="R51" s="157" t="s">
        <v>93</v>
      </c>
      <c r="S51" s="157" t="s">
        <v>175</v>
      </c>
      <c r="T51" s="157" t="s">
        <v>176</v>
      </c>
      <c r="U51" s="157" t="s">
        <v>177</v>
      </c>
      <c r="V51" s="157" t="s">
        <v>178</v>
      </c>
      <c r="W51" s="129" t="s">
        <v>94</v>
      </c>
      <c r="X51" s="157" t="s">
        <v>91</v>
      </c>
      <c r="Y51" s="157" t="s">
        <v>92</v>
      </c>
      <c r="Z51" s="157" t="s">
        <v>172</v>
      </c>
      <c r="AA51" s="157" t="s">
        <v>173</v>
      </c>
      <c r="AB51" s="157" t="s">
        <v>174</v>
      </c>
      <c r="AC51" s="157" t="s">
        <v>93</v>
      </c>
      <c r="AD51" s="157" t="s">
        <v>175</v>
      </c>
      <c r="AE51" s="157" t="s">
        <v>176</v>
      </c>
      <c r="AF51" s="157" t="s">
        <v>177</v>
      </c>
      <c r="AG51" s="157" t="s">
        <v>178</v>
      </c>
      <c r="AH51" s="157" t="s">
        <v>94</v>
      </c>
    </row>
    <row r="52" spans="1:34">
      <c r="A52" s="5" t="s">
        <v>83</v>
      </c>
      <c r="B52" s="158">
        <f t="shared" ref="B52:W52" si="0">100*((B49/B6)^(1/43)-1)</f>
        <v>0.59845966210745338</v>
      </c>
      <c r="C52" s="158">
        <f t="shared" si="0"/>
        <v>1.4196001118295776</v>
      </c>
      <c r="D52" s="158">
        <f t="shared" si="0"/>
        <v>0.72909782512489141</v>
      </c>
      <c r="E52" s="158">
        <f t="shared" si="0"/>
        <v>0.44902039175351849</v>
      </c>
      <c r="F52" s="158">
        <f t="shared" si="0"/>
        <v>0.45534933363031715</v>
      </c>
      <c r="G52" s="158">
        <f t="shared" si="0"/>
        <v>0.42127171743462366</v>
      </c>
      <c r="H52" s="158">
        <f t="shared" si="0"/>
        <v>0.38786899975415956</v>
      </c>
      <c r="I52" s="158">
        <f t="shared" si="0"/>
        <v>0.43670971073634934</v>
      </c>
      <c r="J52" s="158">
        <f t="shared" si="0"/>
        <v>0.48660721388322781</v>
      </c>
      <c r="K52" s="158">
        <f t="shared" si="0"/>
        <v>0.67767088961494526</v>
      </c>
      <c r="L52" s="158">
        <f t="shared" si="0"/>
        <v>0.8192730130964998</v>
      </c>
      <c r="M52" s="184">
        <f t="shared" si="0"/>
        <v>0.80568407393253327</v>
      </c>
      <c r="N52" s="158">
        <f t="shared" si="0"/>
        <v>1.1484586705570621</v>
      </c>
      <c r="O52" s="158">
        <f t="shared" si="0"/>
        <v>1.0085450911251348</v>
      </c>
      <c r="P52" s="158">
        <f t="shared" si="0"/>
        <v>0.90984617986626937</v>
      </c>
      <c r="Q52" s="158">
        <f t="shared" si="0"/>
        <v>0.75054018794880051</v>
      </c>
      <c r="R52" s="158">
        <f t="shared" si="0"/>
        <v>0.64856547423954858</v>
      </c>
      <c r="S52" s="158">
        <f t="shared" si="0"/>
        <v>0.63556446995369775</v>
      </c>
      <c r="T52" s="158">
        <f t="shared" si="0"/>
        <v>0.65047052087394697</v>
      </c>
      <c r="U52" s="158">
        <f t="shared" si="0"/>
        <v>0.76195000205447894</v>
      </c>
      <c r="V52" s="158">
        <f t="shared" si="0"/>
        <v>0.83719091184477623</v>
      </c>
      <c r="W52" s="185">
        <f t="shared" si="0"/>
        <v>0.9213492631727771</v>
      </c>
      <c r="X52" s="158">
        <f>100*((X49/X7)^(1/42)-1)</f>
        <v>0.93780361988677896</v>
      </c>
      <c r="Y52" s="176">
        <f t="shared" ref="Y52:AH52" si="1">100*((Y49/Y7)^(1/42)-1)</f>
        <v>3.5410578685539873</v>
      </c>
      <c r="Z52" s="176">
        <f t="shared" si="1"/>
        <v>1.373111998757448</v>
      </c>
      <c r="AA52" s="176">
        <f t="shared" si="1"/>
        <v>1.3703752734918639</v>
      </c>
      <c r="AB52" s="176">
        <f t="shared" si="1"/>
        <v>1.3701107960321757</v>
      </c>
      <c r="AC52" s="176">
        <f t="shared" si="1"/>
        <v>1.196752849687055</v>
      </c>
      <c r="AD52" s="176">
        <f t="shared" si="1"/>
        <v>1.032737285719687</v>
      </c>
      <c r="AE52" s="176">
        <f t="shared" si="1"/>
        <v>0.87634847964142004</v>
      </c>
      <c r="AF52" s="176">
        <f t="shared" si="1"/>
        <v>0.78098581222556529</v>
      </c>
      <c r="AG52" s="176">
        <f t="shared" si="1"/>
        <v>0.55802818739081328</v>
      </c>
      <c r="AH52" s="176">
        <f t="shared" si="1"/>
        <v>0.74363966688906213</v>
      </c>
    </row>
    <row r="53" spans="1:34">
      <c r="A53" s="5" t="s">
        <v>84</v>
      </c>
      <c r="B53" s="158">
        <f t="shared" ref="B53:W53" si="2">100*((B30/B6)^(1/24)-1)</f>
        <v>0.22466520187505168</v>
      </c>
      <c r="C53" s="158">
        <f t="shared" si="2"/>
        <v>1.6607764816564563</v>
      </c>
      <c r="D53" s="158">
        <f t="shared" si="2"/>
        <v>0.26927239335046149</v>
      </c>
      <c r="E53" s="158">
        <f t="shared" si="2"/>
        <v>-0.15536985507159651</v>
      </c>
      <c r="F53" s="158">
        <f t="shared" si="2"/>
        <v>-2.4363572776220366E-2</v>
      </c>
      <c r="G53" s="158">
        <f t="shared" si="2"/>
        <v>-0.12813308381817157</v>
      </c>
      <c r="H53" s="158">
        <f t="shared" si="2"/>
        <v>-0.18031164732831284</v>
      </c>
      <c r="I53" s="158">
        <f t="shared" si="2"/>
        <v>-2.1166306422970571E-2</v>
      </c>
      <c r="J53" s="158">
        <f t="shared" si="2"/>
        <v>0.1553438318063094</v>
      </c>
      <c r="K53" s="158">
        <f t="shared" si="2"/>
        <v>0.3081707475386386</v>
      </c>
      <c r="L53" s="158">
        <f t="shared" si="2"/>
        <v>0.64954983574241343</v>
      </c>
      <c r="M53" s="184">
        <f t="shared" si="2"/>
        <v>0.45005723012174759</v>
      </c>
      <c r="N53" s="158">
        <f t="shared" si="2"/>
        <v>0.88434195864026677</v>
      </c>
      <c r="O53" s="158">
        <f t="shared" si="2"/>
        <v>0.49531463416849775</v>
      </c>
      <c r="P53" s="158">
        <f t="shared" si="2"/>
        <v>0.36905833826825774</v>
      </c>
      <c r="Q53" s="158">
        <f t="shared" si="2"/>
        <v>0.17513284974299825</v>
      </c>
      <c r="R53" s="158">
        <f t="shared" si="2"/>
        <v>9.546956106234461E-2</v>
      </c>
      <c r="S53" s="158">
        <f t="shared" si="2"/>
        <v>0.23844388400739991</v>
      </c>
      <c r="T53" s="158">
        <f t="shared" si="2"/>
        <v>0.32118570421719728</v>
      </c>
      <c r="U53" s="158">
        <f t="shared" si="2"/>
        <v>0.41277336931369035</v>
      </c>
      <c r="V53" s="158">
        <f t="shared" si="2"/>
        <v>0.47127786805525318</v>
      </c>
      <c r="W53" s="185">
        <f t="shared" si="2"/>
        <v>0.78970673906815225</v>
      </c>
      <c r="X53" s="158">
        <f>100*((X30/X7)^(1/23)-1)</f>
        <v>0.56278223426142748</v>
      </c>
      <c r="Y53" s="176">
        <f t="shared" ref="Y53:AH53" si="3">100*((Y30/Y7)^(1/23)-1)</f>
        <v>4.8924917645292609</v>
      </c>
      <c r="Z53" s="176">
        <f t="shared" si="3"/>
        <v>0.13251906590761031</v>
      </c>
      <c r="AA53" s="176">
        <f t="shared" si="3"/>
        <v>1.249309833557799</v>
      </c>
      <c r="AB53" s="176">
        <f t="shared" si="3"/>
        <v>1.3170869113916961</v>
      </c>
      <c r="AC53" s="176">
        <f t="shared" si="3"/>
        <v>0.89839630791757052</v>
      </c>
      <c r="AD53" s="176">
        <f t="shared" si="3"/>
        <v>0.43094361617477261</v>
      </c>
      <c r="AE53" s="176">
        <f t="shared" si="3"/>
        <v>0.47343824192114248</v>
      </c>
      <c r="AF53" s="176">
        <f t="shared" si="3"/>
        <v>0.51505933952047389</v>
      </c>
      <c r="AG53" s="176">
        <f t="shared" si="3"/>
        <v>0.16218091382051991</v>
      </c>
      <c r="AH53" s="176">
        <f t="shared" si="3"/>
        <v>0.35488156977545593</v>
      </c>
    </row>
    <row r="54" spans="1:34">
      <c r="A54" s="5" t="s">
        <v>11</v>
      </c>
      <c r="B54" s="158">
        <f>100*((B49/B30)^(1/19)-1)</f>
        <v>1.0726143988739834</v>
      </c>
      <c r="C54" s="158">
        <f t="shared" ref="C54:X54" si="4">100*((C49/C30)^(1/19)-1)</f>
        <v>1.1157739276093759</v>
      </c>
      <c r="D54" s="158">
        <f t="shared" si="4"/>
        <v>1.3129452814472309</v>
      </c>
      <c r="E54" s="158">
        <f t="shared" si="4"/>
        <v>1.2176928870841097</v>
      </c>
      <c r="F54" s="158">
        <f t="shared" si="4"/>
        <v>1.0645939775438817</v>
      </c>
      <c r="G54" s="158">
        <f t="shared" si="4"/>
        <v>1.1195788168922416</v>
      </c>
      <c r="H54" s="158">
        <f t="shared" si="4"/>
        <v>1.1101959122587157</v>
      </c>
      <c r="I54" s="158">
        <f t="shared" si="4"/>
        <v>1.0180779198029732</v>
      </c>
      <c r="J54" s="158">
        <f t="shared" si="4"/>
        <v>0.90661170894787979</v>
      </c>
      <c r="K54" s="158">
        <f t="shared" si="4"/>
        <v>1.1463540581047926</v>
      </c>
      <c r="L54" s="158">
        <f t="shared" si="4"/>
        <v>1.0340693294322856</v>
      </c>
      <c r="M54" s="184">
        <f t="shared" si="4"/>
        <v>1.2566971101575675</v>
      </c>
      <c r="N54" s="158">
        <f t="shared" si="4"/>
        <v>1.4830683566010583</v>
      </c>
      <c r="O54" s="158">
        <f t="shared" si="4"/>
        <v>1.6605843351142235</v>
      </c>
      <c r="P54" s="158">
        <f t="shared" si="4"/>
        <v>1.5971134002455312</v>
      </c>
      <c r="Q54" s="158">
        <f t="shared" si="4"/>
        <v>1.4820971431124708</v>
      </c>
      <c r="R54" s="158">
        <f t="shared" si="4"/>
        <v>1.3515835249763297</v>
      </c>
      <c r="S54" s="158">
        <f t="shared" si="4"/>
        <v>1.1394400653428116</v>
      </c>
      <c r="T54" s="158">
        <f t="shared" si="4"/>
        <v>1.067954555863615</v>
      </c>
      <c r="U54" s="158">
        <f t="shared" si="4"/>
        <v>1.2047513284191291</v>
      </c>
      <c r="V54" s="158">
        <f t="shared" si="4"/>
        <v>1.3013023006111402</v>
      </c>
      <c r="W54" s="185">
        <f t="shared" si="4"/>
        <v>1.0878803491856326</v>
      </c>
      <c r="X54" s="158">
        <f t="shared" si="4"/>
        <v>1.3936485418343469</v>
      </c>
      <c r="Y54" s="176">
        <f t="shared" ref="Y54:AH54" si="5">100*((Y49/Y30)^(1/19)-1)</f>
        <v>1.9283866595617871</v>
      </c>
      <c r="Z54" s="176">
        <f t="shared" si="5"/>
        <v>2.8954649754505235</v>
      </c>
      <c r="AA54" s="176">
        <f t="shared" si="5"/>
        <v>1.5171218722511925</v>
      </c>
      <c r="AB54" s="176">
        <f t="shared" si="5"/>
        <v>1.4343347330125322</v>
      </c>
      <c r="AC54" s="176">
        <f t="shared" si="5"/>
        <v>1.5591019332459544</v>
      </c>
      <c r="AD54" s="176">
        <f t="shared" si="5"/>
        <v>1.7660510557764963</v>
      </c>
      <c r="AE54" s="176">
        <f t="shared" si="5"/>
        <v>1.3662442821797294</v>
      </c>
      <c r="AF54" s="176">
        <f t="shared" si="5"/>
        <v>1.1038382885870668</v>
      </c>
      <c r="AG54" s="176">
        <f t="shared" si="5"/>
        <v>1.039305416332037</v>
      </c>
      <c r="AH54" s="176">
        <f t="shared" si="5"/>
        <v>1.2162570529209438</v>
      </c>
    </row>
    <row r="56" spans="1:34">
      <c r="A56" s="5" t="s">
        <v>541</v>
      </c>
    </row>
    <row r="57" spans="1:34">
      <c r="A57" s="5" t="s">
        <v>542</v>
      </c>
    </row>
    <row r="59" spans="1:34">
      <c r="N59" s="337"/>
      <c r="O59" s="334"/>
      <c r="P59" s="334"/>
      <c r="Q59" s="334"/>
      <c r="R59" s="334"/>
      <c r="S59" s="334"/>
      <c r="T59" s="334"/>
      <c r="V59" s="192"/>
      <c r="W59" s="174"/>
      <c r="X59" s="174"/>
      <c r="Y59" s="174"/>
    </row>
    <row r="60" spans="1:34">
      <c r="A60" s="5" t="s">
        <v>538</v>
      </c>
      <c r="N60" s="337"/>
      <c r="O60" s="178"/>
      <c r="P60" s="178"/>
      <c r="Q60" s="178"/>
      <c r="R60" s="178"/>
      <c r="S60" s="178"/>
      <c r="T60" s="178"/>
      <c r="V60" s="99"/>
      <c r="W60" s="8"/>
      <c r="X60" s="8"/>
      <c r="Y60" s="8"/>
    </row>
    <row r="61" spans="1:34">
      <c r="N61" s="99"/>
      <c r="O61" s="101"/>
      <c r="P61" s="101"/>
      <c r="Q61" s="101"/>
      <c r="R61" s="101"/>
      <c r="S61" s="101"/>
      <c r="T61" s="101"/>
      <c r="V61" s="99"/>
      <c r="W61" s="8"/>
      <c r="X61" s="8"/>
      <c r="Y61" s="8"/>
    </row>
    <row r="62" spans="1:34">
      <c r="N62" s="99"/>
      <c r="O62" s="101"/>
      <c r="P62" s="101"/>
      <c r="Q62" s="101"/>
      <c r="R62" s="101"/>
      <c r="S62" s="101"/>
      <c r="T62" s="101"/>
      <c r="V62" s="99"/>
      <c r="W62" s="8"/>
      <c r="X62" s="8"/>
      <c r="Y62" s="8"/>
    </row>
  </sheetData>
  <mergeCells count="7">
    <mergeCell ref="B4:L4"/>
    <mergeCell ref="M4:W4"/>
    <mergeCell ref="X4:AH4"/>
    <mergeCell ref="O59:P59"/>
    <mergeCell ref="Q59:R59"/>
    <mergeCell ref="S59:T59"/>
    <mergeCell ref="N59:N6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2238-7058-CE41-87FC-B4CBECA7DD5E}">
  <dimension ref="A1:AH60"/>
  <sheetViews>
    <sheetView zoomScale="75" workbookViewId="0">
      <pane xSplit="1" topLeftCell="B1" activePane="topRight" state="frozen"/>
      <selection pane="topRight" activeCell="A3" sqref="A3"/>
    </sheetView>
  </sheetViews>
  <sheetFormatPr baseColWidth="10" defaultColWidth="10.83203125" defaultRowHeight="16"/>
  <cols>
    <col min="1" max="1" width="12.33203125" style="5" customWidth="1"/>
    <col min="2" max="16384" width="10.83203125" style="5"/>
  </cols>
  <sheetData>
    <row r="1" spans="1:34">
      <c r="A1" s="3" t="s">
        <v>623</v>
      </c>
    </row>
    <row r="4" spans="1:34">
      <c r="B4" s="328" t="s">
        <v>81</v>
      </c>
      <c r="C4" s="328"/>
      <c r="D4" s="328"/>
      <c r="E4" s="328"/>
      <c r="F4" s="328"/>
      <c r="G4" s="328"/>
      <c r="H4" s="328"/>
      <c r="I4" s="328"/>
      <c r="J4" s="328"/>
      <c r="K4" s="328"/>
      <c r="L4" s="328"/>
      <c r="M4" s="331" t="s">
        <v>77</v>
      </c>
      <c r="N4" s="332"/>
      <c r="O4" s="332"/>
      <c r="P4" s="332"/>
      <c r="Q4" s="332"/>
      <c r="R4" s="332"/>
      <c r="S4" s="332"/>
      <c r="T4" s="332"/>
      <c r="U4" s="332"/>
      <c r="V4" s="332"/>
      <c r="W4" s="333"/>
      <c r="X4" s="328" t="s">
        <v>78</v>
      </c>
      <c r="Y4" s="328"/>
      <c r="Z4" s="328"/>
      <c r="AA4" s="328"/>
      <c r="AB4" s="328"/>
      <c r="AC4" s="328"/>
      <c r="AD4" s="328"/>
      <c r="AE4" s="328"/>
      <c r="AF4" s="328"/>
      <c r="AG4" s="328"/>
      <c r="AH4" s="328"/>
    </row>
    <row r="5" spans="1:34" ht="33" customHeight="1">
      <c r="B5" s="175" t="s">
        <v>91</v>
      </c>
      <c r="C5" s="175" t="s">
        <v>92</v>
      </c>
      <c r="D5" s="175" t="s">
        <v>172</v>
      </c>
      <c r="E5" s="175" t="s">
        <v>173</v>
      </c>
      <c r="F5" s="175" t="s">
        <v>174</v>
      </c>
      <c r="G5" s="175" t="s">
        <v>93</v>
      </c>
      <c r="H5" s="175" t="s">
        <v>175</v>
      </c>
      <c r="I5" s="175" t="s">
        <v>176</v>
      </c>
      <c r="J5" s="175" t="s">
        <v>177</v>
      </c>
      <c r="K5" s="175" t="s">
        <v>178</v>
      </c>
      <c r="L5" s="175" t="s">
        <v>94</v>
      </c>
      <c r="M5" s="128" t="s">
        <v>91</v>
      </c>
      <c r="N5" s="177" t="s">
        <v>92</v>
      </c>
      <c r="O5" s="177" t="s">
        <v>172</v>
      </c>
      <c r="P5" s="177" t="s">
        <v>173</v>
      </c>
      <c r="Q5" s="177" t="s">
        <v>174</v>
      </c>
      <c r="R5" s="177" t="s">
        <v>93</v>
      </c>
      <c r="S5" s="177" t="s">
        <v>175</v>
      </c>
      <c r="T5" s="177" t="s">
        <v>176</v>
      </c>
      <c r="U5" s="177" t="s">
        <v>177</v>
      </c>
      <c r="V5" s="177" t="s">
        <v>178</v>
      </c>
      <c r="W5" s="129" t="s">
        <v>94</v>
      </c>
      <c r="X5" s="175" t="s">
        <v>91</v>
      </c>
      <c r="Y5" s="175" t="s">
        <v>92</v>
      </c>
      <c r="Z5" s="175" t="s">
        <v>172</v>
      </c>
      <c r="AA5" s="175" t="s">
        <v>173</v>
      </c>
      <c r="AB5" s="175" t="s">
        <v>174</v>
      </c>
      <c r="AC5" s="175" t="s">
        <v>93</v>
      </c>
      <c r="AD5" s="175" t="s">
        <v>175</v>
      </c>
      <c r="AE5" s="175" t="s">
        <v>176</v>
      </c>
      <c r="AF5" s="175" t="s">
        <v>177</v>
      </c>
      <c r="AG5" s="175" t="s">
        <v>178</v>
      </c>
      <c r="AH5" s="175" t="s">
        <v>94</v>
      </c>
    </row>
    <row r="6" spans="1:34">
      <c r="A6" s="5">
        <v>1976</v>
      </c>
      <c r="B6" s="8">
        <v>83.360790774299829</v>
      </c>
      <c r="C6" s="8">
        <v>73.333333333333329</v>
      </c>
      <c r="D6" s="8">
        <v>87.804878048780495</v>
      </c>
      <c r="E6" s="8">
        <v>90.397350993377486</v>
      </c>
      <c r="F6" s="8">
        <v>86.180904522613062</v>
      </c>
      <c r="G6" s="8">
        <v>86.317907444668009</v>
      </c>
      <c r="H6" s="8">
        <v>87.817258883248726</v>
      </c>
      <c r="I6" s="8">
        <v>85.672937771345872</v>
      </c>
      <c r="J6" s="8">
        <v>84.463625154130696</v>
      </c>
      <c r="K6" s="8">
        <v>84.221311475409834</v>
      </c>
      <c r="L6" s="8">
        <v>76.272306675479186</v>
      </c>
      <c r="M6" s="130">
        <v>81.460674157303373</v>
      </c>
      <c r="N6" s="131">
        <v>87.931034482758619</v>
      </c>
      <c r="O6" s="131">
        <v>87.147335423197489</v>
      </c>
      <c r="P6" s="131">
        <v>82.830626450116014</v>
      </c>
      <c r="Q6" s="131">
        <v>84.060721062618597</v>
      </c>
      <c r="R6" s="131">
        <v>85.05747126436782</v>
      </c>
      <c r="S6" s="131">
        <v>83.526011560693647</v>
      </c>
      <c r="T6" s="131">
        <v>82.697201017811707</v>
      </c>
      <c r="U6" s="131">
        <v>82.516703786191542</v>
      </c>
      <c r="V6" s="131">
        <v>83.159886471144745</v>
      </c>
      <c r="W6" s="132">
        <v>74.475955610357587</v>
      </c>
      <c r="X6" s="8">
        <v>74.747474747474755</v>
      </c>
      <c r="Y6" s="8"/>
      <c r="Z6" s="8"/>
      <c r="AA6" s="8"/>
      <c r="AB6" s="8"/>
      <c r="AC6" s="8"/>
      <c r="AD6" s="8"/>
      <c r="AE6" s="8"/>
      <c r="AF6" s="8"/>
      <c r="AG6" s="8"/>
      <c r="AH6" s="8"/>
    </row>
    <row r="7" spans="1:34">
      <c r="A7" s="5">
        <v>1977</v>
      </c>
      <c r="B7" s="8">
        <v>88.274706867671696</v>
      </c>
      <c r="C7" s="8">
        <v>105.12820512820512</v>
      </c>
      <c r="D7" s="8">
        <v>94.871794871794876</v>
      </c>
      <c r="E7" s="8">
        <v>87.458745874587464</v>
      </c>
      <c r="F7" s="8">
        <v>86.732186732186733</v>
      </c>
      <c r="G7" s="8">
        <v>86.534653465346537</v>
      </c>
      <c r="H7" s="8">
        <v>86</v>
      </c>
      <c r="I7" s="8">
        <v>86.657101865136298</v>
      </c>
      <c r="J7" s="8">
        <v>87.254901960784309</v>
      </c>
      <c r="K7" s="8">
        <v>88.151174668028602</v>
      </c>
      <c r="L7" s="8">
        <v>89.791516894320637</v>
      </c>
      <c r="M7" s="130">
        <v>86.201991465149362</v>
      </c>
      <c r="N7" s="131">
        <v>98.75</v>
      </c>
      <c r="O7" s="131">
        <v>86.461538461538467</v>
      </c>
      <c r="P7" s="131">
        <v>83.408071748878925</v>
      </c>
      <c r="Q7" s="131">
        <v>82.962962962962962</v>
      </c>
      <c r="R7" s="131">
        <v>83.387096774193552</v>
      </c>
      <c r="S7" s="131">
        <v>84.285714285714292</v>
      </c>
      <c r="T7" s="131">
        <v>85.119798234552334</v>
      </c>
      <c r="U7" s="131">
        <v>86.077348066298342</v>
      </c>
      <c r="V7" s="131">
        <v>87.017873941674509</v>
      </c>
      <c r="W7" s="132">
        <v>89.152542372881356</v>
      </c>
      <c r="X7" s="8">
        <v>77.054794520547944</v>
      </c>
      <c r="Y7" s="8">
        <v>48.484848484848484</v>
      </c>
      <c r="Z7" s="8">
        <v>97.979797979797979</v>
      </c>
      <c r="AA7" s="8">
        <v>92.1875</v>
      </c>
      <c r="AB7" s="8">
        <v>83.439490445859875</v>
      </c>
      <c r="AC7" s="8">
        <v>76.415094339622641</v>
      </c>
      <c r="AD7" s="8">
        <v>72.401433691756267</v>
      </c>
      <c r="AE7" s="8">
        <v>71.137026239067055</v>
      </c>
      <c r="AF7" s="8">
        <v>71.428571428571431</v>
      </c>
      <c r="AG7" s="8">
        <v>78.21782178217822</v>
      </c>
      <c r="AH7" s="8">
        <v>78.428761651131822</v>
      </c>
    </row>
    <row r="8" spans="1:34">
      <c r="A8" s="5">
        <v>1978</v>
      </c>
      <c r="B8" s="8">
        <v>86.16144975288303</v>
      </c>
      <c r="C8" s="8">
        <v>96.470588235294116</v>
      </c>
      <c r="D8" s="8">
        <v>94.088669950738918</v>
      </c>
      <c r="E8" s="8">
        <v>89.215686274509807</v>
      </c>
      <c r="F8" s="8">
        <v>87.317073170731703</v>
      </c>
      <c r="G8" s="8">
        <v>88.582677165354326</v>
      </c>
      <c r="H8" s="8">
        <v>90.863787375415285</v>
      </c>
      <c r="I8" s="8">
        <v>89.142857142857139</v>
      </c>
      <c r="J8" s="8">
        <v>88.725490196078425</v>
      </c>
      <c r="K8" s="8">
        <v>85.77235772357723</v>
      </c>
      <c r="L8" s="8">
        <v>77.686516084873375</v>
      </c>
      <c r="M8" s="130">
        <v>83.100558659217882</v>
      </c>
      <c r="N8" s="131">
        <v>84.269662921348313</v>
      </c>
      <c r="O8" s="131">
        <v>80.120481927710841</v>
      </c>
      <c r="P8" s="131">
        <v>81.637168141592923</v>
      </c>
      <c r="Q8" s="131">
        <v>84.77064220183486</v>
      </c>
      <c r="R8" s="131">
        <v>87.699680511182109</v>
      </c>
      <c r="S8" s="131">
        <v>86.827195467422101</v>
      </c>
      <c r="T8" s="131">
        <v>86.649874055415623</v>
      </c>
      <c r="U8" s="131">
        <v>85.777287761852264</v>
      </c>
      <c r="V8" s="131">
        <v>83.364485981308405</v>
      </c>
      <c r="W8" s="132">
        <v>75.804375804375809</v>
      </c>
      <c r="X8" s="8">
        <v>85.38205980066445</v>
      </c>
      <c r="Y8" s="8"/>
      <c r="Z8" s="8"/>
      <c r="AA8" s="8"/>
      <c r="AB8" s="8"/>
      <c r="AC8" s="8"/>
      <c r="AD8" s="8"/>
      <c r="AE8" s="8"/>
      <c r="AF8" s="8"/>
      <c r="AG8" s="8"/>
      <c r="AH8" s="8"/>
    </row>
    <row r="9" spans="1:34">
      <c r="A9" s="5">
        <v>1979</v>
      </c>
      <c r="B9" s="8">
        <v>87.043189368770769</v>
      </c>
      <c r="C9" s="8">
        <v>108.33333333333333</v>
      </c>
      <c r="D9" s="8">
        <v>95.121951219512198</v>
      </c>
      <c r="E9" s="8">
        <v>88.196721311475414</v>
      </c>
      <c r="F9" s="8">
        <v>89.08188585607941</v>
      </c>
      <c r="G9" s="8">
        <v>89.4</v>
      </c>
      <c r="H9" s="8">
        <v>88.571428571428569</v>
      </c>
      <c r="I9" s="8">
        <v>86.781609195402297</v>
      </c>
      <c r="J9" s="8">
        <v>85.257985257985254</v>
      </c>
      <c r="K9" s="8">
        <v>85.655737704918039</v>
      </c>
      <c r="L9" s="8">
        <v>84.383753501400562</v>
      </c>
      <c r="M9" s="130">
        <v>83.966244725738392</v>
      </c>
      <c r="N9" s="131">
        <v>93.82022471910112</v>
      </c>
      <c r="O9" s="131">
        <v>84.80243161094225</v>
      </c>
      <c r="P9" s="131">
        <v>83.408071748878925</v>
      </c>
      <c r="Q9" s="131">
        <v>84.074074074074076</v>
      </c>
      <c r="R9" s="131">
        <v>84.565916398713824</v>
      </c>
      <c r="S9" s="131">
        <v>83.687943262411352</v>
      </c>
      <c r="T9" s="131">
        <v>82.663316582914575</v>
      </c>
      <c r="U9" s="131">
        <v>83.517699115044252</v>
      </c>
      <c r="V9" s="131">
        <v>84.225352112676063</v>
      </c>
      <c r="W9" s="132">
        <v>83.322390019697963</v>
      </c>
      <c r="X9" s="8">
        <v>85.245901639344268</v>
      </c>
      <c r="Y9" s="8">
        <v>93.61702127659575</v>
      </c>
      <c r="Z9" s="8">
        <v>100.8695652173913</v>
      </c>
      <c r="AA9" s="8">
        <v>93.006993006993014</v>
      </c>
      <c r="AB9" s="8">
        <v>90.804597701149419</v>
      </c>
      <c r="AC9" s="8">
        <v>82.251082251082252</v>
      </c>
      <c r="AD9" s="8">
        <v>76.975945017182127</v>
      </c>
      <c r="AE9" s="8">
        <v>75.78347578347578</v>
      </c>
      <c r="AF9" s="8">
        <v>83.65384615384616</v>
      </c>
      <c r="AG9" s="8">
        <v>88.932806324110672</v>
      </c>
      <c r="AH9" s="8">
        <v>86.906290115532741</v>
      </c>
    </row>
    <row r="10" spans="1:34">
      <c r="A10" s="5">
        <v>1980</v>
      </c>
      <c r="B10" s="8">
        <v>84.150326797385617</v>
      </c>
      <c r="C10" s="8">
        <v>107.36842105263158</v>
      </c>
      <c r="D10" s="8">
        <v>90.909090909090907</v>
      </c>
      <c r="E10" s="8">
        <v>90.291262135922324</v>
      </c>
      <c r="F10" s="8">
        <v>87.135922330097088</v>
      </c>
      <c r="G10" s="8">
        <v>86.666666666666671</v>
      </c>
      <c r="H10" s="8">
        <v>83.93442622950819</v>
      </c>
      <c r="I10" s="8">
        <v>83.87553041018387</v>
      </c>
      <c r="J10" s="8">
        <v>83.232077764277037</v>
      </c>
      <c r="K10" s="8">
        <v>83.926754832146486</v>
      </c>
      <c r="L10" s="8">
        <v>79.522184300341294</v>
      </c>
      <c r="M10" s="130">
        <v>81.01788170563961</v>
      </c>
      <c r="N10" s="131">
        <v>96.739130434782609</v>
      </c>
      <c r="O10" s="131">
        <v>85.964912280701753</v>
      </c>
      <c r="P10" s="131">
        <v>81.004366812227076</v>
      </c>
      <c r="Q10" s="131">
        <v>80.978260869565219</v>
      </c>
      <c r="R10" s="131">
        <v>79.968701095461654</v>
      </c>
      <c r="S10" s="131">
        <v>80.362116991643461</v>
      </c>
      <c r="T10" s="131">
        <v>81.288723667905828</v>
      </c>
      <c r="U10" s="131">
        <v>81.808278867102402</v>
      </c>
      <c r="V10" s="131">
        <v>81.581395348837205</v>
      </c>
      <c r="W10" s="132">
        <v>77.594936708860757</v>
      </c>
      <c r="X10" s="8">
        <v>82.622950819672127</v>
      </c>
      <c r="Y10" s="8"/>
      <c r="Z10" s="8"/>
      <c r="AA10" s="8"/>
      <c r="AB10" s="8"/>
      <c r="AC10" s="8"/>
      <c r="AD10" s="8"/>
      <c r="AE10" s="8"/>
      <c r="AF10" s="8"/>
      <c r="AG10" s="8"/>
      <c r="AH10" s="8"/>
    </row>
    <row r="11" spans="1:34">
      <c r="A11" s="5">
        <v>1981</v>
      </c>
      <c r="B11" s="8">
        <v>84.818481848184817</v>
      </c>
      <c r="C11" s="8">
        <v>95.327102803738313</v>
      </c>
      <c r="D11" s="8">
        <v>87.850467289719631</v>
      </c>
      <c r="E11" s="8">
        <v>83.974358974358978</v>
      </c>
      <c r="F11" s="8">
        <v>81.32678132678133</v>
      </c>
      <c r="G11" s="8">
        <v>83.2</v>
      </c>
      <c r="H11" s="8">
        <v>83.361344537815128</v>
      </c>
      <c r="I11" s="8">
        <v>83.764367816091948</v>
      </c>
      <c r="J11" s="8">
        <v>83.374384236453196</v>
      </c>
      <c r="K11" s="8">
        <v>83.913934426229503</v>
      </c>
      <c r="L11" s="8">
        <v>87.908269631688668</v>
      </c>
      <c r="M11" s="130">
        <v>82.377622377622373</v>
      </c>
      <c r="N11" s="131">
        <v>82.631578947368425</v>
      </c>
      <c r="O11" s="131">
        <v>78.82352941176471</v>
      </c>
      <c r="P11" s="131">
        <v>76.957494407158833</v>
      </c>
      <c r="Q11" s="131">
        <v>79.702048417132218</v>
      </c>
      <c r="R11" s="131">
        <v>80.225080385852095</v>
      </c>
      <c r="S11" s="131">
        <v>81.560283687943269</v>
      </c>
      <c r="T11" s="131">
        <v>81.532663316582912</v>
      </c>
      <c r="U11" s="131">
        <v>81.918412348401318</v>
      </c>
      <c r="V11" s="131">
        <v>82.84910965323337</v>
      </c>
      <c r="W11" s="132">
        <v>87.055016181229774</v>
      </c>
      <c r="X11" s="8">
        <v>78.369905956112859</v>
      </c>
      <c r="Y11" s="8">
        <v>94.736842105263165</v>
      </c>
      <c r="Z11" s="8">
        <v>87.596899224806208</v>
      </c>
      <c r="AA11" s="8">
        <v>86.875</v>
      </c>
      <c r="AB11" s="8">
        <v>83.510638297872347</v>
      </c>
      <c r="AC11" s="8">
        <v>78.389830508474574</v>
      </c>
      <c r="AD11" s="8">
        <v>76.094276094276097</v>
      </c>
      <c r="AE11" s="8">
        <v>75.277777777777771</v>
      </c>
      <c r="AF11" s="8">
        <v>74.654377880184327</v>
      </c>
      <c r="AG11" s="8">
        <v>78.007518796992485</v>
      </c>
      <c r="AH11" s="8">
        <v>77.010050251256288</v>
      </c>
    </row>
    <row r="12" spans="1:34">
      <c r="A12" s="5">
        <v>1982</v>
      </c>
      <c r="B12" s="8">
        <v>85.254237288135599</v>
      </c>
      <c r="C12" s="8">
        <v>95.145631067961162</v>
      </c>
      <c r="D12" s="8">
        <v>87.142857142857139</v>
      </c>
      <c r="E12" s="8">
        <v>83.223684210526315</v>
      </c>
      <c r="F12" s="8">
        <v>82.864450127877234</v>
      </c>
      <c r="G12" s="8">
        <v>83.264462809917362</v>
      </c>
      <c r="H12" s="8">
        <v>84.494773519163758</v>
      </c>
      <c r="I12" s="8">
        <v>85.394932935916543</v>
      </c>
      <c r="J12" s="8">
        <v>86.692015209125472</v>
      </c>
      <c r="K12" s="8">
        <v>87.002096436058707</v>
      </c>
      <c r="L12" s="8">
        <v>84.118060435699221</v>
      </c>
      <c r="M12" s="130">
        <v>82.926829268292678</v>
      </c>
      <c r="N12" s="131">
        <v>88.108108108108112</v>
      </c>
      <c r="O12" s="131">
        <v>80.303030303030297</v>
      </c>
      <c r="P12" s="131">
        <v>78.271028037383175</v>
      </c>
      <c r="Q12" s="131">
        <v>78.9980732177264</v>
      </c>
      <c r="R12" s="131">
        <v>80.801335559265439</v>
      </c>
      <c r="S12" s="131">
        <v>82.672540381791478</v>
      </c>
      <c r="T12" s="131">
        <v>84.476067270375168</v>
      </c>
      <c r="U12" s="131">
        <v>85.520361990950221</v>
      </c>
      <c r="V12" s="131">
        <v>85.510009532888461</v>
      </c>
      <c r="W12" s="132">
        <v>82.360655737704917</v>
      </c>
      <c r="X12" s="8">
        <v>77.142857142857139</v>
      </c>
      <c r="Y12" s="8">
        <v>60.377358490566039</v>
      </c>
      <c r="Z12" s="8">
        <v>82.945736434108525</v>
      </c>
      <c r="AA12" s="8">
        <v>86.79245283018868</v>
      </c>
      <c r="AB12" s="8">
        <v>79.679144385026731</v>
      </c>
      <c r="AC12" s="8">
        <v>76.19047619047619</v>
      </c>
      <c r="AD12" s="8">
        <v>71.97231833910034</v>
      </c>
      <c r="AE12" s="8">
        <v>71.590909090909093</v>
      </c>
      <c r="AF12" s="8">
        <v>76.869158878504678</v>
      </c>
      <c r="AG12" s="8">
        <v>81.939163498098864</v>
      </c>
      <c r="AH12" s="8">
        <v>76.256281407035175</v>
      </c>
    </row>
    <row r="13" spans="1:34">
      <c r="A13" s="5">
        <v>1983</v>
      </c>
      <c r="B13" s="8">
        <v>83.275261324041807</v>
      </c>
      <c r="C13" s="8">
        <v>88.541666666666671</v>
      </c>
      <c r="D13" s="8">
        <v>84.183673469387756</v>
      </c>
      <c r="E13" s="8">
        <v>80.281690140845072</v>
      </c>
      <c r="F13" s="8">
        <v>81.621621621621628</v>
      </c>
      <c r="G13" s="8">
        <v>80.818965517241381</v>
      </c>
      <c r="H13" s="8">
        <v>83.78378378378379</v>
      </c>
      <c r="I13" s="8">
        <v>82.748091603053439</v>
      </c>
      <c r="J13" s="8">
        <v>82.041343669250651</v>
      </c>
      <c r="K13" s="8">
        <v>82.714740190880164</v>
      </c>
      <c r="L13" s="8">
        <v>85.572139303482587</v>
      </c>
      <c r="M13" s="130">
        <v>81.112737920937036</v>
      </c>
      <c r="N13" s="131">
        <v>84.357541899441344</v>
      </c>
      <c r="O13" s="131">
        <v>76.656151419558356</v>
      </c>
      <c r="P13" s="131">
        <v>75.912408759124091</v>
      </c>
      <c r="Q13" s="131">
        <v>75.84830339321357</v>
      </c>
      <c r="R13" s="131">
        <v>80.378657487091218</v>
      </c>
      <c r="S13" s="131">
        <v>81.024096385542165</v>
      </c>
      <c r="T13" s="131">
        <v>80.052840158520482</v>
      </c>
      <c r="U13" s="131">
        <v>80.985108820160363</v>
      </c>
      <c r="V13" s="131">
        <v>81.862269641125124</v>
      </c>
      <c r="W13" s="132">
        <v>84.792626728110605</v>
      </c>
      <c r="X13" s="8">
        <v>73.400673400673398</v>
      </c>
      <c r="Y13" s="8"/>
      <c r="Z13" s="8"/>
      <c r="AA13" s="8"/>
      <c r="AB13" s="8"/>
      <c r="AC13" s="8"/>
      <c r="AD13" s="8"/>
      <c r="AE13" s="8"/>
      <c r="AF13" s="8"/>
      <c r="AG13" s="8"/>
      <c r="AH13" s="8"/>
    </row>
    <row r="14" spans="1:34">
      <c r="A14" s="5">
        <v>1984</v>
      </c>
      <c r="B14" s="8">
        <v>89.0625</v>
      </c>
      <c r="C14" s="8">
        <v>100</v>
      </c>
      <c r="D14" s="8">
        <v>91.089108910891085</v>
      </c>
      <c r="E14" s="8">
        <v>88.888888888888886</v>
      </c>
      <c r="F14" s="8">
        <v>89.276139410187668</v>
      </c>
      <c r="G14" s="8">
        <v>88.412017167381975</v>
      </c>
      <c r="H14" s="8">
        <v>90</v>
      </c>
      <c r="I14" s="8">
        <v>90.577507598784194</v>
      </c>
      <c r="J14" s="8">
        <v>90.155440414507765</v>
      </c>
      <c r="K14" s="8">
        <v>89.541088580576314</v>
      </c>
      <c r="L14" s="8">
        <v>85.876508161816886</v>
      </c>
      <c r="M14" s="130">
        <v>85.860058309037896</v>
      </c>
      <c r="N14" s="131">
        <v>92</v>
      </c>
      <c r="O14" s="131">
        <v>84.276729559748432</v>
      </c>
      <c r="P14" s="131">
        <v>84.019370460048421</v>
      </c>
      <c r="Q14" s="131">
        <v>83.596837944664031</v>
      </c>
      <c r="R14" s="131">
        <v>85.762711864406782</v>
      </c>
      <c r="S14" s="131">
        <v>87.202380952380949</v>
      </c>
      <c r="T14" s="131">
        <v>87.368421052631575</v>
      </c>
      <c r="U14" s="131">
        <v>87.170675830469648</v>
      </c>
      <c r="V14" s="131">
        <v>86.990291262135926</v>
      </c>
      <c r="W14" s="132">
        <v>83.858267716535437</v>
      </c>
      <c r="X14" s="8">
        <v>86.092715231788077</v>
      </c>
      <c r="Y14" s="8">
        <v>72</v>
      </c>
      <c r="Z14" s="8">
        <v>84.552845528455279</v>
      </c>
      <c r="AA14" s="8">
        <v>88.125</v>
      </c>
      <c r="AB14" s="8">
        <v>84.491978609625662</v>
      </c>
      <c r="AC14" s="8">
        <v>82.142857142857139</v>
      </c>
      <c r="AD14" s="8">
        <v>80.586080586080584</v>
      </c>
      <c r="AE14" s="8">
        <v>79.464285714285708</v>
      </c>
      <c r="AF14" s="8">
        <v>82.309582309582311</v>
      </c>
      <c r="AG14" s="8">
        <v>87.622789783889985</v>
      </c>
      <c r="AH14" s="8">
        <v>94.243641231593045</v>
      </c>
    </row>
    <row r="15" spans="1:34">
      <c r="A15" s="5">
        <v>1985</v>
      </c>
      <c r="B15" s="8">
        <v>88.566552901023897</v>
      </c>
      <c r="C15" s="8">
        <v>98.148148148148152</v>
      </c>
      <c r="D15" s="8">
        <v>93.75</v>
      </c>
      <c r="E15" s="8">
        <v>93.5374149659864</v>
      </c>
      <c r="F15" s="8">
        <v>91.556728232189968</v>
      </c>
      <c r="G15" s="8">
        <v>89.148936170212764</v>
      </c>
      <c r="H15" s="8">
        <v>88.318584070796462</v>
      </c>
      <c r="I15" s="8">
        <v>88.288288288288285</v>
      </c>
      <c r="J15" s="8">
        <v>88.407643312101911</v>
      </c>
      <c r="K15" s="8">
        <v>88.94736842105263</v>
      </c>
      <c r="L15" s="8">
        <v>84.937238493723854</v>
      </c>
      <c r="M15" s="130">
        <v>85.264663805436342</v>
      </c>
      <c r="N15" s="131">
        <v>90.575916230366488</v>
      </c>
      <c r="O15" s="131">
        <v>87.841945288753806</v>
      </c>
      <c r="P15" s="131">
        <v>86.255924170616112</v>
      </c>
      <c r="Q15" s="131">
        <v>84.435797665369648</v>
      </c>
      <c r="R15" s="131">
        <v>84.448160535117054</v>
      </c>
      <c r="S15" s="131">
        <v>85.190615835777123</v>
      </c>
      <c r="T15" s="131">
        <v>86.028460543337644</v>
      </c>
      <c r="U15" s="131">
        <v>86.455981941309261</v>
      </c>
      <c r="V15" s="131">
        <v>87.177033492822972</v>
      </c>
      <c r="W15" s="132">
        <v>82.546864899806081</v>
      </c>
      <c r="X15" s="8">
        <v>85.667752442996743</v>
      </c>
      <c r="Y15" s="8">
        <v>57.627118644067799</v>
      </c>
      <c r="Z15" s="8">
        <v>91.269841269841265</v>
      </c>
      <c r="AA15" s="8">
        <v>90.963855421686745</v>
      </c>
      <c r="AB15" s="8">
        <v>89.583333333333329</v>
      </c>
      <c r="AC15" s="8">
        <v>86.607142857142861</v>
      </c>
      <c r="AD15" s="8">
        <v>83.941605839416056</v>
      </c>
      <c r="AE15" s="8">
        <v>85.029940119760482</v>
      </c>
      <c r="AF15" s="8">
        <v>83.374083129584349</v>
      </c>
      <c r="AG15" s="8">
        <v>84.691848906560637</v>
      </c>
      <c r="AH15" s="8">
        <v>87.084398976982101</v>
      </c>
    </row>
    <row r="16" spans="1:34">
      <c r="A16" s="5">
        <v>1986</v>
      </c>
      <c r="B16" s="8">
        <v>87.074829931972786</v>
      </c>
      <c r="C16" s="8">
        <v>98.165137614678898</v>
      </c>
      <c r="D16" s="8">
        <v>93.36492890995261</v>
      </c>
      <c r="E16" s="8">
        <v>93.197278911564624</v>
      </c>
      <c r="F16" s="8">
        <v>93.633952254641912</v>
      </c>
      <c r="G16" s="8">
        <v>92.750533049040513</v>
      </c>
      <c r="H16" s="8">
        <v>90.053285968028419</v>
      </c>
      <c r="I16" s="8">
        <v>88.305847076461774</v>
      </c>
      <c r="J16" s="8">
        <v>86.658195679796691</v>
      </c>
      <c r="K16" s="8">
        <v>85.204616998950684</v>
      </c>
      <c r="L16" s="8">
        <v>80.553633217993081</v>
      </c>
      <c r="M16" s="130">
        <v>83.380681818181813</v>
      </c>
      <c r="N16" s="131">
        <v>87.817258883248726</v>
      </c>
      <c r="O16" s="131">
        <v>88.821752265861022</v>
      </c>
      <c r="P16" s="131">
        <v>87.793427230046944</v>
      </c>
      <c r="Q16" s="131">
        <v>87.184466019417471</v>
      </c>
      <c r="R16" s="131">
        <v>85.451505016722408</v>
      </c>
      <c r="S16" s="131">
        <v>84.671532846715323</v>
      </c>
      <c r="T16" s="131">
        <v>84.041184041184039</v>
      </c>
      <c r="U16" s="131">
        <v>82.978723404255319</v>
      </c>
      <c r="V16" s="131">
        <v>83.031458531935172</v>
      </c>
      <c r="W16" s="132">
        <v>77.940241576605217</v>
      </c>
      <c r="X16" s="8">
        <v>88.815789473684205</v>
      </c>
      <c r="Y16" s="8">
        <v>87.272727272727266</v>
      </c>
      <c r="Z16" s="8">
        <v>89.84375</v>
      </c>
      <c r="AA16" s="8">
        <v>90.532544378698219</v>
      </c>
      <c r="AB16" s="8">
        <v>88.265306122448976</v>
      </c>
      <c r="AC16" s="8">
        <v>86.84210526315789</v>
      </c>
      <c r="AD16" s="8">
        <v>84.249084249084248</v>
      </c>
      <c r="AE16" s="8">
        <v>83.383685800604226</v>
      </c>
      <c r="AF16" s="8">
        <v>85.607940446650119</v>
      </c>
      <c r="AG16" s="8">
        <v>89.860834990059644</v>
      </c>
      <c r="AH16" s="8">
        <v>93.923381770145312</v>
      </c>
    </row>
    <row r="17" spans="1:34">
      <c r="A17" s="5">
        <v>1987</v>
      </c>
      <c r="B17" s="8">
        <v>85.299145299145295</v>
      </c>
      <c r="C17" s="8">
        <v>93.859649122807014</v>
      </c>
      <c r="D17" s="8">
        <v>86.79245283018868</v>
      </c>
      <c r="E17" s="8">
        <v>84.797297297297291</v>
      </c>
      <c r="F17" s="8">
        <v>86.737400530503976</v>
      </c>
      <c r="G17" s="8">
        <v>86.480686695278976</v>
      </c>
      <c r="H17" s="8">
        <v>86.404293381037562</v>
      </c>
      <c r="I17" s="8">
        <v>87.424242424242422</v>
      </c>
      <c r="J17" s="8">
        <v>87.964148527528806</v>
      </c>
      <c r="K17" s="8">
        <v>87.05263157894737</v>
      </c>
      <c r="L17" s="8">
        <v>79.958246346555327</v>
      </c>
      <c r="M17" s="130">
        <v>83.214793741109531</v>
      </c>
      <c r="N17" s="131">
        <v>85.643564356435647</v>
      </c>
      <c r="O17" s="131">
        <v>82.985074626865668</v>
      </c>
      <c r="P17" s="131">
        <v>83.568075117370896</v>
      </c>
      <c r="Q17" s="131">
        <v>83.106796116504853</v>
      </c>
      <c r="R17" s="131">
        <v>83.779264214046819</v>
      </c>
      <c r="S17" s="131">
        <v>85.043988269794724</v>
      </c>
      <c r="T17" s="131">
        <v>85.567010309278345</v>
      </c>
      <c r="U17" s="131">
        <v>86.358511837655016</v>
      </c>
      <c r="V17" s="131">
        <v>84.026465028355389</v>
      </c>
      <c r="W17" s="132">
        <v>78.149100257069406</v>
      </c>
      <c r="X17" s="8">
        <v>76.393442622950815</v>
      </c>
      <c r="Y17" s="8">
        <v>78.125</v>
      </c>
      <c r="Z17" s="8">
        <v>80.769230769230774</v>
      </c>
      <c r="AA17" s="8">
        <v>86.390532544378701</v>
      </c>
      <c r="AB17" s="8">
        <v>83.333333333333329</v>
      </c>
      <c r="AC17" s="8">
        <v>78.354978354978357</v>
      </c>
      <c r="AD17" s="8">
        <v>75.362318840579704</v>
      </c>
      <c r="AE17" s="8">
        <v>74.02985074626865</v>
      </c>
      <c r="AF17" s="8">
        <v>74.938574938574945</v>
      </c>
      <c r="AG17" s="8">
        <v>77.217741935483872</v>
      </c>
      <c r="AH17" s="8">
        <v>73.216689098250342</v>
      </c>
    </row>
    <row r="18" spans="1:34">
      <c r="A18" s="5">
        <v>1988</v>
      </c>
      <c r="B18" s="8">
        <v>86.264656616415408</v>
      </c>
      <c r="C18" s="8">
        <v>106.03448275862068</v>
      </c>
      <c r="D18" s="8">
        <v>92.558139534883722</v>
      </c>
      <c r="E18" s="8">
        <v>90.397350993377486</v>
      </c>
      <c r="F18" s="8">
        <v>89.922480620155042</v>
      </c>
      <c r="G18" s="8">
        <v>88.28451882845188</v>
      </c>
      <c r="H18" s="8">
        <v>87.937062937062933</v>
      </c>
      <c r="I18" s="8">
        <v>86.538461538461533</v>
      </c>
      <c r="J18" s="8">
        <v>86.608260325406761</v>
      </c>
      <c r="K18" s="8">
        <v>85.200411099691678</v>
      </c>
      <c r="L18" s="8">
        <v>80.827586206896555</v>
      </c>
      <c r="M18" s="130">
        <v>82.916666666666671</v>
      </c>
      <c r="N18" s="131">
        <v>87.203791469194314</v>
      </c>
      <c r="O18" s="131">
        <v>86.1671469740634</v>
      </c>
      <c r="P18" s="131">
        <v>84.650112866817153</v>
      </c>
      <c r="Q18" s="131">
        <v>83.646616541353382</v>
      </c>
      <c r="R18" s="131">
        <v>83.876221498371336</v>
      </c>
      <c r="S18" s="131">
        <v>83.309557774607697</v>
      </c>
      <c r="T18" s="131">
        <v>84.256926952141058</v>
      </c>
      <c r="U18" s="131">
        <v>83.84615384615384</v>
      </c>
      <c r="V18" s="131">
        <v>83.086876155268016</v>
      </c>
      <c r="W18" s="132">
        <v>78.900255754475708</v>
      </c>
      <c r="X18" s="8">
        <v>85.806451612903231</v>
      </c>
      <c r="Y18" s="8">
        <v>112.5</v>
      </c>
      <c r="Z18" s="8">
        <v>94.736842105263165</v>
      </c>
      <c r="AA18" s="8">
        <v>94.152046783625735</v>
      </c>
      <c r="AB18" s="8">
        <v>89.447236180904525</v>
      </c>
      <c r="AC18" s="8">
        <v>87.931034482758619</v>
      </c>
      <c r="AD18" s="8">
        <v>85.714285714285708</v>
      </c>
      <c r="AE18" s="8">
        <v>81.120943952802364</v>
      </c>
      <c r="AF18" s="8">
        <v>81.219512195121951</v>
      </c>
      <c r="AG18" s="8">
        <v>83.762376237623769</v>
      </c>
      <c r="AH18" s="8">
        <v>84.285714285714292</v>
      </c>
    </row>
    <row r="19" spans="1:34">
      <c r="A19" s="5">
        <v>1989</v>
      </c>
      <c r="B19" s="8">
        <v>86.820428336079075</v>
      </c>
      <c r="C19" s="8">
        <v>103.36134453781513</v>
      </c>
      <c r="D19" s="8">
        <v>90.134529147982065</v>
      </c>
      <c r="E19" s="8">
        <v>89.354838709677423</v>
      </c>
      <c r="F19" s="8">
        <v>90.176322418136024</v>
      </c>
      <c r="G19" s="8">
        <v>88.752556237218812</v>
      </c>
      <c r="H19" s="8">
        <v>88.103448275862064</v>
      </c>
      <c r="I19" s="8">
        <v>87.390029325513197</v>
      </c>
      <c r="J19" s="8">
        <v>86.369268897149936</v>
      </c>
      <c r="K19" s="8">
        <v>86.368260427263479</v>
      </c>
      <c r="L19" s="8">
        <v>83.017591339648177</v>
      </c>
      <c r="M19" s="130">
        <v>84.038199181446117</v>
      </c>
      <c r="N19" s="131">
        <v>90.430622009569376</v>
      </c>
      <c r="O19" s="131">
        <v>86.440677966101688</v>
      </c>
      <c r="P19" s="131">
        <v>84.649122807017548</v>
      </c>
      <c r="Q19" s="131">
        <v>84.007352941176464</v>
      </c>
      <c r="R19" s="131">
        <v>84.824281150159749</v>
      </c>
      <c r="S19" s="131">
        <v>84.788732394366193</v>
      </c>
      <c r="T19" s="131">
        <v>84.49131513647643</v>
      </c>
      <c r="U19" s="131">
        <v>83.98268398268398</v>
      </c>
      <c r="V19" s="131">
        <v>84.93150684931507</v>
      </c>
      <c r="W19" s="132">
        <v>81.094527363184085</v>
      </c>
      <c r="X19" s="8">
        <v>83.647798742138363</v>
      </c>
      <c r="Y19" s="8">
        <v>94.666666666666671</v>
      </c>
      <c r="Z19" s="8">
        <v>89.65517241379311</v>
      </c>
      <c r="AA19" s="8">
        <v>89.444444444444443</v>
      </c>
      <c r="AB19" s="8">
        <v>86.538461538461533</v>
      </c>
      <c r="AC19" s="8">
        <v>83.539094650205755</v>
      </c>
      <c r="AD19" s="8">
        <v>79.251700680272108</v>
      </c>
      <c r="AE19" s="8">
        <v>80.056179775280896</v>
      </c>
      <c r="AF19" s="8">
        <v>83.606557377049185</v>
      </c>
      <c r="AG19" s="8">
        <v>85.797665369649806</v>
      </c>
      <c r="AH19" s="8">
        <v>80.510752688172047</v>
      </c>
    </row>
    <row r="20" spans="1:34">
      <c r="A20" s="5">
        <v>1990</v>
      </c>
      <c r="B20" s="8">
        <v>87.350427350427353</v>
      </c>
      <c r="C20" s="8">
        <v>106.42201834862385</v>
      </c>
      <c r="D20" s="8">
        <v>94.312796208530813</v>
      </c>
      <c r="E20" s="8">
        <v>92.439862542955325</v>
      </c>
      <c r="F20" s="8">
        <v>91.733333333333334</v>
      </c>
      <c r="G20" s="8">
        <v>89.699570815450642</v>
      </c>
      <c r="H20" s="8">
        <v>89.445438282647586</v>
      </c>
      <c r="I20" s="8">
        <v>88.804841149773068</v>
      </c>
      <c r="J20" s="8">
        <v>87.643312101910823</v>
      </c>
      <c r="K20" s="8">
        <v>85.119667013527575</v>
      </c>
      <c r="L20" s="8">
        <v>81.780250347705149</v>
      </c>
      <c r="M20" s="130">
        <v>84.463276836158187</v>
      </c>
      <c r="N20" s="131">
        <v>98.958333333333329</v>
      </c>
      <c r="O20" s="131">
        <v>87.869822485207095</v>
      </c>
      <c r="P20" s="131">
        <v>85.382830626450115</v>
      </c>
      <c r="Q20" s="131">
        <v>85.192307692307693</v>
      </c>
      <c r="R20" s="131">
        <v>86.235489220563849</v>
      </c>
      <c r="S20" s="131">
        <v>86.04651162790698</v>
      </c>
      <c r="T20" s="131">
        <v>85.440613026819918</v>
      </c>
      <c r="U20" s="131">
        <v>84.700665188470069</v>
      </c>
      <c r="V20" s="131">
        <v>82.833020637898684</v>
      </c>
      <c r="W20" s="132">
        <v>80.744544287548138</v>
      </c>
      <c r="X20" s="8">
        <v>83.974358974358978</v>
      </c>
      <c r="Y20" s="8">
        <v>87.692307692307693</v>
      </c>
      <c r="Z20" s="8">
        <v>85.611510791366911</v>
      </c>
      <c r="AA20" s="8">
        <v>91.379310344827587</v>
      </c>
      <c r="AB20" s="8">
        <v>89.552238805970148</v>
      </c>
      <c r="AC20" s="8">
        <v>86.266094420600865</v>
      </c>
      <c r="AD20" s="8">
        <v>83.333333333333329</v>
      </c>
      <c r="AE20" s="8">
        <v>82.634730538922156</v>
      </c>
      <c r="AF20" s="8">
        <v>85.574572127139362</v>
      </c>
      <c r="AG20" s="8">
        <v>87.128712871287135</v>
      </c>
      <c r="AH20" s="8">
        <v>77.72087067861716</v>
      </c>
    </row>
    <row r="21" spans="1:34">
      <c r="A21" s="5">
        <v>1991</v>
      </c>
      <c r="B21" s="8">
        <v>88.120567375886523</v>
      </c>
      <c r="C21" s="8">
        <v>103.80952380952381</v>
      </c>
      <c r="D21" s="8">
        <v>94.527363184079604</v>
      </c>
      <c r="E21" s="8">
        <v>92.446043165467628</v>
      </c>
      <c r="F21" s="8">
        <v>90.782122905027933</v>
      </c>
      <c r="G21" s="8">
        <v>90.271493212669682</v>
      </c>
      <c r="H21" s="8">
        <v>89.453860640301315</v>
      </c>
      <c r="I21" s="8">
        <v>89.257503949447084</v>
      </c>
      <c r="J21" s="8">
        <v>88.75661375661376</v>
      </c>
      <c r="K21" s="8">
        <v>89.069264069264065</v>
      </c>
      <c r="L21" s="8">
        <v>81.766784452296818</v>
      </c>
      <c r="M21" s="130">
        <v>84.593023255813947</v>
      </c>
      <c r="N21" s="131">
        <v>91.623036649214654</v>
      </c>
      <c r="O21" s="131">
        <v>87.423312883435585</v>
      </c>
      <c r="P21" s="131">
        <v>84.987893462469728</v>
      </c>
      <c r="Q21" s="131">
        <v>84.677419354838705</v>
      </c>
      <c r="R21" s="131">
        <v>84.256055363321806</v>
      </c>
      <c r="S21" s="131">
        <v>85.34743202416918</v>
      </c>
      <c r="T21" s="131">
        <v>85.865257595772789</v>
      </c>
      <c r="U21" s="131">
        <v>87.47126436781609</v>
      </c>
      <c r="V21" s="131">
        <v>86.293436293436287</v>
      </c>
      <c r="W21" s="132">
        <v>79.368149580915542</v>
      </c>
      <c r="X21" s="8">
        <v>89.041095890410958</v>
      </c>
      <c r="Y21" s="8">
        <v>103.44827586206897</v>
      </c>
      <c r="Z21" s="8">
        <v>86.4</v>
      </c>
      <c r="AA21" s="8">
        <v>93.939393939393938</v>
      </c>
      <c r="AB21" s="8">
        <v>92.2279792746114</v>
      </c>
      <c r="AC21" s="8">
        <v>90.045248868778287</v>
      </c>
      <c r="AD21" s="8">
        <v>85.769230769230774</v>
      </c>
      <c r="AE21" s="8">
        <v>83.699059561128522</v>
      </c>
      <c r="AF21" s="8">
        <v>85.384615384615387</v>
      </c>
      <c r="AG21" s="8">
        <v>92.631578947368425</v>
      </c>
      <c r="AH21" s="8">
        <v>89.87341772151899</v>
      </c>
    </row>
    <row r="22" spans="1:34">
      <c r="A22" s="5">
        <v>1992</v>
      </c>
      <c r="B22" s="8">
        <v>88.162544169611309</v>
      </c>
      <c r="C22" s="8">
        <v>110.1010101010101</v>
      </c>
      <c r="D22" s="8">
        <v>92.039800995024876</v>
      </c>
      <c r="E22" s="8">
        <v>90.94202898550725</v>
      </c>
      <c r="F22" s="8">
        <v>89.693593314763234</v>
      </c>
      <c r="G22" s="8">
        <v>90.293453724604973</v>
      </c>
      <c r="H22" s="8">
        <v>88.805970149253724</v>
      </c>
      <c r="I22" s="8">
        <v>88.540031397174261</v>
      </c>
      <c r="J22" s="8">
        <v>88.699080157687249</v>
      </c>
      <c r="K22" s="8">
        <v>88.399570354457566</v>
      </c>
      <c r="L22" s="8">
        <v>84.016973125884022</v>
      </c>
      <c r="M22" s="130">
        <v>86.066763425253995</v>
      </c>
      <c r="N22" s="131">
        <v>97.252747252747255</v>
      </c>
      <c r="O22" s="131">
        <v>87.461773700305812</v>
      </c>
      <c r="P22" s="131">
        <v>87.135922330097088</v>
      </c>
      <c r="Q22" s="131">
        <v>87.575150300601209</v>
      </c>
      <c r="R22" s="131">
        <v>85.910652920962193</v>
      </c>
      <c r="S22" s="131">
        <v>86.356821589205396</v>
      </c>
      <c r="T22" s="131">
        <v>86.876640419947506</v>
      </c>
      <c r="U22" s="131">
        <v>87.100456621004568</v>
      </c>
      <c r="V22" s="131">
        <v>87.006737247353229</v>
      </c>
      <c r="W22" s="132">
        <v>82.272727272727266</v>
      </c>
      <c r="X22" s="8">
        <v>81.694915254237287</v>
      </c>
      <c r="Y22" s="8">
        <v>101.78571428571429</v>
      </c>
      <c r="Z22" s="8">
        <v>90.625</v>
      </c>
      <c r="AA22" s="8">
        <v>89.221556886227546</v>
      </c>
      <c r="AB22" s="8">
        <v>87.628865979381445</v>
      </c>
      <c r="AC22" s="8">
        <v>85.972850678733025</v>
      </c>
      <c r="AD22" s="8">
        <v>85.15625</v>
      </c>
      <c r="AE22" s="8">
        <v>79.495268138801265</v>
      </c>
      <c r="AF22" s="8">
        <v>79.591836734693871</v>
      </c>
      <c r="AG22" s="8">
        <v>81.159420289855078</v>
      </c>
      <c r="AH22" s="8">
        <v>75.33875338753387</v>
      </c>
    </row>
    <row r="23" spans="1:34">
      <c r="A23" s="5">
        <v>1993</v>
      </c>
      <c r="B23" s="8">
        <v>89.311594202898547</v>
      </c>
      <c r="C23" s="8">
        <v>101.96078431372548</v>
      </c>
      <c r="D23" s="8">
        <v>91.959798994974875</v>
      </c>
      <c r="E23" s="8">
        <v>91.941391941391942</v>
      </c>
      <c r="F23" s="8">
        <v>93.447293447293447</v>
      </c>
      <c r="G23" s="8">
        <v>92.609699769053123</v>
      </c>
      <c r="H23" s="8">
        <v>93.29501915708812</v>
      </c>
      <c r="I23" s="8">
        <v>90.705128205128204</v>
      </c>
      <c r="J23" s="8">
        <v>89.142091152815013</v>
      </c>
      <c r="K23" s="8">
        <v>87.964989059080963</v>
      </c>
      <c r="L23" s="8">
        <v>83.55359765051395</v>
      </c>
      <c r="M23" s="130">
        <v>86.846038863976091</v>
      </c>
      <c r="N23" s="131">
        <v>91.304347826086953</v>
      </c>
      <c r="O23" s="131">
        <v>92.088607594936704</v>
      </c>
      <c r="P23" s="131">
        <v>90.726817042606513</v>
      </c>
      <c r="Q23" s="131">
        <v>89.211618257261406</v>
      </c>
      <c r="R23" s="131">
        <v>89.679715302491104</v>
      </c>
      <c r="S23" s="131">
        <v>87.981510015408318</v>
      </c>
      <c r="T23" s="131">
        <v>87.365591397849457</v>
      </c>
      <c r="U23" s="131">
        <v>86.829836829836836</v>
      </c>
      <c r="V23" s="131">
        <v>86.444007858546172</v>
      </c>
      <c r="W23" s="132">
        <v>82.033898305084747</v>
      </c>
      <c r="X23" s="8">
        <v>84.93150684931507</v>
      </c>
      <c r="Y23" s="8">
        <v>105.55555555555556</v>
      </c>
      <c r="Z23" s="8">
        <v>84.251968503937007</v>
      </c>
      <c r="AA23" s="8">
        <v>93.25153374233129</v>
      </c>
      <c r="AB23" s="8">
        <v>87.89473684210526</v>
      </c>
      <c r="AC23" s="8">
        <v>86.36363636363636</v>
      </c>
      <c r="AD23" s="8">
        <v>84.108527131782949</v>
      </c>
      <c r="AE23" s="8">
        <v>80.254777070063696</v>
      </c>
      <c r="AF23" s="8">
        <v>81.558441558441558</v>
      </c>
      <c r="AG23" s="8">
        <v>87.656903765690373</v>
      </c>
      <c r="AH23" s="8">
        <v>81.768707482993193</v>
      </c>
    </row>
    <row r="24" spans="1:34">
      <c r="A24" s="5">
        <v>1994</v>
      </c>
      <c r="B24" s="8">
        <v>87.769784172661872</v>
      </c>
      <c r="C24" s="8">
        <v>98.05825242718447</v>
      </c>
      <c r="D24" s="8">
        <v>93.5</v>
      </c>
      <c r="E24" s="8">
        <v>91.851851851851848</v>
      </c>
      <c r="F24" s="8">
        <v>93.181818181818187</v>
      </c>
      <c r="G24" s="8">
        <v>92.431192660550465</v>
      </c>
      <c r="H24" s="8">
        <v>90.684410646387832</v>
      </c>
      <c r="I24" s="8">
        <v>88.69426751592357</v>
      </c>
      <c r="J24" s="8">
        <v>87.834224598930476</v>
      </c>
      <c r="K24" s="8">
        <v>86.368593238822243</v>
      </c>
      <c r="L24" s="8">
        <v>81.679942070963065</v>
      </c>
      <c r="M24" s="130">
        <v>84.933530280649933</v>
      </c>
      <c r="N24" s="131">
        <v>87.700534759358291</v>
      </c>
      <c r="O24" s="131">
        <v>88.785046728971963</v>
      </c>
      <c r="P24" s="131">
        <v>89.408866995073893</v>
      </c>
      <c r="Q24" s="131">
        <v>88.319672131147541</v>
      </c>
      <c r="R24" s="131">
        <v>86.212914485165797</v>
      </c>
      <c r="S24" s="131">
        <v>85.844748858447488</v>
      </c>
      <c r="T24" s="131">
        <v>86.114819759679577</v>
      </c>
      <c r="U24" s="131">
        <v>85.052143684820393</v>
      </c>
      <c r="V24" s="131">
        <v>85.004868549172343</v>
      </c>
      <c r="W24" s="132">
        <v>79.8</v>
      </c>
      <c r="X24" s="8">
        <v>85.567010309278345</v>
      </c>
      <c r="Y24" s="8">
        <v>88.333333333333329</v>
      </c>
      <c r="Z24" s="8">
        <v>88.709677419354833</v>
      </c>
      <c r="AA24" s="8">
        <v>92.073170731707322</v>
      </c>
      <c r="AB24" s="8">
        <v>91.191709844559583</v>
      </c>
      <c r="AC24" s="8">
        <v>89.592760180995469</v>
      </c>
      <c r="AD24" s="8">
        <v>88.095238095238102</v>
      </c>
      <c r="AE24" s="8">
        <v>83.116883116883116</v>
      </c>
      <c r="AF24" s="8">
        <v>83.854166666666671</v>
      </c>
      <c r="AG24" s="8">
        <v>87.682672233820455</v>
      </c>
      <c r="AH24" s="8">
        <v>79.807692307692307</v>
      </c>
    </row>
    <row r="25" spans="1:34">
      <c r="A25" s="5">
        <v>1995</v>
      </c>
      <c r="B25" s="8">
        <v>88.150807899461398</v>
      </c>
      <c r="C25" s="8">
        <v>106.86274509803921</v>
      </c>
      <c r="D25" s="8">
        <v>95.024875621890544</v>
      </c>
      <c r="E25" s="8">
        <v>91.970802919708035</v>
      </c>
      <c r="F25" s="8">
        <v>90.960451977401135</v>
      </c>
      <c r="G25" s="8">
        <v>90.389016018306634</v>
      </c>
      <c r="H25" s="8">
        <v>90.07633587786259</v>
      </c>
      <c r="I25" s="8">
        <v>88.461538461538467</v>
      </c>
      <c r="J25" s="8">
        <v>89.247311827956992</v>
      </c>
      <c r="K25" s="8">
        <v>87.636761487964989</v>
      </c>
      <c r="L25" s="8">
        <v>82.758620689655174</v>
      </c>
      <c r="M25" s="130">
        <v>84.808259587020643</v>
      </c>
      <c r="N25" s="131">
        <v>89.005235602094245</v>
      </c>
      <c r="O25" s="131">
        <v>85.448916408668737</v>
      </c>
      <c r="P25" s="131">
        <v>85.784313725490193</v>
      </c>
      <c r="Q25" s="131">
        <v>85.655737704918039</v>
      </c>
      <c r="R25" s="131">
        <v>85.890652557319228</v>
      </c>
      <c r="S25" s="131">
        <v>85.451761102603371</v>
      </c>
      <c r="T25" s="131">
        <v>87.131367292225207</v>
      </c>
      <c r="U25" s="131">
        <v>86.527293844367009</v>
      </c>
      <c r="V25" s="131">
        <v>85.588235294117652</v>
      </c>
      <c r="W25" s="132">
        <v>80.65789473684211</v>
      </c>
      <c r="X25" s="8">
        <v>89.115646258503403</v>
      </c>
      <c r="Y25" s="8">
        <v>103.63636363636364</v>
      </c>
      <c r="Z25" s="8">
        <v>93.388429752066116</v>
      </c>
      <c r="AA25" s="8">
        <v>96.969696969696969</v>
      </c>
      <c r="AB25" s="8">
        <v>94.329896907216494</v>
      </c>
      <c r="AC25" s="8">
        <v>91.441441441441441</v>
      </c>
      <c r="AD25" s="8">
        <v>88.888888888888886</v>
      </c>
      <c r="AE25" s="8">
        <v>87.066246056782333</v>
      </c>
      <c r="AF25" s="8">
        <v>86.666666666666671</v>
      </c>
      <c r="AG25" s="8">
        <v>90.248962655601659</v>
      </c>
      <c r="AH25" s="8">
        <v>84.625850340136054</v>
      </c>
    </row>
    <row r="26" spans="1:34">
      <c r="A26" s="5">
        <v>1996</v>
      </c>
      <c r="B26" s="8">
        <v>88.129496402877692</v>
      </c>
      <c r="C26" s="8">
        <v>105.10204081632654</v>
      </c>
      <c r="D26" s="8">
        <v>95.384615384615387</v>
      </c>
      <c r="E26" s="8">
        <v>92.830188679245282</v>
      </c>
      <c r="F26" s="8">
        <v>92.48554913294798</v>
      </c>
      <c r="G26" s="8">
        <v>91.334894613583131</v>
      </c>
      <c r="H26" s="8">
        <v>89.961389961389955</v>
      </c>
      <c r="I26" s="8">
        <v>89.406099518459072</v>
      </c>
      <c r="J26" s="8">
        <v>88.101604278074873</v>
      </c>
      <c r="K26" s="8">
        <v>86.847826086956516</v>
      </c>
      <c r="L26" s="8">
        <v>82.700421940928265</v>
      </c>
      <c r="M26" s="130">
        <v>85.609397944199699</v>
      </c>
      <c r="N26" s="131">
        <v>93.406593406593402</v>
      </c>
      <c r="O26" s="131">
        <v>90.158730158730165</v>
      </c>
      <c r="P26" s="131">
        <v>89.22305764411027</v>
      </c>
      <c r="Q26" s="131">
        <v>87.344398340248958</v>
      </c>
      <c r="R26" s="131">
        <v>86.572438162544174</v>
      </c>
      <c r="S26" s="131">
        <v>86.870229007633583</v>
      </c>
      <c r="T26" s="131">
        <v>85.90425531914893</v>
      </c>
      <c r="U26" s="131">
        <v>85.483870967741936</v>
      </c>
      <c r="V26" s="131">
        <v>85.672797676669887</v>
      </c>
      <c r="W26" s="132">
        <v>80.70287539936102</v>
      </c>
      <c r="X26" s="8">
        <v>85.467128027681667</v>
      </c>
      <c r="Y26" s="8">
        <v>100</v>
      </c>
      <c r="Z26" s="8">
        <v>93.277310924369743</v>
      </c>
      <c r="AA26" s="8">
        <v>93.788819875776397</v>
      </c>
      <c r="AB26" s="8">
        <v>90.575916230366488</v>
      </c>
      <c r="AC26" s="8">
        <v>90.825688073394502</v>
      </c>
      <c r="AD26" s="8">
        <v>88.142292490118578</v>
      </c>
      <c r="AE26" s="8">
        <v>83.548387096774192</v>
      </c>
      <c r="AF26" s="8">
        <v>82.767624020887723</v>
      </c>
      <c r="AG26" s="8">
        <v>84</v>
      </c>
      <c r="AH26" s="8">
        <v>80.71625344352617</v>
      </c>
    </row>
    <row r="27" spans="1:34">
      <c r="A27" s="5">
        <v>1997</v>
      </c>
      <c r="B27" s="8">
        <v>86.428571428571431</v>
      </c>
      <c r="C27" s="8">
        <v>100</v>
      </c>
      <c r="D27" s="8">
        <v>92.746113989637308</v>
      </c>
      <c r="E27" s="8">
        <v>91.666666666666671</v>
      </c>
      <c r="F27" s="8">
        <v>90.778097982708928</v>
      </c>
      <c r="G27" s="8">
        <v>90.654205607476641</v>
      </c>
      <c r="H27" s="8">
        <v>90.32882011605416</v>
      </c>
      <c r="I27" s="8">
        <v>88.48</v>
      </c>
      <c r="J27" s="8">
        <v>87.118193891102251</v>
      </c>
      <c r="K27" s="8">
        <v>84.838709677419359</v>
      </c>
      <c r="L27" s="8">
        <v>79.93127147766323</v>
      </c>
      <c r="M27" s="130">
        <v>83.430232558139537</v>
      </c>
      <c r="N27" s="131">
        <v>94.252873563218387</v>
      </c>
      <c r="O27" s="131">
        <v>87.697160883280759</v>
      </c>
      <c r="P27" s="131">
        <v>86.567164179104481</v>
      </c>
      <c r="Q27" s="131">
        <v>86.721991701244818</v>
      </c>
      <c r="R27" s="131">
        <v>86.39575971731449</v>
      </c>
      <c r="S27" s="131">
        <v>85.280728376327772</v>
      </c>
      <c r="T27" s="131">
        <v>84.828496042216358</v>
      </c>
      <c r="U27" s="131">
        <v>83.542857142857144</v>
      </c>
      <c r="V27" s="131">
        <v>82.745471877979028</v>
      </c>
      <c r="W27" s="132">
        <v>77.6875</v>
      </c>
      <c r="X27" s="8">
        <v>86.505190311418687</v>
      </c>
      <c r="Y27" s="8">
        <v>88</v>
      </c>
      <c r="Z27" s="8">
        <v>82.758620689655174</v>
      </c>
      <c r="AA27" s="8">
        <v>83.544303797468359</v>
      </c>
      <c r="AB27" s="8">
        <v>88.359788359788354</v>
      </c>
      <c r="AC27" s="8">
        <v>88.47926267281106</v>
      </c>
      <c r="AD27" s="8">
        <v>87.301587301587304</v>
      </c>
      <c r="AE27" s="8">
        <v>83.60128617363344</v>
      </c>
      <c r="AF27" s="8">
        <v>84.334203655352482</v>
      </c>
      <c r="AG27" s="8">
        <v>88.025210084033617</v>
      </c>
      <c r="AH27" s="8">
        <v>86.962365591397855</v>
      </c>
    </row>
    <row r="28" spans="1:34">
      <c r="A28" s="5">
        <v>1998</v>
      </c>
      <c r="B28" s="8">
        <v>86.837606837606842</v>
      </c>
      <c r="C28" s="8">
        <v>120.23809523809524</v>
      </c>
      <c r="D28" s="8">
        <v>95.408163265306129</v>
      </c>
      <c r="E28" s="8">
        <v>90.181818181818187</v>
      </c>
      <c r="F28" s="8">
        <v>90.756302521008408</v>
      </c>
      <c r="G28" s="8">
        <v>89.473684210526315</v>
      </c>
      <c r="H28" s="8">
        <v>89.097744360902254</v>
      </c>
      <c r="I28" s="8">
        <v>88.68217054263566</v>
      </c>
      <c r="J28" s="8">
        <v>87.084398976982101</v>
      </c>
      <c r="K28" s="8">
        <v>85.154639175257728</v>
      </c>
      <c r="L28" s="8">
        <v>81.122448979591837</v>
      </c>
      <c r="M28" s="130">
        <v>83.679114799446751</v>
      </c>
      <c r="N28" s="131">
        <v>93.220338983050851</v>
      </c>
      <c r="O28" s="131">
        <v>86.060606060606062</v>
      </c>
      <c r="P28" s="131">
        <v>86.893203883495147</v>
      </c>
      <c r="Q28" s="131">
        <v>86.37274549098197</v>
      </c>
      <c r="R28" s="131">
        <v>86.201022146507668</v>
      </c>
      <c r="S28" s="131">
        <v>85.651537335285511</v>
      </c>
      <c r="T28" s="131">
        <v>84.917617237008869</v>
      </c>
      <c r="U28" s="131">
        <v>84.245076586433257</v>
      </c>
      <c r="V28" s="131">
        <v>82.315405651777581</v>
      </c>
      <c r="W28" s="132">
        <v>78.853868194842406</v>
      </c>
      <c r="X28" s="8">
        <v>87.457627118644069</v>
      </c>
      <c r="Y28" s="8">
        <v>140</v>
      </c>
      <c r="Z28" s="8">
        <v>96.610169491525426</v>
      </c>
      <c r="AA28" s="8">
        <v>96.202531645569621</v>
      </c>
      <c r="AB28" s="8">
        <v>93.15789473684211</v>
      </c>
      <c r="AC28" s="8">
        <v>90.497737556561091</v>
      </c>
      <c r="AD28" s="8">
        <v>84.410646387832699</v>
      </c>
      <c r="AE28" s="8">
        <v>85.139318885448915</v>
      </c>
      <c r="AF28" s="8">
        <v>84.318766066838052</v>
      </c>
      <c r="AG28" s="8">
        <v>83.02277432712215</v>
      </c>
      <c r="AH28" s="8">
        <v>85.378590078328983</v>
      </c>
    </row>
    <row r="29" spans="1:34">
      <c r="A29" s="5">
        <v>1999</v>
      </c>
      <c r="B29" s="8">
        <v>86.567164179104481</v>
      </c>
      <c r="C29" s="8">
        <v>120.68965517241379</v>
      </c>
      <c r="D29" s="8">
        <v>96.019900497512438</v>
      </c>
      <c r="E29" s="8">
        <v>93.309859154929583</v>
      </c>
      <c r="F29" s="8">
        <v>90.835579514824801</v>
      </c>
      <c r="G29" s="8">
        <v>89.496717724288843</v>
      </c>
      <c r="H29" s="8">
        <v>90.072202166064983</v>
      </c>
      <c r="I29" s="8">
        <v>88.721804511278194</v>
      </c>
      <c r="J29" s="8">
        <v>87.920298879202988</v>
      </c>
      <c r="K29" s="8">
        <v>85.914085914085916</v>
      </c>
      <c r="L29" s="8">
        <v>77.888198757763973</v>
      </c>
      <c r="M29" s="130">
        <v>83.758389261744966</v>
      </c>
      <c r="N29" s="131">
        <v>98.924731182795696</v>
      </c>
      <c r="O29" s="131">
        <v>86.956521739130437</v>
      </c>
      <c r="P29" s="131">
        <v>86.175115207373267</v>
      </c>
      <c r="Q29" s="131">
        <v>87.140115163147797</v>
      </c>
      <c r="R29" s="131">
        <v>87.684729064039402</v>
      </c>
      <c r="S29" s="131">
        <v>86.324786324786331</v>
      </c>
      <c r="T29" s="131">
        <v>86.049382716049379</v>
      </c>
      <c r="U29" s="131">
        <v>85.047720042417822</v>
      </c>
      <c r="V29" s="131">
        <v>83.274336283185846</v>
      </c>
      <c r="W29" s="132">
        <v>76.031656302996041</v>
      </c>
      <c r="X29" s="8">
        <v>84.838709677419359</v>
      </c>
      <c r="Y29" s="8">
        <v>108.33333333333333</v>
      </c>
      <c r="Z29" s="8">
        <v>96.581196581196579</v>
      </c>
      <c r="AA29" s="8">
        <v>99.386503067484668</v>
      </c>
      <c r="AB29" s="8">
        <v>92.857142857142861</v>
      </c>
      <c r="AC29" s="8">
        <v>89.473684210526315</v>
      </c>
      <c r="AD29" s="8">
        <v>86.861313868613138</v>
      </c>
      <c r="AE29" s="8">
        <v>88.588588588588593</v>
      </c>
      <c r="AF29" s="8">
        <v>86.352357320099259</v>
      </c>
      <c r="AG29" s="8">
        <v>82.142857142857139</v>
      </c>
      <c r="AH29" s="8">
        <v>75.38280329799764</v>
      </c>
    </row>
    <row r="30" spans="1:34">
      <c r="A30" s="5">
        <v>2000</v>
      </c>
      <c r="B30" s="8">
        <v>86.268174474959608</v>
      </c>
      <c r="C30" s="8">
        <v>119.51219512195122</v>
      </c>
      <c r="D30" s="8">
        <v>93.658536585365852</v>
      </c>
      <c r="E30" s="8">
        <v>90.689655172413794</v>
      </c>
      <c r="F30" s="8">
        <v>91.17647058823529</v>
      </c>
      <c r="G30" s="8">
        <v>90.434782608695656</v>
      </c>
      <c r="H30" s="8">
        <v>88.591800356506241</v>
      </c>
      <c r="I30" s="8">
        <v>87.130177514792905</v>
      </c>
      <c r="J30" s="8">
        <v>86.919315403422985</v>
      </c>
      <c r="K30" s="8">
        <v>86.510263929618773</v>
      </c>
      <c r="L30" s="8">
        <v>79.434295816146147</v>
      </c>
      <c r="M30" s="130">
        <v>84.114583333333329</v>
      </c>
      <c r="N30" s="131">
        <v>103.27868852459017</v>
      </c>
      <c r="O30" s="131">
        <v>89.684813753581665</v>
      </c>
      <c r="P30" s="131">
        <v>88.838268792710707</v>
      </c>
      <c r="Q30" s="131">
        <v>87.666034155597728</v>
      </c>
      <c r="R30" s="131">
        <v>85.346215780998392</v>
      </c>
      <c r="S30" s="131">
        <v>85.714285714285708</v>
      </c>
      <c r="T30" s="131">
        <v>84.987893462469728</v>
      </c>
      <c r="U30" s="131">
        <v>84.679089026915108</v>
      </c>
      <c r="V30" s="131">
        <v>85.194805194805198</v>
      </c>
      <c r="W30" s="132">
        <v>76.668418286915397</v>
      </c>
      <c r="X30" s="8">
        <v>82.051282051282058</v>
      </c>
      <c r="Y30" s="8">
        <v>126.31578947368421</v>
      </c>
      <c r="Z30" s="8">
        <v>83.333333333333329</v>
      </c>
      <c r="AA30" s="8">
        <v>95.151515151515156</v>
      </c>
      <c r="AB30" s="8">
        <v>88.94472361809045</v>
      </c>
      <c r="AC30" s="8">
        <v>85.407725321888407</v>
      </c>
      <c r="AD30" s="8">
        <v>79.642857142857139</v>
      </c>
      <c r="AE30" s="8">
        <v>80.473372781065095</v>
      </c>
      <c r="AF30" s="8">
        <v>81.372549019607845</v>
      </c>
      <c r="AG30" s="8">
        <v>80.550098231827107</v>
      </c>
      <c r="AH30" s="8">
        <v>76.618705035971217</v>
      </c>
    </row>
    <row r="31" spans="1:34">
      <c r="A31" s="5">
        <v>2001</v>
      </c>
      <c r="B31" s="8">
        <v>85.536547433903579</v>
      </c>
      <c r="C31" s="8">
        <v>107.29166666666667</v>
      </c>
      <c r="D31" s="8">
        <v>90.610328638497649</v>
      </c>
      <c r="E31" s="8">
        <v>87.74834437086092</v>
      </c>
      <c r="F31" s="8">
        <v>88.946015424164528</v>
      </c>
      <c r="G31" s="8">
        <v>88.493723849372387</v>
      </c>
      <c r="H31" s="8">
        <v>88.946459412780655</v>
      </c>
      <c r="I31" s="8">
        <v>87.303851640513557</v>
      </c>
      <c r="J31" s="8">
        <v>85.917159763313606</v>
      </c>
      <c r="K31" s="8">
        <v>85.714285714285708</v>
      </c>
      <c r="L31" s="8">
        <v>79.695431472081225</v>
      </c>
      <c r="M31" s="130">
        <v>82.5</v>
      </c>
      <c r="N31" s="131">
        <v>89.371980676328505</v>
      </c>
      <c r="O31" s="131">
        <v>86.813186813186817</v>
      </c>
      <c r="P31" s="131">
        <v>86.652078774617067</v>
      </c>
      <c r="Q31" s="131">
        <v>86.996336996336993</v>
      </c>
      <c r="R31" s="131">
        <v>86.25</v>
      </c>
      <c r="S31" s="131">
        <v>84.56375838926175</v>
      </c>
      <c r="T31" s="131">
        <v>83.723653395784538</v>
      </c>
      <c r="U31" s="131">
        <v>83.734939759036138</v>
      </c>
      <c r="V31" s="131">
        <v>84.113712374581937</v>
      </c>
      <c r="W31" s="132">
        <v>74.686087393269716</v>
      </c>
      <c r="X31" s="8">
        <v>86.238532110091739</v>
      </c>
      <c r="Y31" s="8">
        <v>130.76923076923077</v>
      </c>
      <c r="Z31" s="8">
        <v>84.251968503937007</v>
      </c>
      <c r="AA31" s="8">
        <v>90.643274853801174</v>
      </c>
      <c r="AB31" s="8">
        <v>86.956521739130437</v>
      </c>
      <c r="AC31" s="8">
        <v>84.489795918367349</v>
      </c>
      <c r="AD31" s="8">
        <v>81.632653061224488</v>
      </c>
      <c r="AE31" s="8">
        <v>80.790960451977398</v>
      </c>
      <c r="AF31" s="8">
        <v>79.812206572769952</v>
      </c>
      <c r="AG31" s="8">
        <v>79.213483146067418</v>
      </c>
      <c r="AH31" s="8">
        <v>94.298745724059287</v>
      </c>
    </row>
    <row r="32" spans="1:34">
      <c r="A32" s="5">
        <v>2002</v>
      </c>
      <c r="B32" s="8">
        <v>83.875968992248062</v>
      </c>
      <c r="C32" s="8">
        <v>101.98019801980197</v>
      </c>
      <c r="D32" s="8">
        <v>88.425925925925924</v>
      </c>
      <c r="E32" s="8">
        <v>84.818481848184817</v>
      </c>
      <c r="F32" s="8">
        <v>86.11825192802057</v>
      </c>
      <c r="G32" s="8">
        <v>85.98326359832636</v>
      </c>
      <c r="H32" s="8">
        <v>87.564766839378237</v>
      </c>
      <c r="I32" s="8">
        <v>87.124463519313309</v>
      </c>
      <c r="J32" s="8">
        <v>86.486486486486484</v>
      </c>
      <c r="K32" s="8">
        <v>84.15094339622641</v>
      </c>
      <c r="L32" s="8">
        <v>77.352112676056336</v>
      </c>
      <c r="M32" s="130">
        <v>82.375</v>
      </c>
      <c r="N32" s="131">
        <v>92</v>
      </c>
      <c r="O32" s="131">
        <v>87.743732590529248</v>
      </c>
      <c r="P32" s="131">
        <v>85.242290748898682</v>
      </c>
      <c r="Q32" s="131">
        <v>86.446886446886452</v>
      </c>
      <c r="R32" s="131">
        <v>86.40625</v>
      </c>
      <c r="S32" s="131">
        <v>85.060565275908473</v>
      </c>
      <c r="T32" s="131">
        <v>84.570765661252906</v>
      </c>
      <c r="U32" s="131">
        <v>82.652043868394813</v>
      </c>
      <c r="V32" s="131">
        <v>82.504145936981757</v>
      </c>
      <c r="W32" s="132">
        <v>75.050403225806448</v>
      </c>
      <c r="X32" s="8">
        <v>76.119402985074629</v>
      </c>
      <c r="Y32" s="8">
        <v>94.117647058823536</v>
      </c>
      <c r="Z32" s="8">
        <v>81.060606060606062</v>
      </c>
      <c r="AA32" s="8">
        <v>90.960451977401135</v>
      </c>
      <c r="AB32" s="8">
        <v>85.377358490566039</v>
      </c>
      <c r="AC32" s="8">
        <v>80.158730158730165</v>
      </c>
      <c r="AD32" s="8">
        <v>74.34210526315789</v>
      </c>
      <c r="AE32" s="8">
        <v>73.756906077348063</v>
      </c>
      <c r="AF32" s="8">
        <v>73.672055427251735</v>
      </c>
      <c r="AG32" s="8">
        <v>73.654916512059373</v>
      </c>
      <c r="AH32" s="8">
        <v>72.234762979683978</v>
      </c>
    </row>
    <row r="33" spans="1:34">
      <c r="A33" s="5">
        <v>2003</v>
      </c>
      <c r="B33" s="8">
        <v>84.555382215288617</v>
      </c>
      <c r="C33" s="8">
        <v>94.117647058823536</v>
      </c>
      <c r="D33" s="8">
        <v>91.588785046728972</v>
      </c>
      <c r="E33" s="8">
        <v>87.666666666666671</v>
      </c>
      <c r="F33" s="8">
        <v>86.855670103092777</v>
      </c>
      <c r="G33" s="8">
        <v>87.421383647798748</v>
      </c>
      <c r="H33" s="8">
        <v>86.724137931034477</v>
      </c>
      <c r="I33" s="8">
        <v>85.714285714285708</v>
      </c>
      <c r="J33" s="8">
        <v>85.47815820543093</v>
      </c>
      <c r="K33" s="8">
        <v>83.443708609271525</v>
      </c>
      <c r="L33" s="8">
        <v>80.493402180149161</v>
      </c>
      <c r="M33" s="130">
        <v>83.102143757881464</v>
      </c>
      <c r="N33" s="131">
        <v>84.615384615384613</v>
      </c>
      <c r="O33" s="131">
        <v>87.186629526462397</v>
      </c>
      <c r="P33" s="131">
        <v>86.563876651982383</v>
      </c>
      <c r="Q33" s="131">
        <v>86.556169429097608</v>
      </c>
      <c r="R33" s="131">
        <v>84.6875</v>
      </c>
      <c r="S33" s="131">
        <v>84.274193548387103</v>
      </c>
      <c r="T33" s="131">
        <v>83.995327102803742</v>
      </c>
      <c r="U33" s="131">
        <v>83.232931726907637</v>
      </c>
      <c r="V33" s="131">
        <v>81.697171381031609</v>
      </c>
      <c r="W33" s="132">
        <v>79.565442317640972</v>
      </c>
      <c r="X33" s="8">
        <v>76.627218934911241</v>
      </c>
      <c r="Y33" s="8">
        <v>77.551020408163268</v>
      </c>
      <c r="Z33" s="8">
        <v>83.464566929133852</v>
      </c>
      <c r="AA33" s="8">
        <v>95.402298850574709</v>
      </c>
      <c r="AB33" s="8">
        <v>90.476190476190482</v>
      </c>
      <c r="AC33" s="8">
        <v>85.483870967741936</v>
      </c>
      <c r="AD33" s="8">
        <v>80.936454849498332</v>
      </c>
      <c r="AE33" s="8">
        <v>77.5</v>
      </c>
      <c r="AF33" s="8">
        <v>75.172413793103445</v>
      </c>
      <c r="AG33" s="8">
        <v>74</v>
      </c>
      <c r="AH33" s="8">
        <v>67.567567567567565</v>
      </c>
    </row>
    <row r="34" spans="1:34">
      <c r="A34" s="5">
        <v>2004</v>
      </c>
      <c r="B34" s="8">
        <v>84.509202453987726</v>
      </c>
      <c r="C34" s="8">
        <v>105.10204081632654</v>
      </c>
      <c r="D34" s="8">
        <v>91.588785046728972</v>
      </c>
      <c r="E34" s="8">
        <v>87.788778877887793</v>
      </c>
      <c r="F34" s="8">
        <v>86.989795918367349</v>
      </c>
      <c r="G34" s="8">
        <v>87.966804979253112</v>
      </c>
      <c r="H34" s="8">
        <v>86.837606837606842</v>
      </c>
      <c r="I34" s="8">
        <v>86.318758815232727</v>
      </c>
      <c r="J34" s="8">
        <v>85.331781140861466</v>
      </c>
      <c r="K34" s="8">
        <v>84.264432029795159</v>
      </c>
      <c r="L34" s="8">
        <v>78.813089295618411</v>
      </c>
      <c r="M34" s="130">
        <v>83.004926108374377</v>
      </c>
      <c r="N34" s="131">
        <v>88.095238095238102</v>
      </c>
      <c r="O34" s="131">
        <v>88.493150684931507</v>
      </c>
      <c r="P34" s="131">
        <v>87.608695652173907</v>
      </c>
      <c r="Q34" s="131">
        <v>86.231884057971016</v>
      </c>
      <c r="R34" s="131">
        <v>86</v>
      </c>
      <c r="S34" s="131">
        <v>84.482758620689651</v>
      </c>
      <c r="T34" s="131">
        <v>84.156142365097594</v>
      </c>
      <c r="U34" s="131">
        <v>83.629191321499007</v>
      </c>
      <c r="V34" s="131">
        <v>82.070089649551747</v>
      </c>
      <c r="W34" s="132">
        <v>77.546983184965384</v>
      </c>
      <c r="X34" s="8">
        <v>75.964391691394653</v>
      </c>
      <c r="Y34" s="8">
        <v>113.04347826086956</v>
      </c>
      <c r="Z34" s="8">
        <v>87.2</v>
      </c>
      <c r="AA34" s="8">
        <v>94.736842105263165</v>
      </c>
      <c r="AB34" s="8">
        <v>90</v>
      </c>
      <c r="AC34" s="8">
        <v>85.6</v>
      </c>
      <c r="AD34" s="8">
        <v>79.401993355481721</v>
      </c>
      <c r="AE34" s="8">
        <v>76.098901098901095</v>
      </c>
      <c r="AF34" s="8">
        <v>74.031890660592254</v>
      </c>
      <c r="AG34" s="8">
        <v>74.49908925318762</v>
      </c>
      <c r="AH34" s="8">
        <v>64.184008762322009</v>
      </c>
    </row>
    <row r="35" spans="1:34">
      <c r="A35" s="5">
        <v>2005</v>
      </c>
      <c r="B35" s="8">
        <v>82.878787878787875</v>
      </c>
      <c r="C35" s="8">
        <v>96.907216494845358</v>
      </c>
      <c r="D35" s="8">
        <v>88.837209302325576</v>
      </c>
      <c r="E35" s="8">
        <v>87.540983606557376</v>
      </c>
      <c r="F35" s="8">
        <v>88.63636363636364</v>
      </c>
      <c r="G35" s="8">
        <v>88.187372708757636</v>
      </c>
      <c r="H35" s="8">
        <v>85.284280936454849</v>
      </c>
      <c r="I35" s="8">
        <v>83.031988873435324</v>
      </c>
      <c r="J35" s="8">
        <v>82.420091324200911</v>
      </c>
      <c r="K35" s="8">
        <v>82.406563354603463</v>
      </c>
      <c r="L35" s="8">
        <v>77.323008849557525</v>
      </c>
      <c r="M35" s="130">
        <v>80.680437424058326</v>
      </c>
      <c r="N35" s="131">
        <v>88.038277511961724</v>
      </c>
      <c r="O35" s="131">
        <v>87.061994609164415</v>
      </c>
      <c r="P35" s="131">
        <v>85.138004246284495</v>
      </c>
      <c r="Q35" s="131">
        <v>83.7742504409171</v>
      </c>
      <c r="R35" s="131">
        <v>81.92771084337349</v>
      </c>
      <c r="S35" s="131">
        <v>80.678851174934721</v>
      </c>
      <c r="T35" s="131">
        <v>80.764904386951628</v>
      </c>
      <c r="U35" s="131">
        <v>81.177606177606179</v>
      </c>
      <c r="V35" s="131">
        <v>81.28</v>
      </c>
      <c r="W35" s="132">
        <v>75.808860129417624</v>
      </c>
      <c r="X35" s="8">
        <v>76.67638483965014</v>
      </c>
      <c r="Y35" s="8">
        <v>108.33333333333333</v>
      </c>
      <c r="Z35" s="8">
        <v>74.015748031496059</v>
      </c>
      <c r="AA35" s="8">
        <v>82.658959537572258</v>
      </c>
      <c r="AB35" s="8">
        <v>84.285714285714292</v>
      </c>
      <c r="AC35" s="8">
        <v>83.132530120481931</v>
      </c>
      <c r="AD35" s="8">
        <v>79.139072847682115</v>
      </c>
      <c r="AE35" s="8">
        <v>78.961748633879779</v>
      </c>
      <c r="AF35" s="8">
        <v>79.185520361990953</v>
      </c>
      <c r="AG35" s="8">
        <v>80.143112701252235</v>
      </c>
      <c r="AH35" s="8">
        <v>66.108786610878667</v>
      </c>
    </row>
    <row r="36" spans="1:34">
      <c r="A36" s="5">
        <v>2006</v>
      </c>
      <c r="B36" s="8">
        <v>82.912332838038637</v>
      </c>
      <c r="C36" s="8">
        <v>101.03092783505154</v>
      </c>
      <c r="D36" s="8">
        <v>93.518518518518519</v>
      </c>
      <c r="E36" s="8">
        <v>90</v>
      </c>
      <c r="F36" s="8">
        <v>87.871287128712865</v>
      </c>
      <c r="G36" s="8">
        <v>86.82634730538922</v>
      </c>
      <c r="H36" s="8">
        <v>84.803921568627445</v>
      </c>
      <c r="I36" s="8">
        <v>83.175033921302571</v>
      </c>
      <c r="J36" s="8">
        <v>81.737193763919819</v>
      </c>
      <c r="K36" s="8">
        <v>81.422222222222217</v>
      </c>
      <c r="L36" s="8">
        <v>77.990169306389944</v>
      </c>
      <c r="M36" s="130">
        <v>82.011834319526628</v>
      </c>
      <c r="N36" s="131">
        <v>98.214285714285708</v>
      </c>
      <c r="O36" s="131">
        <v>90.026246719160099</v>
      </c>
      <c r="P36" s="131">
        <v>86.776859504132233</v>
      </c>
      <c r="Q36" s="131">
        <v>84.562607204116631</v>
      </c>
      <c r="R36" s="131">
        <v>83.894582723279655</v>
      </c>
      <c r="S36" s="131">
        <v>82.531645569620252</v>
      </c>
      <c r="T36" s="131">
        <v>81.29102844638949</v>
      </c>
      <c r="U36" s="131">
        <v>81.314553990610335</v>
      </c>
      <c r="V36" s="131">
        <v>80.819798917246715</v>
      </c>
      <c r="W36" s="132">
        <v>77.783251231527089</v>
      </c>
      <c r="X36" s="8">
        <v>78.160919540229884</v>
      </c>
      <c r="Y36" s="8">
        <v>112.19512195121951</v>
      </c>
      <c r="Z36" s="8">
        <v>85.245901639344268</v>
      </c>
      <c r="AA36" s="8">
        <v>92.982456140350877</v>
      </c>
      <c r="AB36" s="8">
        <v>90</v>
      </c>
      <c r="AC36" s="8">
        <v>87.351778656126484</v>
      </c>
      <c r="AD36" s="8">
        <v>83.116883116883116</v>
      </c>
      <c r="AE36" s="8">
        <v>80.213903743315512</v>
      </c>
      <c r="AF36" s="8">
        <v>80.659340659340657</v>
      </c>
      <c r="AG36" s="8">
        <v>79.130434782608702</v>
      </c>
      <c r="AH36" s="8">
        <v>64.839710444674253</v>
      </c>
    </row>
    <row r="37" spans="1:34">
      <c r="A37" s="5">
        <v>2007</v>
      </c>
      <c r="B37" s="8">
        <v>83.620689655172413</v>
      </c>
      <c r="C37" s="8">
        <v>111.65048543689321</v>
      </c>
      <c r="D37" s="8">
        <v>95.515695067264573</v>
      </c>
      <c r="E37" s="8">
        <v>90.342679127725859</v>
      </c>
      <c r="F37" s="8">
        <v>88.461538461538467</v>
      </c>
      <c r="G37" s="8">
        <v>87.015503875968989</v>
      </c>
      <c r="H37" s="8">
        <v>86.30573248407643</v>
      </c>
      <c r="I37" s="8">
        <v>84.05797101449275</v>
      </c>
      <c r="J37" s="8">
        <v>83.441558441558442</v>
      </c>
      <c r="K37" s="8">
        <v>82.358003442340788</v>
      </c>
      <c r="L37" s="8">
        <v>77.253668763102723</v>
      </c>
      <c r="M37" s="130">
        <v>81.662870159453306</v>
      </c>
      <c r="N37" s="131">
        <v>92.340425531914889</v>
      </c>
      <c r="O37" s="131">
        <v>88.94472361809045</v>
      </c>
      <c r="P37" s="131">
        <v>86.027944111776449</v>
      </c>
      <c r="Q37" s="131">
        <v>85.074626865671647</v>
      </c>
      <c r="R37" s="131">
        <v>83.615819209039543</v>
      </c>
      <c r="S37" s="131">
        <v>83.210784313725483</v>
      </c>
      <c r="T37" s="131">
        <v>82.645502645502646</v>
      </c>
      <c r="U37" s="131">
        <v>81.431159420289859</v>
      </c>
      <c r="V37" s="131">
        <v>81.859070464767612</v>
      </c>
      <c r="W37" s="132">
        <v>75.692163303613327</v>
      </c>
      <c r="X37" s="8">
        <v>83.426966292134836</v>
      </c>
      <c r="Y37" s="8">
        <v>128.57142857142858</v>
      </c>
      <c r="Z37" s="8">
        <v>100</v>
      </c>
      <c r="AA37" s="8">
        <v>101.69491525423729</v>
      </c>
      <c r="AB37" s="8">
        <v>95.852534562211986</v>
      </c>
      <c r="AC37" s="8">
        <v>88.84615384615384</v>
      </c>
      <c r="AD37" s="8">
        <v>84.012539184952985</v>
      </c>
      <c r="AE37" s="8">
        <v>83.028720626631852</v>
      </c>
      <c r="AF37" s="8">
        <v>82.188841201716741</v>
      </c>
      <c r="AG37" s="8">
        <v>82.646048109965633</v>
      </c>
      <c r="AH37" s="8">
        <v>72.512820512820511</v>
      </c>
    </row>
    <row r="38" spans="1:34">
      <c r="A38" s="5">
        <v>2008</v>
      </c>
      <c r="B38" s="8">
        <v>82.885431400282883</v>
      </c>
      <c r="C38" s="8">
        <v>80.701754385964918</v>
      </c>
      <c r="D38" s="8">
        <v>90.350877192982452</v>
      </c>
      <c r="E38" s="8">
        <v>92.638036809815958</v>
      </c>
      <c r="F38" s="8">
        <v>88.625592417061611</v>
      </c>
      <c r="G38" s="8">
        <v>86.756238003838774</v>
      </c>
      <c r="H38" s="8">
        <v>85.736677115987462</v>
      </c>
      <c r="I38" s="8">
        <v>84.695201037613487</v>
      </c>
      <c r="J38" s="8">
        <v>83.671291355389542</v>
      </c>
      <c r="K38" s="8">
        <v>83.546462063086111</v>
      </c>
      <c r="L38" s="8">
        <v>75.915420319752457</v>
      </c>
      <c r="M38" s="130">
        <v>81.257014590347922</v>
      </c>
      <c r="N38" s="131">
        <v>97.457627118644069</v>
      </c>
      <c r="O38" s="131">
        <v>90.176322418136024</v>
      </c>
      <c r="P38" s="131">
        <v>86.878727634194831</v>
      </c>
      <c r="Q38" s="131">
        <v>86.04269293924466</v>
      </c>
      <c r="R38" s="131">
        <v>84.51882845188284</v>
      </c>
      <c r="S38" s="131">
        <v>83.17307692307692</v>
      </c>
      <c r="T38" s="131">
        <v>82.604166666666671</v>
      </c>
      <c r="U38" s="131">
        <v>82.558139534883722</v>
      </c>
      <c r="V38" s="131">
        <v>81.148748159057433</v>
      </c>
      <c r="W38" s="132">
        <v>72.128146453089244</v>
      </c>
      <c r="X38" s="8">
        <v>81.095890410958901</v>
      </c>
      <c r="Y38" s="8">
        <v>68.333333333333329</v>
      </c>
      <c r="Z38" s="8">
        <v>73.943661971830991</v>
      </c>
      <c r="AA38" s="8">
        <v>79.255319148936167</v>
      </c>
      <c r="AB38" s="8">
        <v>85.333333333333329</v>
      </c>
      <c r="AC38" s="8">
        <v>83.703703703703709</v>
      </c>
      <c r="AD38" s="8">
        <v>81.873111782477338</v>
      </c>
      <c r="AE38" s="8">
        <v>82.914572864321613</v>
      </c>
      <c r="AF38" s="8">
        <v>80.538302277432706</v>
      </c>
      <c r="AG38" s="8">
        <v>77.649006622516552</v>
      </c>
      <c r="AH38" s="8">
        <v>82.718651211801898</v>
      </c>
    </row>
    <row r="39" spans="1:34">
      <c r="A39" s="5">
        <v>2009</v>
      </c>
      <c r="B39" s="8">
        <v>85.472496473906915</v>
      </c>
      <c r="C39" s="8">
        <v>88.785046728971963</v>
      </c>
      <c r="D39" s="8">
        <v>92.982456140350877</v>
      </c>
      <c r="E39" s="8">
        <v>94.171779141104295</v>
      </c>
      <c r="F39" s="8">
        <v>90.238095238095241</v>
      </c>
      <c r="G39" s="8">
        <v>87.547892720306507</v>
      </c>
      <c r="H39" s="8">
        <v>87.304075235109721</v>
      </c>
      <c r="I39" s="8">
        <v>87.046632124352328</v>
      </c>
      <c r="J39" s="8">
        <v>85.502645502645507</v>
      </c>
      <c r="K39" s="8">
        <v>85.546218487394952</v>
      </c>
      <c r="L39" s="8">
        <v>80.216942148760324</v>
      </c>
      <c r="M39" s="130">
        <v>84.228187919463082</v>
      </c>
      <c r="N39" s="131">
        <v>96.995708154506431</v>
      </c>
      <c r="O39" s="131">
        <v>92.911392405063296</v>
      </c>
      <c r="P39" s="131">
        <v>87.722772277227719</v>
      </c>
      <c r="Q39" s="131">
        <v>87.049180327868854</v>
      </c>
      <c r="R39" s="131">
        <v>86.490250696378837</v>
      </c>
      <c r="S39" s="131">
        <v>85.834333733493395</v>
      </c>
      <c r="T39" s="131">
        <v>84.845360824742272</v>
      </c>
      <c r="U39" s="131">
        <v>84.995586937334508</v>
      </c>
      <c r="V39" s="131">
        <v>85.090909090909093</v>
      </c>
      <c r="W39" s="132">
        <v>77.090069284064668</v>
      </c>
      <c r="X39" s="8">
        <v>81.300813008130078</v>
      </c>
      <c r="Y39" s="8">
        <v>90.384615384615387</v>
      </c>
      <c r="Z39" s="8">
        <v>78.985507246376812</v>
      </c>
      <c r="AA39" s="8">
        <v>89.839572192513373</v>
      </c>
      <c r="AB39" s="8">
        <v>89.333333333333329</v>
      </c>
      <c r="AC39" s="8">
        <v>84.92647058823529</v>
      </c>
      <c r="AD39" s="8">
        <v>83.78378378378379</v>
      </c>
      <c r="AE39" s="8">
        <v>83.5</v>
      </c>
      <c r="AF39" s="8">
        <v>80.618556701030926</v>
      </c>
      <c r="AG39" s="8">
        <v>79.04290429042905</v>
      </c>
      <c r="AH39" s="8">
        <v>76.868686868686865</v>
      </c>
    </row>
    <row r="40" spans="1:34">
      <c r="A40" s="5">
        <v>2010</v>
      </c>
      <c r="B40" s="8">
        <v>85.572842998585571</v>
      </c>
      <c r="C40" s="8">
        <v>104.85436893203884</v>
      </c>
      <c r="D40" s="8">
        <v>95.175438596491233</v>
      </c>
      <c r="E40" s="8">
        <v>91.743119266055047</v>
      </c>
      <c r="F40" s="8">
        <v>89.125295508274235</v>
      </c>
      <c r="G40" s="8">
        <v>88.246628131021197</v>
      </c>
      <c r="H40" s="8">
        <v>90.143084260731314</v>
      </c>
      <c r="I40" s="8">
        <v>89.596879063719115</v>
      </c>
      <c r="J40" s="8">
        <v>86.942675159235662</v>
      </c>
      <c r="K40" s="8">
        <v>84.991568296795947</v>
      </c>
      <c r="L40" s="8">
        <v>77.595066803699893</v>
      </c>
      <c r="M40" s="130">
        <v>84.040178571428569</v>
      </c>
      <c r="N40" s="131">
        <v>96.53679653679653</v>
      </c>
      <c r="O40" s="131">
        <v>90.523690773067329</v>
      </c>
      <c r="P40" s="131">
        <v>88.888888888888886</v>
      </c>
      <c r="Q40" s="131">
        <v>90.247933884297524</v>
      </c>
      <c r="R40" s="131">
        <v>88.842398884239884</v>
      </c>
      <c r="S40" s="131">
        <v>87.799043062200951</v>
      </c>
      <c r="T40" s="131">
        <v>85.272914521112256</v>
      </c>
      <c r="U40" s="131">
        <v>85.119574844995569</v>
      </c>
      <c r="V40" s="131">
        <v>82.656023222060952</v>
      </c>
      <c r="W40" s="132">
        <v>75.285518501598901</v>
      </c>
      <c r="X40" s="8">
        <v>82.288828337874662</v>
      </c>
      <c r="Y40" s="8">
        <v>119.6078431372549</v>
      </c>
      <c r="Z40" s="8">
        <v>84.172661870503603</v>
      </c>
      <c r="AA40" s="8">
        <v>96.808510638297875</v>
      </c>
      <c r="AB40" s="8">
        <v>91.592920353982308</v>
      </c>
      <c r="AC40" s="8">
        <v>87.179487179487182</v>
      </c>
      <c r="AD40" s="8">
        <v>83.28358208955224</v>
      </c>
      <c r="AE40" s="8">
        <v>83.126550868486348</v>
      </c>
      <c r="AF40" s="8">
        <v>80.246913580246911</v>
      </c>
      <c r="AG40" s="8">
        <v>78.666666666666671</v>
      </c>
      <c r="AH40" s="8">
        <v>75.798146240988672</v>
      </c>
    </row>
    <row r="41" spans="1:34">
      <c r="A41" s="5">
        <v>2011</v>
      </c>
      <c r="B41" s="8">
        <v>87.570621468926561</v>
      </c>
      <c r="C41" s="8">
        <v>111.53846153846153</v>
      </c>
      <c r="D41" s="8">
        <v>99.107142857142861</v>
      </c>
      <c r="E41" s="8">
        <v>93.769470404984418</v>
      </c>
      <c r="F41" s="8">
        <v>92.086330935251794</v>
      </c>
      <c r="G41" s="8">
        <v>90.135396518375245</v>
      </c>
      <c r="H41" s="8">
        <v>90.015847860538827</v>
      </c>
      <c r="I41" s="8">
        <v>88.571428571428569</v>
      </c>
      <c r="J41" s="8">
        <v>87.249736564805062</v>
      </c>
      <c r="K41" s="8">
        <v>87.614297589359936</v>
      </c>
      <c r="L41" s="8">
        <v>81.691593604951009</v>
      </c>
      <c r="M41" s="130">
        <v>85.226019845644984</v>
      </c>
      <c r="N41" s="131">
        <v>91.532258064516128</v>
      </c>
      <c r="O41" s="131">
        <v>90.686274509803923</v>
      </c>
      <c r="P41" s="131">
        <v>88.781431334622823</v>
      </c>
      <c r="Q41" s="131">
        <v>88.492706645056728</v>
      </c>
      <c r="R41" s="131">
        <v>88</v>
      </c>
      <c r="S41" s="131">
        <v>86.239620403321467</v>
      </c>
      <c r="T41" s="131">
        <v>85.467479674796749</v>
      </c>
      <c r="U41" s="131">
        <v>86.545138888888886</v>
      </c>
      <c r="V41" s="131">
        <v>84.731182795698928</v>
      </c>
      <c r="W41" s="132">
        <v>80.100871160018343</v>
      </c>
      <c r="X41" s="8">
        <v>87.215909090909093</v>
      </c>
      <c r="Y41" s="8">
        <v>142.22222222222223</v>
      </c>
      <c r="Z41" s="8">
        <v>98.496240601503757</v>
      </c>
      <c r="AA41" s="8">
        <v>103.27868852459017</v>
      </c>
      <c r="AB41" s="8">
        <v>98.165137614678898</v>
      </c>
      <c r="AC41" s="8">
        <v>92.337164750957854</v>
      </c>
      <c r="AD41" s="8">
        <v>88.125</v>
      </c>
      <c r="AE41" s="8">
        <v>88.051948051948045</v>
      </c>
      <c r="AF41" s="8">
        <v>85.961123110151192</v>
      </c>
      <c r="AG41" s="8">
        <v>82.638888888888886</v>
      </c>
      <c r="AH41" s="8">
        <v>79.099678456591633</v>
      </c>
    </row>
    <row r="42" spans="1:34">
      <c r="A42" s="5">
        <v>2012</v>
      </c>
      <c r="B42" s="8">
        <v>85.477178423236509</v>
      </c>
      <c r="C42" s="8">
        <v>100.99009900990099</v>
      </c>
      <c r="D42" s="8">
        <v>94.805194805194802</v>
      </c>
      <c r="E42" s="8">
        <v>93.597560975609753</v>
      </c>
      <c r="F42" s="8">
        <v>90.330188679245282</v>
      </c>
      <c r="G42" s="8">
        <v>89.204545454545453</v>
      </c>
      <c r="H42" s="8">
        <v>87.191358024691354</v>
      </c>
      <c r="I42" s="8">
        <v>86.132315521628499</v>
      </c>
      <c r="J42" s="8">
        <v>86.142709410548093</v>
      </c>
      <c r="K42" s="8">
        <v>87.644151565074139</v>
      </c>
      <c r="L42" s="8">
        <v>77.988994497248626</v>
      </c>
      <c r="M42" s="130">
        <v>83.15334773218143</v>
      </c>
      <c r="N42" s="131">
        <v>98.734177215189874</v>
      </c>
      <c r="O42" s="131">
        <v>90.072639225181604</v>
      </c>
      <c r="P42" s="131">
        <v>87.096774193548384</v>
      </c>
      <c r="Q42" s="131">
        <v>85.196850393700785</v>
      </c>
      <c r="R42" s="131">
        <v>83.646112600536199</v>
      </c>
      <c r="S42" s="131">
        <v>83.236994219653184</v>
      </c>
      <c r="T42" s="131">
        <v>83.932135728542917</v>
      </c>
      <c r="U42" s="131">
        <v>85.689802913453306</v>
      </c>
      <c r="V42" s="131">
        <v>85.825655563430189</v>
      </c>
      <c r="W42" s="132">
        <v>75.276916260522825</v>
      </c>
      <c r="X42" s="8">
        <v>85.872576177285325</v>
      </c>
      <c r="Y42" s="8">
        <v>75</v>
      </c>
      <c r="Z42" s="8">
        <v>87.31343283582089</v>
      </c>
      <c r="AA42" s="8">
        <v>98.936170212765958</v>
      </c>
      <c r="AB42" s="8">
        <v>90.909090909090907</v>
      </c>
      <c r="AC42" s="8">
        <v>87.003610108303249</v>
      </c>
      <c r="AD42" s="8">
        <v>86.486486486486484</v>
      </c>
      <c r="AE42" s="8">
        <v>86.294416243654823</v>
      </c>
      <c r="AF42" s="8">
        <v>84.143763213530661</v>
      </c>
      <c r="AG42" s="8">
        <v>84.094754653130295</v>
      </c>
      <c r="AH42" s="8">
        <v>83.227176220806797</v>
      </c>
    </row>
    <row r="43" spans="1:34">
      <c r="A43" s="5">
        <v>2013</v>
      </c>
      <c r="B43" s="8">
        <v>84.332425068119889</v>
      </c>
      <c r="C43" s="8">
        <v>109.09090909090909</v>
      </c>
      <c r="D43" s="8">
        <v>96.59574468085107</v>
      </c>
      <c r="E43" s="8">
        <v>91.124260355029591</v>
      </c>
      <c r="F43" s="8">
        <v>89.63133640552995</v>
      </c>
      <c r="G43" s="8">
        <v>89.158878504672899</v>
      </c>
      <c r="H43" s="8">
        <v>86.963190184049083</v>
      </c>
      <c r="I43" s="8">
        <v>85.624211853720055</v>
      </c>
      <c r="J43" s="8">
        <v>86.051282051282058</v>
      </c>
      <c r="K43" s="8">
        <v>82.8</v>
      </c>
      <c r="L43" s="8">
        <v>76.771653543307082</v>
      </c>
      <c r="M43" s="130">
        <v>82.070437566702239</v>
      </c>
      <c r="N43" s="131">
        <v>91.393442622950815</v>
      </c>
      <c r="O43" s="131">
        <v>88.755980861244012</v>
      </c>
      <c r="P43" s="131">
        <v>87.689393939393938</v>
      </c>
      <c r="Q43" s="131">
        <v>85.736925515055461</v>
      </c>
      <c r="R43" s="131">
        <v>84.718498659517422</v>
      </c>
      <c r="S43" s="131">
        <v>84.722222222222229</v>
      </c>
      <c r="T43" s="131">
        <v>84.70705064548163</v>
      </c>
      <c r="U43" s="131">
        <v>82.100840336134453</v>
      </c>
      <c r="V43" s="131">
        <v>80.945853324194658</v>
      </c>
      <c r="W43" s="132">
        <v>75.274002630425258</v>
      </c>
      <c r="X43" s="8">
        <v>84.574468085106389</v>
      </c>
      <c r="Y43" s="8">
        <v>102.94117647058823</v>
      </c>
      <c r="Z43" s="8">
        <v>103.73134328358209</v>
      </c>
      <c r="AA43" s="8">
        <v>101.03092783505154</v>
      </c>
      <c r="AB43" s="8">
        <v>95.33898305084746</v>
      </c>
      <c r="AC43" s="8">
        <v>89.436619718309856</v>
      </c>
      <c r="AD43" s="8">
        <v>85.549132947976872</v>
      </c>
      <c r="AE43" s="8">
        <v>85.888077858880777</v>
      </c>
      <c r="AF43" s="8">
        <v>84.552845528455279</v>
      </c>
      <c r="AG43" s="8">
        <v>83.252032520325201</v>
      </c>
      <c r="AH43" s="8">
        <v>74.282888229475773</v>
      </c>
    </row>
    <row r="44" spans="1:34">
      <c r="A44" s="5">
        <v>2014</v>
      </c>
      <c r="B44" s="8">
        <v>84.146341463414629</v>
      </c>
      <c r="C44" s="8">
        <v>123.76237623762377</v>
      </c>
      <c r="D44" s="8">
        <v>98.312236286919827</v>
      </c>
      <c r="E44" s="8">
        <v>93.786982248520715</v>
      </c>
      <c r="F44" s="8">
        <v>89.449541284403665</v>
      </c>
      <c r="G44" s="8">
        <v>87.845303867403317</v>
      </c>
      <c r="H44" s="8">
        <v>88.421052631578945</v>
      </c>
      <c r="I44" s="8">
        <v>87.484510532837675</v>
      </c>
      <c r="J44" s="8">
        <v>85.00506585612969</v>
      </c>
      <c r="K44" s="8">
        <v>82.783588093322606</v>
      </c>
      <c r="L44" s="8">
        <v>74.419753086419746</v>
      </c>
      <c r="M44" s="130">
        <v>80.570221752903905</v>
      </c>
      <c r="N44" s="131">
        <v>92.8</v>
      </c>
      <c r="O44" s="131">
        <v>88.52459016393442</v>
      </c>
      <c r="P44" s="131">
        <v>85.767097966728286</v>
      </c>
      <c r="Q44" s="131">
        <v>85.582822085889575</v>
      </c>
      <c r="R44" s="131">
        <v>86.238532110091739</v>
      </c>
      <c r="S44" s="131">
        <v>83.972911963882623</v>
      </c>
      <c r="T44" s="131">
        <v>82.8125</v>
      </c>
      <c r="U44" s="131">
        <v>81.4070351758794</v>
      </c>
      <c r="V44" s="131">
        <v>79.792387543252602</v>
      </c>
      <c r="W44" s="132">
        <v>70.835155225185829</v>
      </c>
      <c r="X44" s="8">
        <v>91.913746630727758</v>
      </c>
      <c r="Y44" s="8">
        <v>153.84615384615384</v>
      </c>
      <c r="Z44" s="8">
        <v>116.17647058823529</v>
      </c>
      <c r="AA44" s="8">
        <v>105.69948186528498</v>
      </c>
      <c r="AB44" s="8">
        <v>99.145299145299148</v>
      </c>
      <c r="AC44" s="8">
        <v>91.258741258741253</v>
      </c>
      <c r="AD44" s="8">
        <v>89.473684210526315</v>
      </c>
      <c r="AE44" s="8">
        <v>86.172839506172835</v>
      </c>
      <c r="AF44" s="8">
        <v>84.458077709611459</v>
      </c>
      <c r="AG44" s="8">
        <v>85.203252032520325</v>
      </c>
      <c r="AH44" s="8">
        <v>92.864529472595663</v>
      </c>
    </row>
    <row r="45" spans="1:34">
      <c r="A45" s="5">
        <v>2015</v>
      </c>
      <c r="B45" s="8">
        <v>82.907133243606992</v>
      </c>
      <c r="C45" s="8">
        <v>97.979797979797979</v>
      </c>
      <c r="D45" s="8">
        <v>93.913043478260875</v>
      </c>
      <c r="E45" s="8">
        <v>88.253012048192772</v>
      </c>
      <c r="F45" s="8">
        <v>89.120370370370367</v>
      </c>
      <c r="G45" s="8">
        <v>90.757855822550837</v>
      </c>
      <c r="H45" s="8">
        <v>89.505247376311843</v>
      </c>
      <c r="I45" s="8">
        <v>87.561576354679801</v>
      </c>
      <c r="J45" s="8">
        <v>85.0251256281407</v>
      </c>
      <c r="K45" s="8">
        <v>81.998413957176837</v>
      </c>
      <c r="L45" s="8">
        <v>72.241127856101116</v>
      </c>
      <c r="M45" s="130">
        <v>80.837696335078533</v>
      </c>
      <c r="N45" s="131">
        <v>92.369477911646584</v>
      </c>
      <c r="O45" s="131">
        <v>89.882352941176464</v>
      </c>
      <c r="P45" s="131">
        <v>90.774907749077485</v>
      </c>
      <c r="Q45" s="131">
        <v>88.973966309341506</v>
      </c>
      <c r="R45" s="131">
        <v>86.979166666666671</v>
      </c>
      <c r="S45" s="131">
        <v>85.168539325842701</v>
      </c>
      <c r="T45" s="131">
        <v>83.317167798254118</v>
      </c>
      <c r="U45" s="131">
        <v>81.735537190082638</v>
      </c>
      <c r="V45" s="131">
        <v>78.649386084583895</v>
      </c>
      <c r="W45" s="132">
        <v>69.409737182249032</v>
      </c>
      <c r="X45" s="8">
        <v>82.926829268292678</v>
      </c>
      <c r="Y45" s="8">
        <v>95</v>
      </c>
      <c r="Z45" s="8">
        <v>81.679389312977094</v>
      </c>
      <c r="AA45" s="8">
        <v>93.085106382978722</v>
      </c>
      <c r="AB45" s="8">
        <v>92.951541850220266</v>
      </c>
      <c r="AC45" s="8">
        <v>88.321167883211672</v>
      </c>
      <c r="AD45" s="8">
        <v>82.68656716417911</v>
      </c>
      <c r="AE45" s="8">
        <v>79.551122194513709</v>
      </c>
      <c r="AF45" s="8">
        <v>81.573498964803306</v>
      </c>
      <c r="AG45" s="8">
        <v>80.650406504065046</v>
      </c>
      <c r="AH45" s="8">
        <v>80.260521042084164</v>
      </c>
    </row>
    <row r="46" spans="1:34">
      <c r="A46" s="5">
        <v>2016</v>
      </c>
      <c r="B46" s="8">
        <v>85</v>
      </c>
      <c r="C46" s="8">
        <v>115.53398058252426</v>
      </c>
      <c r="D46" s="8">
        <v>97.046413502109701</v>
      </c>
      <c r="E46" s="8">
        <v>94.065281899109792</v>
      </c>
      <c r="F46" s="8">
        <v>91.013824884792626</v>
      </c>
      <c r="G46" s="8">
        <v>88.9908256880734</v>
      </c>
      <c r="H46" s="8">
        <v>86.976047904191617</v>
      </c>
      <c r="I46" s="8">
        <v>84.313725490196077</v>
      </c>
      <c r="J46" s="8">
        <v>84.638554216867476</v>
      </c>
      <c r="K46" s="8">
        <v>82.498011137629277</v>
      </c>
      <c r="L46" s="8">
        <v>79.39121756487026</v>
      </c>
      <c r="M46" s="130">
        <v>83.772391991570075</v>
      </c>
      <c r="N46" s="131">
        <v>106.27450980392157</v>
      </c>
      <c r="O46" s="131">
        <v>91.685912240184763</v>
      </c>
      <c r="P46" s="131">
        <v>89.435336976320585</v>
      </c>
      <c r="Q46" s="131">
        <v>87.957317073170728</v>
      </c>
      <c r="R46" s="131">
        <v>84.935064935064929</v>
      </c>
      <c r="S46" s="131">
        <v>83.762597984322511</v>
      </c>
      <c r="T46" s="131">
        <v>84.399224806201545</v>
      </c>
      <c r="U46" s="131">
        <v>82.793017456359095</v>
      </c>
      <c r="V46" s="131">
        <v>80.756013745704465</v>
      </c>
      <c r="W46" s="132">
        <v>78.893351182507814</v>
      </c>
      <c r="X46" s="8">
        <v>80.266666666666666</v>
      </c>
      <c r="Y46" s="8">
        <v>140.47619047619048</v>
      </c>
      <c r="Z46" s="8">
        <v>90.780141843971634</v>
      </c>
      <c r="AA46" s="8">
        <v>94.923857868020306</v>
      </c>
      <c r="AB46" s="8">
        <v>90.987124463519308</v>
      </c>
      <c r="AC46" s="8">
        <v>88.848920863309345</v>
      </c>
      <c r="AD46" s="8">
        <v>85.163204747774486</v>
      </c>
      <c r="AE46" s="8">
        <v>86.716791979949875</v>
      </c>
      <c r="AF46" s="8">
        <v>81.912681912681919</v>
      </c>
      <c r="AG46" s="8">
        <v>78.104575163398692</v>
      </c>
      <c r="AH46" s="8">
        <v>65.658536585365852</v>
      </c>
    </row>
    <row r="47" spans="1:34">
      <c r="A47" s="5">
        <v>2017</v>
      </c>
      <c r="B47" s="8">
        <v>85.151116951379763</v>
      </c>
      <c r="C47" s="8">
        <v>112.8440366972477</v>
      </c>
      <c r="D47" s="8">
        <v>98.340248962655608</v>
      </c>
      <c r="E47" s="8">
        <v>93.294460641399411</v>
      </c>
      <c r="F47" s="8">
        <v>90.358744394618839</v>
      </c>
      <c r="G47" s="8">
        <v>89.821428571428569</v>
      </c>
      <c r="H47" s="8">
        <v>88.775510204081627</v>
      </c>
      <c r="I47" s="8">
        <v>86.489746682750308</v>
      </c>
      <c r="J47" s="8">
        <v>85.009861932938861</v>
      </c>
      <c r="K47" s="8">
        <v>84.836702954898911</v>
      </c>
      <c r="L47" s="8">
        <v>76.787416587225934</v>
      </c>
      <c r="M47" s="130">
        <v>82.737487231869252</v>
      </c>
      <c r="N47" s="131">
        <v>94.615384615384613</v>
      </c>
      <c r="O47" s="131">
        <v>89.616252821670429</v>
      </c>
      <c r="P47" s="131">
        <v>87.985865724381625</v>
      </c>
      <c r="Q47" s="131">
        <v>87.001477104874439</v>
      </c>
      <c r="R47" s="131">
        <v>86.040609137055839</v>
      </c>
      <c r="S47" s="131">
        <v>84.268426842684264</v>
      </c>
      <c r="T47" s="131">
        <v>83.855650522317191</v>
      </c>
      <c r="U47" s="131">
        <v>84.103811841038123</v>
      </c>
      <c r="V47" s="131">
        <v>83.523107836570659</v>
      </c>
      <c r="W47" s="132">
        <v>74.280879864636205</v>
      </c>
      <c r="X47" s="8">
        <v>86.876640419947506</v>
      </c>
      <c r="Y47" s="8">
        <v>93.478260869565219</v>
      </c>
      <c r="Z47" s="8">
        <v>107.53424657534246</v>
      </c>
      <c r="AA47" s="8">
        <v>101.97044334975369</v>
      </c>
      <c r="AB47" s="8">
        <v>97.046413502109701</v>
      </c>
      <c r="AC47" s="8">
        <v>92.982456140350877</v>
      </c>
      <c r="AD47" s="8">
        <v>89.565217391304344</v>
      </c>
      <c r="AE47" s="8">
        <v>87.073170731707322</v>
      </c>
      <c r="AF47" s="8">
        <v>84.959349593495929</v>
      </c>
      <c r="AG47" s="8">
        <v>85.369774919614144</v>
      </c>
      <c r="AH47" s="8">
        <v>76.773566569484942</v>
      </c>
    </row>
    <row r="48" spans="1:34">
      <c r="A48" s="5">
        <v>2018</v>
      </c>
      <c r="B48" s="8">
        <v>86.031331592689298</v>
      </c>
      <c r="C48" s="8">
        <v>112.62135922330097</v>
      </c>
      <c r="D48" s="8">
        <v>97.950819672131146</v>
      </c>
      <c r="E48" s="8">
        <v>93.123209169054448</v>
      </c>
      <c r="F48" s="8">
        <v>91.169977924944817</v>
      </c>
      <c r="G48" s="8">
        <v>89.57597173144876</v>
      </c>
      <c r="H48" s="8">
        <v>88.277858176555711</v>
      </c>
      <c r="I48" s="8">
        <v>86.30952380952381</v>
      </c>
      <c r="J48" s="8">
        <v>84.810126582278485</v>
      </c>
      <c r="K48" s="8">
        <v>83.204930662557786</v>
      </c>
      <c r="L48" s="8">
        <v>81.861804222648757</v>
      </c>
      <c r="M48" s="130">
        <v>83.923154701718914</v>
      </c>
      <c r="N48" s="131">
        <v>100.37593984962406</v>
      </c>
      <c r="O48" s="131">
        <v>90.829694323144111</v>
      </c>
      <c r="P48" s="131">
        <v>88.965517241379317</v>
      </c>
      <c r="Q48" s="131">
        <v>87.264833574529661</v>
      </c>
      <c r="R48" s="131">
        <v>84.968944099378888</v>
      </c>
      <c r="S48" s="131">
        <v>83.512931034482762</v>
      </c>
      <c r="T48" s="131">
        <v>82.803738317757009</v>
      </c>
      <c r="U48" s="131">
        <v>81.680000000000007</v>
      </c>
      <c r="V48" s="131">
        <v>82.25165562913908</v>
      </c>
      <c r="W48" s="132">
        <v>81.089193825042884</v>
      </c>
      <c r="X48" s="8">
        <v>86.24338624338624</v>
      </c>
      <c r="Y48" s="8">
        <v>128.57142857142858</v>
      </c>
      <c r="Z48" s="8">
        <v>98.611111111111114</v>
      </c>
      <c r="AA48" s="8">
        <v>99.014778325123146</v>
      </c>
      <c r="AB48" s="8">
        <v>94.117647058823536</v>
      </c>
      <c r="AC48" s="8">
        <v>90.175438596491233</v>
      </c>
      <c r="AD48" s="8">
        <v>85.838150289017335</v>
      </c>
      <c r="AE48" s="8">
        <v>84.951456310679617</v>
      </c>
      <c r="AF48" s="8">
        <v>84.693877551020407</v>
      </c>
      <c r="AG48" s="8">
        <v>81.372549019607845</v>
      </c>
      <c r="AH48" s="8">
        <v>81.673306772908361</v>
      </c>
    </row>
    <row r="49" spans="1:34">
      <c r="A49" s="5">
        <v>2019</v>
      </c>
      <c r="B49" s="8">
        <v>84.715025906735747</v>
      </c>
      <c r="C49" s="8">
        <v>106.14035087719299</v>
      </c>
      <c r="D49" s="8">
        <v>97.233201581027672</v>
      </c>
      <c r="E49" s="8">
        <v>93.239436619718305</v>
      </c>
      <c r="F49" s="8">
        <v>91.44736842105263</v>
      </c>
      <c r="G49" s="8">
        <v>90.175438596491233</v>
      </c>
      <c r="H49" s="8">
        <v>88.201438848920859</v>
      </c>
      <c r="I49" s="8">
        <v>84.898929845422117</v>
      </c>
      <c r="J49" s="8">
        <v>81.862269641125124</v>
      </c>
      <c r="K49" s="8">
        <v>84.085692425401689</v>
      </c>
      <c r="L49" s="8">
        <v>78.159275154983305</v>
      </c>
      <c r="M49" s="130">
        <v>82.394366197183103</v>
      </c>
      <c r="N49" s="131">
        <v>91.575091575091577</v>
      </c>
      <c r="O49" s="131">
        <v>93.246187363834423</v>
      </c>
      <c r="P49" s="131">
        <v>90.239726027397253</v>
      </c>
      <c r="Q49" s="131">
        <v>87.787356321839084</v>
      </c>
      <c r="R49" s="131">
        <v>84.863523573200993</v>
      </c>
      <c r="S49" s="131">
        <v>81.700753498385367</v>
      </c>
      <c r="T49" s="131">
        <v>79.906976744186053</v>
      </c>
      <c r="U49" s="131">
        <v>81.767515923566876</v>
      </c>
      <c r="V49" s="131">
        <v>82.654402102496718</v>
      </c>
      <c r="W49" s="132">
        <v>76.581196581196579</v>
      </c>
      <c r="X49" s="8">
        <v>86.269430051813472</v>
      </c>
      <c r="Y49" s="8">
        <v>153.33333333333334</v>
      </c>
      <c r="Z49" s="8">
        <v>108.86075949367088</v>
      </c>
      <c r="AA49" s="8">
        <v>98.584905660377359</v>
      </c>
      <c r="AB49" s="8">
        <v>93.548387096774192</v>
      </c>
      <c r="AC49" s="8">
        <v>90.202702702702709</v>
      </c>
      <c r="AD49" s="8">
        <v>88.101983002832867</v>
      </c>
      <c r="AE49" s="8">
        <v>84.21052631578948</v>
      </c>
      <c r="AF49" s="8">
        <v>82.293762575452718</v>
      </c>
      <c r="AG49" s="8">
        <v>81.138211382113823</v>
      </c>
      <c r="AH49" s="8">
        <v>78.669275929549897</v>
      </c>
    </row>
    <row r="50" spans="1:34">
      <c r="M50" s="190"/>
      <c r="N50" s="73"/>
      <c r="O50" s="73"/>
      <c r="P50" s="73"/>
      <c r="Q50" s="73"/>
      <c r="R50" s="73"/>
      <c r="S50" s="73"/>
      <c r="T50" s="73"/>
      <c r="U50" s="73"/>
      <c r="V50" s="73"/>
      <c r="W50" s="191"/>
    </row>
    <row r="51" spans="1:34" ht="34">
      <c r="A51" s="5" t="s">
        <v>68</v>
      </c>
      <c r="B51" s="175" t="s">
        <v>91</v>
      </c>
      <c r="C51" s="175" t="s">
        <v>92</v>
      </c>
      <c r="D51" s="175" t="s">
        <v>172</v>
      </c>
      <c r="E51" s="175" t="s">
        <v>173</v>
      </c>
      <c r="F51" s="175" t="s">
        <v>174</v>
      </c>
      <c r="G51" s="175" t="s">
        <v>93</v>
      </c>
      <c r="H51" s="175" t="s">
        <v>175</v>
      </c>
      <c r="I51" s="175" t="s">
        <v>176</v>
      </c>
      <c r="J51" s="175" t="s">
        <v>177</v>
      </c>
      <c r="K51" s="175" t="s">
        <v>178</v>
      </c>
      <c r="L51" s="175" t="s">
        <v>94</v>
      </c>
      <c r="M51" s="128" t="s">
        <v>91</v>
      </c>
      <c r="N51" s="177" t="s">
        <v>92</v>
      </c>
      <c r="O51" s="177" t="s">
        <v>172</v>
      </c>
      <c r="P51" s="177" t="s">
        <v>173</v>
      </c>
      <c r="Q51" s="177" t="s">
        <v>174</v>
      </c>
      <c r="R51" s="177" t="s">
        <v>93</v>
      </c>
      <c r="S51" s="177" t="s">
        <v>175</v>
      </c>
      <c r="T51" s="177" t="s">
        <v>176</v>
      </c>
      <c r="U51" s="177" t="s">
        <v>177</v>
      </c>
      <c r="V51" s="177" t="s">
        <v>178</v>
      </c>
      <c r="W51" s="129" t="s">
        <v>94</v>
      </c>
      <c r="X51" s="175" t="s">
        <v>91</v>
      </c>
      <c r="Y51" s="175" t="s">
        <v>92</v>
      </c>
      <c r="Z51" s="175" t="s">
        <v>172</v>
      </c>
      <c r="AA51" s="175" t="s">
        <v>173</v>
      </c>
      <c r="AB51" s="175" t="s">
        <v>174</v>
      </c>
      <c r="AC51" s="175" t="s">
        <v>93</v>
      </c>
      <c r="AD51" s="175" t="s">
        <v>175</v>
      </c>
      <c r="AE51" s="175" t="s">
        <v>176</v>
      </c>
      <c r="AF51" s="175" t="s">
        <v>177</v>
      </c>
      <c r="AG51" s="175" t="s">
        <v>178</v>
      </c>
      <c r="AH51" s="175" t="s">
        <v>94</v>
      </c>
    </row>
    <row r="52" spans="1:34">
      <c r="A52" s="5" t="s">
        <v>96</v>
      </c>
      <c r="B52" s="8">
        <f>B49-B6</f>
        <v>1.3542351324359174</v>
      </c>
      <c r="C52" s="8">
        <f t="shared" ref="C52:W52" si="0">C49-C6</f>
        <v>32.807017543859658</v>
      </c>
      <c r="D52" s="8">
        <f t="shared" si="0"/>
        <v>9.4283235322471768</v>
      </c>
      <c r="E52" s="8">
        <f t="shared" si="0"/>
        <v>2.8420856263408183</v>
      </c>
      <c r="F52" s="8">
        <f t="shared" si="0"/>
        <v>5.266463898439568</v>
      </c>
      <c r="G52" s="8">
        <f t="shared" si="0"/>
        <v>3.857531151823224</v>
      </c>
      <c r="H52" s="8">
        <f t="shared" si="0"/>
        <v>0.38417996567213208</v>
      </c>
      <c r="I52" s="8">
        <f t="shared" si="0"/>
        <v>-0.77400792592375467</v>
      </c>
      <c r="J52" s="8">
        <f t="shared" si="0"/>
        <v>-2.6013555130055721</v>
      </c>
      <c r="K52" s="8">
        <f t="shared" si="0"/>
        <v>-0.13561905000814534</v>
      </c>
      <c r="L52" s="8">
        <f t="shared" si="0"/>
        <v>1.8869684795041195</v>
      </c>
      <c r="M52" s="130">
        <f t="shared" si="0"/>
        <v>0.93369203987973037</v>
      </c>
      <c r="N52" s="131">
        <f t="shared" si="0"/>
        <v>3.6440570923329574</v>
      </c>
      <c r="O52" s="131">
        <f t="shared" si="0"/>
        <v>6.0988519406369335</v>
      </c>
      <c r="P52" s="131">
        <f t="shared" si="0"/>
        <v>7.4090995772812391</v>
      </c>
      <c r="Q52" s="131">
        <f t="shared" si="0"/>
        <v>3.7266352592204868</v>
      </c>
      <c r="R52" s="131">
        <f t="shared" si="0"/>
        <v>-0.19394769116682653</v>
      </c>
      <c r="S52" s="131">
        <f t="shared" si="0"/>
        <v>-1.8252580623082792</v>
      </c>
      <c r="T52" s="131">
        <f t="shared" si="0"/>
        <v>-2.790224273625654</v>
      </c>
      <c r="U52" s="131">
        <f t="shared" si="0"/>
        <v>-0.74918786262466597</v>
      </c>
      <c r="V52" s="131">
        <f t="shared" si="0"/>
        <v>-0.50548436864802682</v>
      </c>
      <c r="W52" s="132">
        <f t="shared" si="0"/>
        <v>2.1052409708389916</v>
      </c>
      <c r="X52" s="8">
        <f>X49-X7</f>
        <v>9.2146355312655288</v>
      </c>
      <c r="Y52" s="8">
        <f t="shared" ref="Y52:AG52" si="1">Y49-Y7</f>
        <v>104.84848484848486</v>
      </c>
      <c r="Z52" s="8">
        <f t="shared" si="1"/>
        <v>10.880961513872904</v>
      </c>
      <c r="AA52" s="8">
        <f t="shared" si="1"/>
        <v>6.397405660377359</v>
      </c>
      <c r="AB52" s="8">
        <f t="shared" si="1"/>
        <v>10.108896650914318</v>
      </c>
      <c r="AC52" s="8">
        <f t="shared" si="1"/>
        <v>13.787608363080068</v>
      </c>
      <c r="AD52" s="8">
        <f t="shared" si="1"/>
        <v>15.7005493110766</v>
      </c>
      <c r="AE52" s="8">
        <f t="shared" si="1"/>
        <v>13.073500076722425</v>
      </c>
      <c r="AF52" s="8">
        <f t="shared" si="1"/>
        <v>10.865191146881287</v>
      </c>
      <c r="AG52" s="8">
        <f t="shared" si="1"/>
        <v>2.9203895999356035</v>
      </c>
      <c r="AH52" s="8">
        <f>AH49-AH7</f>
        <v>0.24051427841807538</v>
      </c>
    </row>
    <row r="53" spans="1:34">
      <c r="A53" s="5" t="s">
        <v>97</v>
      </c>
      <c r="B53" s="8">
        <f>B30-B6</f>
        <v>2.9073837006597785</v>
      </c>
      <c r="C53" s="8">
        <f t="shared" ref="C53:W53" si="2">C30-C6</f>
        <v>46.178861788617894</v>
      </c>
      <c r="D53" s="8">
        <f t="shared" si="2"/>
        <v>5.8536585365853568</v>
      </c>
      <c r="E53" s="8">
        <f t="shared" si="2"/>
        <v>0.29230417903630723</v>
      </c>
      <c r="F53" s="8">
        <f t="shared" si="2"/>
        <v>4.9955660656222278</v>
      </c>
      <c r="G53" s="8">
        <f t="shared" si="2"/>
        <v>4.1168751640276469</v>
      </c>
      <c r="H53" s="8">
        <f t="shared" si="2"/>
        <v>0.77454147325751421</v>
      </c>
      <c r="I53" s="8">
        <f t="shared" si="2"/>
        <v>1.4572397434470332</v>
      </c>
      <c r="J53" s="8">
        <f t="shared" si="2"/>
        <v>2.4556902492922887</v>
      </c>
      <c r="K53" s="8">
        <f t="shared" si="2"/>
        <v>2.288952454208939</v>
      </c>
      <c r="L53" s="8">
        <f t="shared" si="2"/>
        <v>3.1619891406669609</v>
      </c>
      <c r="M53" s="130">
        <f t="shared" si="2"/>
        <v>2.6539091760299556</v>
      </c>
      <c r="N53" s="131">
        <f t="shared" si="2"/>
        <v>15.347654041831547</v>
      </c>
      <c r="O53" s="131">
        <f t="shared" si="2"/>
        <v>2.5374783303841753</v>
      </c>
      <c r="P53" s="131">
        <f t="shared" si="2"/>
        <v>6.0076423425946928</v>
      </c>
      <c r="Q53" s="131">
        <f t="shared" si="2"/>
        <v>3.6053130929791308</v>
      </c>
      <c r="R53" s="131">
        <f t="shared" si="2"/>
        <v>0.28874451663057243</v>
      </c>
      <c r="S53" s="131">
        <f t="shared" si="2"/>
        <v>2.1882741535920616</v>
      </c>
      <c r="T53" s="131">
        <f t="shared" si="2"/>
        <v>2.2906924446580206</v>
      </c>
      <c r="U53" s="131">
        <f t="shared" si="2"/>
        <v>2.162385240723566</v>
      </c>
      <c r="V53" s="131">
        <f t="shared" si="2"/>
        <v>2.0349187236604536</v>
      </c>
      <c r="W53" s="132">
        <f t="shared" si="2"/>
        <v>2.1924626765578097</v>
      </c>
      <c r="X53" s="8">
        <f>X30-X7</f>
        <v>4.9964875307341146</v>
      </c>
      <c r="Y53" s="8">
        <f t="shared" ref="Y53:AG53" si="3">Y30-Y7</f>
        <v>77.830940988835721</v>
      </c>
      <c r="Z53" s="8">
        <f t="shared" si="3"/>
        <v>-14.646464646464651</v>
      </c>
      <c r="AA53" s="8">
        <f t="shared" si="3"/>
        <v>2.9640151515151558</v>
      </c>
      <c r="AB53" s="8">
        <f t="shared" si="3"/>
        <v>5.5052331722305752</v>
      </c>
      <c r="AC53" s="8">
        <f t="shared" si="3"/>
        <v>8.9926309822657657</v>
      </c>
      <c r="AD53" s="8">
        <f t="shared" si="3"/>
        <v>7.2414234511008715</v>
      </c>
      <c r="AE53" s="8">
        <f t="shared" si="3"/>
        <v>9.33634654199804</v>
      </c>
      <c r="AF53" s="8">
        <f t="shared" si="3"/>
        <v>9.9439775910364148</v>
      </c>
      <c r="AG53" s="8">
        <f t="shared" si="3"/>
        <v>2.3322764496488873</v>
      </c>
      <c r="AH53" s="8">
        <f>AH30-AH7</f>
        <v>-1.8100566151606046</v>
      </c>
    </row>
    <row r="54" spans="1:34">
      <c r="A54" s="5" t="s">
        <v>47</v>
      </c>
      <c r="B54" s="8">
        <f>B49-B30</f>
        <v>-1.553148568223861</v>
      </c>
      <c r="C54" s="8">
        <f t="shared" ref="C54:AG54" si="4">C49-C30</f>
        <v>-13.371844244758236</v>
      </c>
      <c r="D54" s="8">
        <f t="shared" si="4"/>
        <v>3.5746649956618199</v>
      </c>
      <c r="E54" s="8">
        <f t="shared" si="4"/>
        <v>2.5497814473045111</v>
      </c>
      <c r="F54" s="8">
        <f t="shared" si="4"/>
        <v>0.27089783281734015</v>
      </c>
      <c r="G54" s="8">
        <f t="shared" si="4"/>
        <v>-0.25934401220442282</v>
      </c>
      <c r="H54" s="8">
        <f t="shared" si="4"/>
        <v>-0.39036150758538213</v>
      </c>
      <c r="I54" s="8">
        <f t="shared" si="4"/>
        <v>-2.2312476693707879</v>
      </c>
      <c r="J54" s="8">
        <f t="shared" si="4"/>
        <v>-5.0570457622978608</v>
      </c>
      <c r="K54" s="8">
        <f t="shared" si="4"/>
        <v>-2.4245715042170843</v>
      </c>
      <c r="L54" s="8">
        <f t="shared" si="4"/>
        <v>-1.2750206611628414</v>
      </c>
      <c r="M54" s="130">
        <f t="shared" si="4"/>
        <v>-1.7202171361502252</v>
      </c>
      <c r="N54" s="131">
        <f t="shared" si="4"/>
        <v>-11.703596949498589</v>
      </c>
      <c r="O54" s="131">
        <f t="shared" si="4"/>
        <v>3.5613736102527582</v>
      </c>
      <c r="P54" s="131">
        <f t="shared" si="4"/>
        <v>1.4014572346865464</v>
      </c>
      <c r="Q54" s="131">
        <f t="shared" si="4"/>
        <v>0.12132216624135594</v>
      </c>
      <c r="R54" s="131">
        <f t="shared" si="4"/>
        <v>-0.48269220779739896</v>
      </c>
      <c r="S54" s="131">
        <f t="shared" si="4"/>
        <v>-4.0135322159003408</v>
      </c>
      <c r="T54" s="131">
        <f t="shared" si="4"/>
        <v>-5.0809167182836745</v>
      </c>
      <c r="U54" s="131">
        <f t="shared" si="4"/>
        <v>-2.9115731033482319</v>
      </c>
      <c r="V54" s="131">
        <f t="shared" si="4"/>
        <v>-2.5404030923084804</v>
      </c>
      <c r="W54" s="132">
        <f t="shared" si="4"/>
        <v>-8.7221705718818043E-2</v>
      </c>
      <c r="X54" s="8">
        <f t="shared" si="4"/>
        <v>4.2181480005314143</v>
      </c>
      <c r="Y54" s="8">
        <f t="shared" si="4"/>
        <v>27.017543859649138</v>
      </c>
      <c r="Z54" s="8">
        <f t="shared" si="4"/>
        <v>25.527426160337555</v>
      </c>
      <c r="AA54" s="8">
        <f t="shared" si="4"/>
        <v>3.4333905088622032</v>
      </c>
      <c r="AB54" s="8">
        <f t="shared" si="4"/>
        <v>4.6036634786837425</v>
      </c>
      <c r="AC54" s="8">
        <f t="shared" si="4"/>
        <v>4.7949773808143021</v>
      </c>
      <c r="AD54" s="8">
        <f t="shared" si="4"/>
        <v>8.4591258599757282</v>
      </c>
      <c r="AE54" s="8">
        <f t="shared" si="4"/>
        <v>3.7371535347243849</v>
      </c>
      <c r="AF54" s="8">
        <f t="shared" si="4"/>
        <v>0.92121355584487219</v>
      </c>
      <c r="AG54" s="8">
        <f t="shared" si="4"/>
        <v>0.58811315028671629</v>
      </c>
      <c r="AH54" s="8">
        <f>AH49-AH30</f>
        <v>2.0505708935786799</v>
      </c>
    </row>
    <row r="56" spans="1:34">
      <c r="A56" s="5" t="s">
        <v>540</v>
      </c>
    </row>
    <row r="57" spans="1:34">
      <c r="A57" s="5" t="s">
        <v>539</v>
      </c>
    </row>
    <row r="60" spans="1:34">
      <c r="A60" s="5" t="s">
        <v>538</v>
      </c>
    </row>
  </sheetData>
  <mergeCells count="3">
    <mergeCell ref="B4:L4"/>
    <mergeCell ref="M4:W4"/>
    <mergeCell ref="X4:A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4DE4-A5A9-4B49-B7B6-322AD81DB6F5}">
  <sheetPr codeName="Sheet2"/>
  <dimension ref="A1:G70"/>
  <sheetViews>
    <sheetView zoomScaleNormal="77" workbookViewId="0"/>
  </sheetViews>
  <sheetFormatPr baseColWidth="10" defaultColWidth="11" defaultRowHeight="16"/>
  <cols>
    <col min="1" max="1" width="20" style="99" customWidth="1"/>
    <col min="2" max="2" width="21" style="99" customWidth="1"/>
    <col min="3" max="3" width="21.33203125" style="99" customWidth="1"/>
    <col min="4" max="4" width="20.83203125" style="99" customWidth="1"/>
    <col min="5" max="5" width="17.5" style="99" customWidth="1"/>
    <col min="6" max="6" width="17" style="99" customWidth="1"/>
    <col min="7" max="7" width="17.83203125" style="99" customWidth="1"/>
    <col min="8" max="16384" width="11" style="99"/>
  </cols>
  <sheetData>
    <row r="1" spans="1:7">
      <c r="A1" s="103" t="s">
        <v>2</v>
      </c>
    </row>
    <row r="2" spans="1:7">
      <c r="A2" s="99" t="s">
        <v>3</v>
      </c>
    </row>
    <row r="4" spans="1:7" ht="34">
      <c r="B4" s="100" t="s">
        <v>4</v>
      </c>
      <c r="C4" s="100" t="s">
        <v>5</v>
      </c>
      <c r="D4" s="100" t="s">
        <v>6</v>
      </c>
      <c r="E4" s="100" t="s">
        <v>7</v>
      </c>
      <c r="F4" s="100" t="s">
        <v>8</v>
      </c>
      <c r="G4" s="253"/>
    </row>
    <row r="5" spans="1:7">
      <c r="A5" s="99">
        <v>1976</v>
      </c>
      <c r="B5" s="101">
        <v>49100</v>
      </c>
      <c r="C5" s="101">
        <v>9100</v>
      </c>
      <c r="D5" s="101">
        <v>58200</v>
      </c>
      <c r="E5" s="101">
        <v>7600</v>
      </c>
      <c r="F5" s="101">
        <v>50600</v>
      </c>
    </row>
    <row r="6" spans="1:7">
      <c r="A6" s="99">
        <v>1977</v>
      </c>
      <c r="B6" s="101">
        <v>50700</v>
      </c>
      <c r="C6" s="101">
        <v>9300</v>
      </c>
      <c r="D6" s="101">
        <v>60000</v>
      </c>
      <c r="E6" s="101">
        <v>7400</v>
      </c>
      <c r="F6" s="101">
        <v>52700</v>
      </c>
    </row>
    <row r="7" spans="1:7">
      <c r="A7" s="99">
        <v>1978</v>
      </c>
      <c r="B7" s="101">
        <v>50200</v>
      </c>
      <c r="C7" s="101">
        <v>9300</v>
      </c>
      <c r="D7" s="101">
        <v>59500</v>
      </c>
      <c r="E7" s="101">
        <v>7200</v>
      </c>
      <c r="F7" s="101">
        <v>52300</v>
      </c>
    </row>
    <row r="8" spans="1:7">
      <c r="A8" s="99">
        <v>1979</v>
      </c>
      <c r="B8" s="101">
        <v>50800</v>
      </c>
      <c r="C8" s="101">
        <v>8900</v>
      </c>
      <c r="D8" s="101">
        <v>59700</v>
      </c>
      <c r="E8" s="101">
        <v>7300</v>
      </c>
      <c r="F8" s="101">
        <v>52400</v>
      </c>
    </row>
    <row r="9" spans="1:7">
      <c r="A9" s="99">
        <v>1980</v>
      </c>
      <c r="B9" s="101">
        <v>49100</v>
      </c>
      <c r="C9" s="101">
        <v>9700</v>
      </c>
      <c r="D9" s="101">
        <v>58800</v>
      </c>
      <c r="E9" s="101">
        <v>7300</v>
      </c>
      <c r="F9" s="101">
        <v>51500</v>
      </c>
    </row>
    <row r="10" spans="1:7">
      <c r="A10" s="99">
        <v>1981</v>
      </c>
      <c r="B10" s="101">
        <v>49300</v>
      </c>
      <c r="C10" s="101">
        <v>9500</v>
      </c>
      <c r="D10" s="101">
        <v>58800</v>
      </c>
      <c r="E10" s="101">
        <v>7400</v>
      </c>
      <c r="F10" s="101">
        <v>51400</v>
      </c>
    </row>
    <row r="11" spans="1:7">
      <c r="A11" s="99">
        <v>1982</v>
      </c>
      <c r="B11" s="101">
        <v>47300</v>
      </c>
      <c r="C11" s="101">
        <v>10600</v>
      </c>
      <c r="D11" s="101">
        <v>57900</v>
      </c>
      <c r="E11" s="101">
        <v>7600</v>
      </c>
      <c r="F11" s="101">
        <v>50300</v>
      </c>
    </row>
    <row r="12" spans="1:7">
      <c r="A12" s="99">
        <v>1983</v>
      </c>
      <c r="B12" s="101">
        <v>44800</v>
      </c>
      <c r="C12" s="101">
        <v>10700</v>
      </c>
      <c r="D12" s="101">
        <v>55400</v>
      </c>
      <c r="E12" s="101">
        <v>7600</v>
      </c>
      <c r="F12" s="101">
        <v>47800</v>
      </c>
    </row>
    <row r="13" spans="1:7">
      <c r="A13" s="99">
        <v>1984</v>
      </c>
      <c r="B13" s="101">
        <v>48500</v>
      </c>
      <c r="C13" s="101">
        <v>11000</v>
      </c>
      <c r="D13" s="101">
        <v>59500</v>
      </c>
      <c r="E13" s="101">
        <v>8200</v>
      </c>
      <c r="F13" s="101">
        <v>51300</v>
      </c>
    </row>
    <row r="14" spans="1:7">
      <c r="A14" s="99">
        <v>1985</v>
      </c>
      <c r="B14" s="101">
        <v>49100</v>
      </c>
      <c r="C14" s="101">
        <v>11000</v>
      </c>
      <c r="D14" s="101">
        <v>60100</v>
      </c>
      <c r="E14" s="101">
        <v>8200</v>
      </c>
      <c r="F14" s="101">
        <v>51900</v>
      </c>
    </row>
    <row r="15" spans="1:7">
      <c r="A15" s="99">
        <v>1986</v>
      </c>
      <c r="B15" s="101">
        <v>48600</v>
      </c>
      <c r="C15" s="101">
        <v>11300</v>
      </c>
      <c r="D15" s="101">
        <v>59900</v>
      </c>
      <c r="E15" s="101">
        <v>8700</v>
      </c>
      <c r="F15" s="101">
        <v>51200</v>
      </c>
    </row>
    <row r="16" spans="1:7">
      <c r="A16" s="99">
        <v>1987</v>
      </c>
      <c r="B16" s="101">
        <v>47600</v>
      </c>
      <c r="C16" s="101">
        <v>11500</v>
      </c>
      <c r="D16" s="101">
        <v>59000</v>
      </c>
      <c r="E16" s="101">
        <v>9100</v>
      </c>
      <c r="F16" s="101">
        <v>49900</v>
      </c>
    </row>
    <row r="17" spans="1:6">
      <c r="A17" s="99">
        <v>1988</v>
      </c>
      <c r="B17" s="101">
        <v>49000</v>
      </c>
      <c r="C17" s="101">
        <v>11900</v>
      </c>
      <c r="D17" s="101">
        <v>60900</v>
      </c>
      <c r="E17" s="101">
        <v>9500</v>
      </c>
      <c r="F17" s="101">
        <v>51500</v>
      </c>
    </row>
    <row r="18" spans="1:6">
      <c r="A18" s="99">
        <v>1989</v>
      </c>
      <c r="B18" s="101">
        <v>51800</v>
      </c>
      <c r="C18" s="101">
        <v>11200</v>
      </c>
      <c r="D18" s="101">
        <v>63000</v>
      </c>
      <c r="E18" s="101">
        <v>10200</v>
      </c>
      <c r="F18" s="101">
        <v>52700</v>
      </c>
    </row>
    <row r="19" spans="1:6">
      <c r="A19" s="99">
        <v>1990</v>
      </c>
      <c r="B19" s="101">
        <v>49800</v>
      </c>
      <c r="C19" s="101">
        <v>11500</v>
      </c>
      <c r="D19" s="101">
        <v>61400</v>
      </c>
      <c r="E19" s="101">
        <v>10200</v>
      </c>
      <c r="F19" s="101">
        <v>51100</v>
      </c>
    </row>
    <row r="20" spans="1:6">
      <c r="A20" s="99">
        <v>1991</v>
      </c>
      <c r="B20" s="101">
        <v>47800</v>
      </c>
      <c r="C20" s="101">
        <v>11900</v>
      </c>
      <c r="D20" s="101">
        <v>59700</v>
      </c>
      <c r="E20" s="101">
        <v>10000</v>
      </c>
      <c r="F20" s="101">
        <v>49700</v>
      </c>
    </row>
    <row r="21" spans="1:6">
      <c r="A21" s="99">
        <v>1992</v>
      </c>
      <c r="B21" s="101">
        <v>47200</v>
      </c>
      <c r="C21" s="101">
        <v>12500</v>
      </c>
      <c r="D21" s="101">
        <v>59600</v>
      </c>
      <c r="E21" s="101">
        <v>9700</v>
      </c>
      <c r="F21" s="101">
        <v>49900</v>
      </c>
    </row>
    <row r="22" spans="1:6">
      <c r="A22" s="99">
        <v>1993</v>
      </c>
      <c r="B22" s="101">
        <v>45900</v>
      </c>
      <c r="C22" s="101">
        <v>12800</v>
      </c>
      <c r="D22" s="101">
        <v>58700</v>
      </c>
      <c r="E22" s="101">
        <v>9400</v>
      </c>
      <c r="F22" s="101">
        <v>49300</v>
      </c>
    </row>
    <row r="23" spans="1:6">
      <c r="A23" s="99">
        <v>1994</v>
      </c>
      <c r="B23" s="101">
        <v>46000</v>
      </c>
      <c r="C23" s="101">
        <v>12500</v>
      </c>
      <c r="D23" s="101">
        <v>58500</v>
      </c>
      <c r="E23" s="101">
        <v>9700</v>
      </c>
      <c r="F23" s="101">
        <v>48800</v>
      </c>
    </row>
    <row r="24" spans="1:6">
      <c r="A24" s="99">
        <v>1995</v>
      </c>
      <c r="B24" s="101">
        <v>46800</v>
      </c>
      <c r="C24" s="101">
        <v>12000</v>
      </c>
      <c r="D24" s="101">
        <v>58800</v>
      </c>
      <c r="E24" s="101">
        <v>9700</v>
      </c>
      <c r="F24" s="101">
        <v>49100</v>
      </c>
    </row>
    <row r="25" spans="1:6">
      <c r="A25" s="99">
        <v>1996</v>
      </c>
      <c r="B25" s="101">
        <v>47100</v>
      </c>
      <c r="C25" s="101">
        <v>11800</v>
      </c>
      <c r="D25" s="101">
        <v>58900</v>
      </c>
      <c r="E25" s="101">
        <v>9900</v>
      </c>
      <c r="F25" s="101">
        <v>49000</v>
      </c>
    </row>
    <row r="26" spans="1:6">
      <c r="A26" s="99">
        <v>1997</v>
      </c>
      <c r="B26" s="101">
        <v>46500</v>
      </c>
      <c r="C26" s="101">
        <v>11500</v>
      </c>
      <c r="D26" s="101">
        <v>58000</v>
      </c>
      <c r="E26" s="101">
        <v>9600</v>
      </c>
      <c r="F26" s="101">
        <v>48400</v>
      </c>
    </row>
    <row r="27" spans="1:6">
      <c r="A27" s="99">
        <v>1998</v>
      </c>
      <c r="B27" s="101">
        <v>50000</v>
      </c>
      <c r="C27" s="101">
        <v>11300</v>
      </c>
      <c r="D27" s="101">
        <v>61300</v>
      </c>
      <c r="E27" s="101">
        <v>10500</v>
      </c>
      <c r="F27" s="101">
        <v>50800</v>
      </c>
    </row>
    <row r="28" spans="1:6">
      <c r="A28" s="99">
        <v>1999</v>
      </c>
      <c r="B28" s="101">
        <v>52100</v>
      </c>
      <c r="C28" s="101">
        <v>10700</v>
      </c>
      <c r="D28" s="101">
        <v>62800</v>
      </c>
      <c r="E28" s="101">
        <v>10600</v>
      </c>
      <c r="F28" s="101">
        <v>52200</v>
      </c>
    </row>
    <row r="29" spans="1:6">
      <c r="A29" s="99">
        <v>2000</v>
      </c>
      <c r="B29" s="101">
        <v>53700</v>
      </c>
      <c r="C29" s="101">
        <v>10500</v>
      </c>
      <c r="D29" s="101">
        <v>64200</v>
      </c>
      <c r="E29" s="101">
        <v>10800</v>
      </c>
      <c r="F29" s="101">
        <v>53400</v>
      </c>
    </row>
    <row r="30" spans="1:6">
      <c r="A30" s="99">
        <v>2001</v>
      </c>
      <c r="B30" s="101">
        <v>54200</v>
      </c>
      <c r="C30" s="101">
        <v>11400</v>
      </c>
      <c r="D30" s="101">
        <v>65600</v>
      </c>
      <c r="E30" s="101">
        <v>10600</v>
      </c>
      <c r="F30" s="101">
        <v>55000</v>
      </c>
    </row>
    <row r="31" spans="1:6">
      <c r="A31" s="99">
        <v>2002</v>
      </c>
      <c r="B31" s="101">
        <v>52900</v>
      </c>
      <c r="C31" s="101">
        <v>11300</v>
      </c>
      <c r="D31" s="101">
        <v>64200</v>
      </c>
      <c r="E31" s="101">
        <v>10100</v>
      </c>
      <c r="F31" s="101">
        <v>54100</v>
      </c>
    </row>
    <row r="32" spans="1:6">
      <c r="A32" s="99">
        <v>2003</v>
      </c>
      <c r="B32" s="101">
        <v>53300</v>
      </c>
      <c r="C32" s="101">
        <v>11200</v>
      </c>
      <c r="D32" s="101">
        <v>64500</v>
      </c>
      <c r="E32" s="101">
        <v>10300</v>
      </c>
      <c r="F32" s="101">
        <v>54200</v>
      </c>
    </row>
    <row r="33" spans="1:6">
      <c r="A33" s="99">
        <v>2004</v>
      </c>
      <c r="B33" s="101">
        <v>54100</v>
      </c>
      <c r="C33" s="101">
        <v>11200</v>
      </c>
      <c r="D33" s="101">
        <v>65400</v>
      </c>
      <c r="E33" s="101">
        <v>10300</v>
      </c>
      <c r="F33" s="101">
        <v>55100</v>
      </c>
    </row>
    <row r="34" spans="1:6">
      <c r="A34" s="99">
        <v>2005</v>
      </c>
      <c r="B34" s="101">
        <v>53700</v>
      </c>
      <c r="C34" s="101">
        <v>10600</v>
      </c>
      <c r="D34" s="101">
        <v>64300</v>
      </c>
      <c r="E34" s="101">
        <v>9600</v>
      </c>
      <c r="F34" s="101">
        <v>54700</v>
      </c>
    </row>
    <row r="35" spans="1:6">
      <c r="A35" s="99">
        <v>2006</v>
      </c>
      <c r="B35" s="101">
        <v>54700</v>
      </c>
      <c r="C35" s="101">
        <v>10900</v>
      </c>
      <c r="D35" s="101">
        <v>65700</v>
      </c>
      <c r="E35" s="101">
        <v>9900</v>
      </c>
      <c r="F35" s="101">
        <v>55800</v>
      </c>
    </row>
    <row r="36" spans="1:6">
      <c r="A36" s="99">
        <v>2007</v>
      </c>
      <c r="B36" s="101">
        <v>57000</v>
      </c>
      <c r="C36" s="101">
        <v>11200</v>
      </c>
      <c r="D36" s="101">
        <v>68200</v>
      </c>
      <c r="E36" s="101">
        <v>10000</v>
      </c>
      <c r="F36" s="101">
        <v>58200</v>
      </c>
    </row>
    <row r="37" spans="1:6">
      <c r="A37" s="99">
        <v>2008</v>
      </c>
      <c r="B37" s="101">
        <v>58100</v>
      </c>
      <c r="C37" s="101">
        <v>10900</v>
      </c>
      <c r="D37" s="101">
        <v>69000</v>
      </c>
      <c r="E37" s="101">
        <v>10400</v>
      </c>
      <c r="F37" s="101">
        <v>58600</v>
      </c>
    </row>
    <row r="38" spans="1:6">
      <c r="A38" s="99">
        <v>2009</v>
      </c>
      <c r="B38" s="101">
        <v>58800</v>
      </c>
      <c r="C38" s="101">
        <v>11700</v>
      </c>
      <c r="D38" s="101">
        <v>70500</v>
      </c>
      <c r="E38" s="101">
        <v>9900</v>
      </c>
      <c r="F38" s="101">
        <v>60600</v>
      </c>
    </row>
    <row r="39" spans="1:6">
      <c r="A39" s="99">
        <v>2010</v>
      </c>
      <c r="B39" s="101">
        <v>58600</v>
      </c>
      <c r="C39" s="101">
        <v>11900</v>
      </c>
      <c r="D39" s="101">
        <v>70500</v>
      </c>
      <c r="E39" s="101">
        <v>10000</v>
      </c>
      <c r="F39" s="101">
        <v>60500</v>
      </c>
    </row>
    <row r="40" spans="1:6">
      <c r="A40" s="99">
        <v>2011</v>
      </c>
      <c r="B40" s="101">
        <v>60000</v>
      </c>
      <c r="C40" s="101">
        <v>12200</v>
      </c>
      <c r="D40" s="101">
        <v>72200</v>
      </c>
      <c r="E40" s="101">
        <v>10200</v>
      </c>
      <c r="F40" s="101">
        <v>62000</v>
      </c>
    </row>
    <row r="41" spans="1:6">
      <c r="A41" s="99">
        <v>2012</v>
      </c>
      <c r="B41" s="101">
        <v>60200</v>
      </c>
      <c r="C41" s="101">
        <v>11600</v>
      </c>
      <c r="D41" s="101">
        <v>71800</v>
      </c>
      <c r="E41" s="101">
        <v>10000</v>
      </c>
      <c r="F41" s="101">
        <v>61800</v>
      </c>
    </row>
    <row r="42" spans="1:6">
      <c r="A42" s="99">
        <v>2013</v>
      </c>
      <c r="B42" s="101">
        <v>59900</v>
      </c>
      <c r="C42" s="101">
        <v>12200</v>
      </c>
      <c r="D42" s="101">
        <v>72100</v>
      </c>
      <c r="E42" s="101">
        <v>10200</v>
      </c>
      <c r="F42" s="101">
        <v>61900</v>
      </c>
    </row>
    <row r="43" spans="1:6">
      <c r="A43" s="99">
        <v>2014</v>
      </c>
      <c r="B43" s="101">
        <v>60500</v>
      </c>
      <c r="C43" s="101">
        <v>12500</v>
      </c>
      <c r="D43" s="101">
        <v>73000</v>
      </c>
      <c r="E43" s="101">
        <v>10900</v>
      </c>
      <c r="F43" s="101">
        <v>62100</v>
      </c>
    </row>
    <row r="44" spans="1:6">
      <c r="A44" s="99">
        <v>2015</v>
      </c>
      <c r="B44" s="101">
        <v>59800</v>
      </c>
      <c r="C44" s="101">
        <v>12600</v>
      </c>
      <c r="D44" s="101">
        <v>72400</v>
      </c>
      <c r="E44" s="101">
        <v>10800</v>
      </c>
      <c r="F44" s="101">
        <v>61600</v>
      </c>
    </row>
    <row r="45" spans="1:6">
      <c r="A45" s="99">
        <v>2016</v>
      </c>
      <c r="B45" s="101">
        <v>60400</v>
      </c>
      <c r="C45" s="101">
        <v>13100</v>
      </c>
      <c r="D45" s="101">
        <v>73500</v>
      </c>
      <c r="E45" s="101">
        <v>10600</v>
      </c>
      <c r="F45" s="101">
        <v>62900</v>
      </c>
    </row>
    <row r="46" spans="1:6">
      <c r="A46" s="99">
        <v>2017</v>
      </c>
      <c r="B46" s="101">
        <v>62400</v>
      </c>
      <c r="C46" s="101">
        <v>14000</v>
      </c>
      <c r="D46" s="101">
        <v>76300</v>
      </c>
      <c r="E46" s="101">
        <v>11600</v>
      </c>
      <c r="F46" s="101">
        <v>64800</v>
      </c>
    </row>
    <row r="47" spans="1:6">
      <c r="A47" s="99">
        <v>2018</v>
      </c>
      <c r="B47" s="101">
        <v>64900</v>
      </c>
      <c r="C47" s="101">
        <v>14000</v>
      </c>
      <c r="D47" s="101">
        <v>78900</v>
      </c>
      <c r="E47" s="101">
        <v>12900</v>
      </c>
      <c r="F47" s="101">
        <v>65900</v>
      </c>
    </row>
    <row r="48" spans="1:6">
      <c r="A48" s="99">
        <v>2019</v>
      </c>
      <c r="B48" s="101">
        <v>63800</v>
      </c>
      <c r="C48" s="101">
        <v>13600</v>
      </c>
      <c r="D48" s="101">
        <v>77400</v>
      </c>
      <c r="E48" s="101">
        <v>12000</v>
      </c>
      <c r="F48" s="101">
        <v>65400</v>
      </c>
    </row>
    <row r="49" spans="1:7">
      <c r="B49" s="255"/>
      <c r="C49" s="255"/>
      <c r="D49" s="255"/>
      <c r="E49" s="255"/>
      <c r="F49" s="255"/>
    </row>
    <row r="50" spans="1:7">
      <c r="A50" s="256" t="s">
        <v>9</v>
      </c>
      <c r="B50" s="257">
        <f>100*((B48/B5)^(1/43)-1)</f>
        <v>0.6109146940485255</v>
      </c>
      <c r="C50" s="257">
        <f t="shared" ref="C50:F50" si="0">100*((C48/C5)^(1/43)-1)</f>
        <v>0.93878707817698359</v>
      </c>
      <c r="D50" s="257">
        <f t="shared" si="0"/>
        <v>0.66522945882212525</v>
      </c>
      <c r="E50" s="257">
        <f t="shared" si="0"/>
        <v>1.067890522494408</v>
      </c>
      <c r="F50" s="257">
        <f t="shared" si="0"/>
        <v>0.59845966210745338</v>
      </c>
    </row>
    <row r="51" spans="1:7">
      <c r="A51" s="256" t="s">
        <v>10</v>
      </c>
      <c r="B51" s="257">
        <f>100*((B29/B5)^(1/24)-1)</f>
        <v>0.37383856768782309</v>
      </c>
      <c r="C51" s="257">
        <f t="shared" ref="C51:F51" si="1">100*((C29/C5)^(1/24)-1)</f>
        <v>0.59803464469738721</v>
      </c>
      <c r="D51" s="257">
        <f t="shared" si="1"/>
        <v>0.40966122677228434</v>
      </c>
      <c r="E51" s="257">
        <f t="shared" si="1"/>
        <v>1.474929158437277</v>
      </c>
      <c r="F51" s="257">
        <f t="shared" si="1"/>
        <v>0.22466520187505168</v>
      </c>
    </row>
    <row r="52" spans="1:7">
      <c r="A52" s="256" t="s">
        <v>11</v>
      </c>
      <c r="B52" s="257">
        <f>100*((B48/B29)^(1/19)-1)</f>
        <v>0.91117982302195699</v>
      </c>
      <c r="C52" s="257">
        <f t="shared" ref="C52:F52" si="2">100*((C48/C29)^(1/19)-1)</f>
        <v>1.3708614931932761</v>
      </c>
      <c r="D52" s="257">
        <f t="shared" si="2"/>
        <v>0.98898247741860956</v>
      </c>
      <c r="E52" s="257">
        <f t="shared" si="2"/>
        <v>0.55606938793051341</v>
      </c>
      <c r="F52" s="257">
        <f t="shared" si="2"/>
        <v>1.0726143988739834</v>
      </c>
    </row>
    <row r="53" spans="1:7">
      <c r="A53" s="256" t="s">
        <v>205</v>
      </c>
      <c r="B53" s="257">
        <f>100*((B48/B10)^(1/38)-1)</f>
        <v>0.68080466612279178</v>
      </c>
      <c r="C53" s="257">
        <f t="shared" ref="C53:E53" si="3">100*((C48/C10)^(1/38)-1)</f>
        <v>0.94862379747238101</v>
      </c>
      <c r="D53" s="257">
        <f t="shared" si="3"/>
        <v>0.72589807949343665</v>
      </c>
      <c r="E53" s="257">
        <f t="shared" si="3"/>
        <v>1.2803019696551399</v>
      </c>
      <c r="F53" s="257">
        <f>100*((F48/F10)^(1/38)-1)</f>
        <v>0.63591892249943438</v>
      </c>
    </row>
    <row r="54" spans="1:7">
      <c r="A54" s="256" t="s">
        <v>12</v>
      </c>
      <c r="B54" s="257">
        <f>100*((B29/B10)^(1/19)-1)</f>
        <v>0.45095544413997768</v>
      </c>
      <c r="C54" s="257">
        <f t="shared" ref="C54:F54" si="4">100*((C29/C10)^(1/19)-1)</f>
        <v>0.5281448386218246</v>
      </c>
      <c r="D54" s="257">
        <f t="shared" si="4"/>
        <v>0.46349903752229693</v>
      </c>
      <c r="E54" s="257">
        <f t="shared" si="4"/>
        <v>2.0097506744405136</v>
      </c>
      <c r="F54" s="257">
        <f t="shared" si="4"/>
        <v>0.20111023751958612</v>
      </c>
    </row>
    <row r="55" spans="1:7">
      <c r="A55" s="256" t="s">
        <v>214</v>
      </c>
      <c r="B55" s="257">
        <f>100*((B18/B10)^(1/8)-1)</f>
        <v>0.62024143315171365</v>
      </c>
      <c r="C55" s="257">
        <f t="shared" ref="C55:E55" si="5">100*((C18/C10)^(1/8)-1)</f>
        <v>2.0790929061885066</v>
      </c>
      <c r="D55" s="257">
        <f t="shared" si="5"/>
        <v>0.86614036976060405</v>
      </c>
      <c r="E55" s="257">
        <f t="shared" si="5"/>
        <v>4.0928876497416056</v>
      </c>
      <c r="F55" s="257">
        <f>100*((F18/F10)^(1/8)-1)</f>
        <v>0.31270394048839023</v>
      </c>
    </row>
    <row r="56" spans="1:7">
      <c r="A56" s="256" t="s">
        <v>536</v>
      </c>
      <c r="B56" s="257">
        <f>100*((B29/B18)^(1/11)-1)</f>
        <v>0.32801727811708759</v>
      </c>
      <c r="C56" s="257">
        <f t="shared" ref="C56:E56" si="6">100*((C29/C18)^(1/11)-1)</f>
        <v>-0.58499602411440366</v>
      </c>
      <c r="D56" s="257">
        <f t="shared" si="6"/>
        <v>0.17167887522557823</v>
      </c>
      <c r="E56" s="257">
        <f t="shared" si="6"/>
        <v>0.52097432022284451</v>
      </c>
      <c r="F56" s="257">
        <f>100*((F29/F18)^(1/11)-1)</f>
        <v>0.12002916303548439</v>
      </c>
    </row>
    <row r="57" spans="1:7">
      <c r="A57" s="256" t="s">
        <v>206</v>
      </c>
      <c r="B57" s="257">
        <f>100*((B37/B29)^(1/8)-1)</f>
        <v>0.98926951596762791</v>
      </c>
      <c r="C57" s="257">
        <f t="shared" ref="C57:E57" si="7">100*((C37/C29)^(1/8)-1)</f>
        <v>0.46843790687656206</v>
      </c>
      <c r="D57" s="257">
        <f t="shared" si="7"/>
        <v>0.90536503257829803</v>
      </c>
      <c r="E57" s="257">
        <f t="shared" si="7"/>
        <v>-0.47064308790024656</v>
      </c>
      <c r="F57" s="257">
        <f>100*((F37/F29)^(1/8)-1)</f>
        <v>1.1683215628914168</v>
      </c>
    </row>
    <row r="58" spans="1:7">
      <c r="A58" s="256" t="s">
        <v>207</v>
      </c>
      <c r="B58" s="257">
        <f>100*((B48/B37)^(1/11)-1)</f>
        <v>0.85442524802337161</v>
      </c>
      <c r="C58" s="257">
        <f t="shared" ref="C58:E58" si="8">100*((C48/C37)^(1/11)-1)</f>
        <v>2.0322566022119348</v>
      </c>
      <c r="D58" s="257">
        <f t="shared" si="8"/>
        <v>1.0498386831875983</v>
      </c>
      <c r="E58" s="257">
        <f t="shared" si="8"/>
        <v>1.3094154962957516</v>
      </c>
      <c r="F58" s="257">
        <f>100*((F48/F37)^(1/11)-1)</f>
        <v>1.0030660621763721</v>
      </c>
    </row>
    <row r="59" spans="1:7">
      <c r="A59" s="256"/>
      <c r="B59" s="257"/>
      <c r="C59" s="257"/>
      <c r="D59" s="257"/>
      <c r="E59" s="257"/>
      <c r="F59" s="257"/>
    </row>
    <row r="60" spans="1:7">
      <c r="A60" s="256"/>
      <c r="B60" s="257"/>
      <c r="C60" s="257"/>
      <c r="D60" s="257"/>
      <c r="E60" s="257"/>
      <c r="F60" s="257"/>
    </row>
    <row r="61" spans="1:7">
      <c r="B61" s="255"/>
      <c r="C61" s="255"/>
      <c r="D61" s="255"/>
      <c r="E61" s="255"/>
      <c r="F61" s="255"/>
    </row>
    <row r="62" spans="1:7" ht="34">
      <c r="A62" s="258" t="s">
        <v>13</v>
      </c>
      <c r="B62" s="259">
        <v>1976</v>
      </c>
      <c r="C62" s="260" t="s">
        <v>14</v>
      </c>
      <c r="D62" s="261">
        <v>2000</v>
      </c>
      <c r="E62" s="260" t="s">
        <v>14</v>
      </c>
      <c r="F62" s="261">
        <v>2019</v>
      </c>
      <c r="G62" s="260" t="s">
        <v>14</v>
      </c>
    </row>
    <row r="63" spans="1:7" ht="17">
      <c r="A63" s="262" t="s">
        <v>15</v>
      </c>
      <c r="B63" s="263">
        <v>49100</v>
      </c>
      <c r="C63" s="264">
        <f>100*(B63/$B$67)</f>
        <v>97.035573122529641</v>
      </c>
      <c r="D63" s="263">
        <v>53700</v>
      </c>
      <c r="E63" s="264">
        <f>100*(D63/$D$67)</f>
        <v>100.56179775280899</v>
      </c>
      <c r="F63" s="263">
        <v>63800</v>
      </c>
      <c r="G63" s="264">
        <f>100*(F63/$F$67)</f>
        <v>97.553516819571868</v>
      </c>
    </row>
    <row r="64" spans="1:7">
      <c r="A64" s="265" t="s">
        <v>16</v>
      </c>
      <c r="B64" s="263">
        <v>9100</v>
      </c>
      <c r="C64" s="264">
        <f>100*(B64/$B$67)</f>
        <v>17.984189723320156</v>
      </c>
      <c r="D64" s="263">
        <v>10500</v>
      </c>
      <c r="E64" s="264">
        <f>100*(D64/$D$67)</f>
        <v>19.662921348314608</v>
      </c>
      <c r="F64" s="263">
        <v>13600</v>
      </c>
      <c r="G64" s="264">
        <f>100*(F64/$F$67)</f>
        <v>20.795107033639145</v>
      </c>
    </row>
    <row r="65" spans="1:7" ht="17">
      <c r="A65" s="262" t="s">
        <v>17</v>
      </c>
      <c r="B65" s="263">
        <v>58200</v>
      </c>
      <c r="C65" s="264">
        <f>100*(B65/$B$67)</f>
        <v>115.01976284584981</v>
      </c>
      <c r="D65" s="263">
        <v>64200</v>
      </c>
      <c r="E65" s="264">
        <f>100*(D65/$D$67)</f>
        <v>120.2247191011236</v>
      </c>
      <c r="F65" s="263">
        <v>77400</v>
      </c>
      <c r="G65" s="264">
        <f>100*(F65/$F$67)</f>
        <v>118.34862385321101</v>
      </c>
    </row>
    <row r="66" spans="1:7" ht="17">
      <c r="A66" s="262" t="s">
        <v>18</v>
      </c>
      <c r="B66" s="263">
        <v>7600</v>
      </c>
      <c r="C66" s="264">
        <f>100*(B66/$B$67)</f>
        <v>15.019762845849801</v>
      </c>
      <c r="D66" s="263">
        <v>10800</v>
      </c>
      <c r="E66" s="264">
        <f>100*(D66/$D$67)</f>
        <v>20.224719101123593</v>
      </c>
      <c r="F66" s="263">
        <v>12000</v>
      </c>
      <c r="G66" s="264">
        <f>100*(F66/$F$67)</f>
        <v>18.348623853211009</v>
      </c>
    </row>
    <row r="67" spans="1:7" ht="17">
      <c r="A67" s="262" t="s">
        <v>19</v>
      </c>
      <c r="B67" s="263">
        <v>50600</v>
      </c>
      <c r="C67" s="264">
        <f>100*(B67/$B$67)</f>
        <v>100</v>
      </c>
      <c r="D67" s="263">
        <v>53400</v>
      </c>
      <c r="E67" s="264">
        <f>100*(D67/$D$67)</f>
        <v>100</v>
      </c>
      <c r="F67" s="263">
        <v>65400</v>
      </c>
      <c r="G67" s="264">
        <f>100*(F67/$F$67)</f>
        <v>100</v>
      </c>
    </row>
    <row r="68" spans="1:7">
      <c r="A68" s="266"/>
    </row>
    <row r="70" spans="1:7">
      <c r="A70" s="99" t="s">
        <v>607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22653-9758-8C4F-A6D6-0555C0D605BD}">
  <sheetPr codeName="Sheet22"/>
  <dimension ref="A1:AG56"/>
  <sheetViews>
    <sheetView zoomScale="86" zoomScaleNormal="189" workbookViewId="0">
      <pane xSplit="1" topLeftCell="B1" activePane="topRight" state="frozen"/>
      <selection pane="topRight"/>
    </sheetView>
  </sheetViews>
  <sheetFormatPr baseColWidth="10" defaultColWidth="11" defaultRowHeight="16"/>
  <cols>
    <col min="1" max="1" width="17.5" style="5" customWidth="1"/>
    <col min="2" max="6" width="14.1640625" style="5" customWidth="1"/>
    <col min="7" max="7" width="17.1640625" style="5" customWidth="1"/>
    <col min="8" max="25" width="14.1640625" style="5" customWidth="1"/>
    <col min="26" max="16384" width="11" style="5"/>
  </cols>
  <sheetData>
    <row r="1" spans="1:33">
      <c r="A1" s="3" t="s">
        <v>624</v>
      </c>
    </row>
    <row r="3" spans="1:33">
      <c r="B3" s="328" t="s">
        <v>99</v>
      </c>
      <c r="C3" s="328"/>
      <c r="D3" s="328"/>
      <c r="E3" s="328"/>
      <c r="F3" s="328"/>
      <c r="G3" s="123"/>
      <c r="H3" s="331" t="s">
        <v>100</v>
      </c>
      <c r="I3" s="332"/>
      <c r="J3" s="332"/>
      <c r="K3" s="332"/>
      <c r="L3" s="333"/>
      <c r="M3" s="328" t="s">
        <v>101</v>
      </c>
      <c r="N3" s="328"/>
      <c r="O3" s="328"/>
      <c r="P3" s="328"/>
      <c r="Q3" s="328"/>
      <c r="R3" s="331" t="s">
        <v>102</v>
      </c>
      <c r="S3" s="332"/>
      <c r="T3" s="332"/>
      <c r="U3" s="332"/>
      <c r="V3" s="332"/>
      <c r="W3" s="135"/>
      <c r="X3" s="135"/>
      <c r="Y3" s="135"/>
    </row>
    <row r="4" spans="1:33">
      <c r="B4" s="135" t="s">
        <v>103</v>
      </c>
      <c r="C4" s="135" t="s">
        <v>104</v>
      </c>
      <c r="D4" s="135" t="s">
        <v>105</v>
      </c>
      <c r="E4" s="135" t="s">
        <v>106</v>
      </c>
      <c r="F4" s="135" t="s">
        <v>107</v>
      </c>
      <c r="G4" s="124" t="s">
        <v>108</v>
      </c>
      <c r="H4" s="138" t="s">
        <v>103</v>
      </c>
      <c r="I4" s="133" t="s">
        <v>104</v>
      </c>
      <c r="J4" s="133" t="s">
        <v>105</v>
      </c>
      <c r="K4" s="133" t="s">
        <v>106</v>
      </c>
      <c r="L4" s="139" t="s">
        <v>107</v>
      </c>
      <c r="M4" s="135" t="s">
        <v>103</v>
      </c>
      <c r="N4" s="135" t="s">
        <v>104</v>
      </c>
      <c r="O4" s="135" t="s">
        <v>105</v>
      </c>
      <c r="P4" s="135" t="s">
        <v>106</v>
      </c>
      <c r="Q4" s="135" t="s">
        <v>107</v>
      </c>
      <c r="R4" s="138" t="s">
        <v>103</v>
      </c>
      <c r="S4" s="133" t="s">
        <v>104</v>
      </c>
      <c r="T4" s="133" t="s">
        <v>105</v>
      </c>
      <c r="U4" s="133" t="s">
        <v>106</v>
      </c>
      <c r="V4" s="133" t="s">
        <v>107</v>
      </c>
      <c r="W4" s="135"/>
      <c r="X4" s="135"/>
      <c r="Y4" s="135"/>
      <c r="AC4" s="135" t="s">
        <v>103</v>
      </c>
      <c r="AD4" s="135" t="s">
        <v>104</v>
      </c>
      <c r="AE4" s="135" t="s">
        <v>105</v>
      </c>
      <c r="AF4" s="135" t="s">
        <v>106</v>
      </c>
      <c r="AG4" s="135" t="s">
        <v>107</v>
      </c>
    </row>
    <row r="5" spans="1:33">
      <c r="B5" s="135" t="s">
        <v>109</v>
      </c>
      <c r="C5" s="135" t="s">
        <v>110</v>
      </c>
      <c r="D5" s="135" t="s">
        <v>111</v>
      </c>
      <c r="E5" s="135" t="s">
        <v>112</v>
      </c>
      <c r="F5" s="135" t="s">
        <v>113</v>
      </c>
      <c r="G5" s="124" t="s">
        <v>114</v>
      </c>
      <c r="H5" s="138"/>
      <c r="I5" s="133"/>
      <c r="J5" s="133"/>
      <c r="K5" s="133"/>
      <c r="L5" s="139"/>
      <c r="M5" s="135"/>
      <c r="N5" s="135"/>
      <c r="O5" s="135"/>
      <c r="P5" s="135"/>
      <c r="Q5" s="135"/>
      <c r="R5" s="138"/>
      <c r="S5" s="133"/>
      <c r="T5" s="133"/>
      <c r="U5" s="133"/>
      <c r="V5" s="133"/>
      <c r="W5" s="135"/>
      <c r="X5" s="135"/>
      <c r="Y5" s="135"/>
      <c r="AB5" s="5">
        <v>1976</v>
      </c>
      <c r="AC5" s="20">
        <v>12300</v>
      </c>
      <c r="AD5" s="20">
        <v>30800</v>
      </c>
      <c r="AE5" s="20">
        <v>47400</v>
      </c>
      <c r="AF5" s="20">
        <v>63850</v>
      </c>
      <c r="AG5" s="20">
        <v>98800</v>
      </c>
    </row>
    <row r="6" spans="1:33">
      <c r="A6" s="5">
        <v>1976</v>
      </c>
      <c r="B6" s="20">
        <v>12300</v>
      </c>
      <c r="C6" s="20">
        <v>30800</v>
      </c>
      <c r="D6" s="20">
        <v>47400</v>
      </c>
      <c r="E6" s="20">
        <v>63850</v>
      </c>
      <c r="F6" s="20">
        <v>98800</v>
      </c>
      <c r="G6" s="124" t="s">
        <v>87</v>
      </c>
      <c r="H6" s="138" t="s">
        <v>87</v>
      </c>
      <c r="I6" s="133" t="s">
        <v>87</v>
      </c>
      <c r="J6" s="133" t="s">
        <v>87</v>
      </c>
      <c r="K6" s="133" t="s">
        <v>87</v>
      </c>
      <c r="L6" s="139" t="s">
        <v>87</v>
      </c>
      <c r="M6" s="135" t="s">
        <v>87</v>
      </c>
      <c r="N6" s="135" t="s">
        <v>87</v>
      </c>
      <c r="O6" s="135" t="s">
        <v>87</v>
      </c>
      <c r="P6" s="135" t="s">
        <v>87</v>
      </c>
      <c r="Q6" s="135" t="s">
        <v>87</v>
      </c>
      <c r="R6" s="138"/>
      <c r="S6" s="133"/>
      <c r="T6" s="133"/>
      <c r="U6" s="133"/>
      <c r="V6" s="133"/>
      <c r="W6" s="135"/>
      <c r="X6" s="135"/>
      <c r="Y6" s="135"/>
      <c r="AB6" s="5">
        <v>1977</v>
      </c>
      <c r="AC6" s="20">
        <v>13350</v>
      </c>
      <c r="AD6" s="20">
        <v>30900</v>
      </c>
      <c r="AE6" s="20">
        <v>47650</v>
      </c>
      <c r="AF6" s="20">
        <v>65800</v>
      </c>
      <c r="AG6" s="20">
        <v>105600</v>
      </c>
    </row>
    <row r="7" spans="1:33">
      <c r="A7" s="5">
        <v>1977</v>
      </c>
      <c r="B7" s="20">
        <v>13350</v>
      </c>
      <c r="C7" s="20">
        <v>30900</v>
      </c>
      <c r="D7" s="20">
        <v>47650</v>
      </c>
      <c r="E7" s="20">
        <v>65800</v>
      </c>
      <c r="F7" s="20">
        <v>105600</v>
      </c>
      <c r="G7" s="124" t="s">
        <v>87</v>
      </c>
      <c r="H7" s="138" t="s">
        <v>87</v>
      </c>
      <c r="I7" s="133" t="s">
        <v>87</v>
      </c>
      <c r="J7" s="133" t="s">
        <v>87</v>
      </c>
      <c r="K7" s="133" t="s">
        <v>87</v>
      </c>
      <c r="L7" s="139" t="s">
        <v>87</v>
      </c>
      <c r="M7" s="135" t="s">
        <v>87</v>
      </c>
      <c r="N7" s="135" t="s">
        <v>87</v>
      </c>
      <c r="O7" s="135" t="s">
        <v>87</v>
      </c>
      <c r="P7" s="135" t="s">
        <v>87</v>
      </c>
      <c r="Q7" s="135" t="s">
        <v>87</v>
      </c>
      <c r="R7" s="138"/>
      <c r="S7" s="133"/>
      <c r="T7" s="133"/>
      <c r="U7" s="133"/>
      <c r="V7" s="133"/>
      <c r="W7" s="135"/>
      <c r="X7" s="135"/>
      <c r="Y7" s="135"/>
      <c r="AB7" s="5">
        <v>1978</v>
      </c>
      <c r="AC7" s="20">
        <v>13650</v>
      </c>
      <c r="AD7" s="20">
        <v>31550</v>
      </c>
      <c r="AE7" s="20">
        <v>49850</v>
      </c>
      <c r="AF7" s="20">
        <v>67400</v>
      </c>
      <c r="AG7" s="20">
        <v>98950</v>
      </c>
    </row>
    <row r="8" spans="1:33">
      <c r="A8" s="5">
        <v>1978</v>
      </c>
      <c r="B8" s="20">
        <v>13650</v>
      </c>
      <c r="C8" s="20">
        <v>31550</v>
      </c>
      <c r="D8" s="20">
        <v>49850</v>
      </c>
      <c r="E8" s="20">
        <v>67400</v>
      </c>
      <c r="F8" s="20">
        <v>98950</v>
      </c>
      <c r="G8" s="124" t="s">
        <v>87</v>
      </c>
      <c r="H8" s="138" t="s">
        <v>87</v>
      </c>
      <c r="I8" s="133" t="s">
        <v>87</v>
      </c>
      <c r="J8" s="133" t="s">
        <v>87</v>
      </c>
      <c r="K8" s="133" t="s">
        <v>87</v>
      </c>
      <c r="L8" s="139" t="s">
        <v>87</v>
      </c>
      <c r="M8" s="135" t="s">
        <v>87</v>
      </c>
      <c r="N8" s="135" t="s">
        <v>87</v>
      </c>
      <c r="O8" s="135" t="s">
        <v>87</v>
      </c>
      <c r="P8" s="135" t="s">
        <v>87</v>
      </c>
      <c r="Q8" s="135" t="s">
        <v>87</v>
      </c>
      <c r="R8" s="138"/>
      <c r="S8" s="133"/>
      <c r="T8" s="133"/>
      <c r="U8" s="133"/>
      <c r="V8" s="133"/>
      <c r="W8" s="135"/>
      <c r="X8" s="135"/>
      <c r="Y8" s="135"/>
      <c r="AB8" s="5">
        <v>1979</v>
      </c>
      <c r="AC8" s="20">
        <v>14950</v>
      </c>
      <c r="AD8" s="20">
        <v>31400</v>
      </c>
      <c r="AE8" s="20">
        <v>48700</v>
      </c>
      <c r="AF8" s="20">
        <v>64900</v>
      </c>
      <c r="AG8" s="20">
        <v>102050</v>
      </c>
    </row>
    <row r="9" spans="1:33">
      <c r="A9" s="5">
        <v>1979</v>
      </c>
      <c r="B9" s="20">
        <v>14950</v>
      </c>
      <c r="C9" s="20">
        <v>31400</v>
      </c>
      <c r="D9" s="20">
        <v>48700</v>
      </c>
      <c r="E9" s="20">
        <v>64900</v>
      </c>
      <c r="F9" s="20">
        <v>102050</v>
      </c>
      <c r="G9" s="125">
        <v>30.154071900220099</v>
      </c>
      <c r="H9" s="121">
        <f t="shared" ref="H9:L49" si="0">B9*($G9/100)</f>
        <v>4508.0337490829043</v>
      </c>
      <c r="I9" s="98">
        <f t="shared" ref="I9:L21" si="1">C9*($G9/100)</f>
        <v>9468.3785766691108</v>
      </c>
      <c r="J9" s="98">
        <f t="shared" si="1"/>
        <v>14685.033015407187</v>
      </c>
      <c r="K9" s="98">
        <f t="shared" si="1"/>
        <v>19569.992663242843</v>
      </c>
      <c r="L9" s="122">
        <f t="shared" si="1"/>
        <v>30772.230374174611</v>
      </c>
      <c r="M9" s="58">
        <f t="shared" ref="M9:M49" si="2">100*(H9/$H$30)</f>
        <v>44.558903513542916</v>
      </c>
      <c r="N9" s="58">
        <f t="shared" ref="N9:N49" si="3">100*(I9/$I$30)</f>
        <v>44.934923851505218</v>
      </c>
      <c r="O9" s="58">
        <f t="shared" ref="O9:O49" si="4">100*(J9/$J$30)</f>
        <v>46.105154774532608</v>
      </c>
      <c r="P9" s="58">
        <f t="shared" ref="P9:P49" si="5">100*(K9/$K$30)</f>
        <v>43.151176898810974</v>
      </c>
      <c r="Q9" s="58">
        <f t="shared" ref="Q9:Q49" si="6">100*(L9/$L$30)</f>
        <v>39.501681827364422</v>
      </c>
      <c r="R9" s="126">
        <f>100*H9/H$9</f>
        <v>100</v>
      </c>
      <c r="S9" s="127">
        <f t="shared" ref="S9:S49" si="7">100*I9/I$9</f>
        <v>100</v>
      </c>
      <c r="T9" s="127">
        <f t="shared" ref="T9:T49" si="8">100*J9/J$9</f>
        <v>100</v>
      </c>
      <c r="U9" s="127">
        <f t="shared" ref="U9:U49" si="9">100*K9/K$9</f>
        <v>100</v>
      </c>
      <c r="V9" s="127">
        <f t="shared" ref="V9:V49" si="10">100*L9/L$9</f>
        <v>100</v>
      </c>
      <c r="W9" s="58"/>
      <c r="X9" s="58"/>
      <c r="Y9" s="58"/>
      <c r="AB9" s="5">
        <v>1980</v>
      </c>
      <c r="AC9" s="20">
        <v>14600</v>
      </c>
      <c r="AD9" s="20">
        <v>31900</v>
      </c>
      <c r="AE9" s="20">
        <v>47700</v>
      </c>
      <c r="AF9" s="20">
        <v>63900</v>
      </c>
      <c r="AG9" s="20">
        <v>99500</v>
      </c>
    </row>
    <row r="10" spans="1:33">
      <c r="A10" s="5">
        <v>1980</v>
      </c>
      <c r="B10" s="20">
        <v>14600</v>
      </c>
      <c r="C10" s="20">
        <v>31900</v>
      </c>
      <c r="D10" s="20">
        <v>47700</v>
      </c>
      <c r="E10" s="20">
        <v>63900</v>
      </c>
      <c r="F10" s="20">
        <v>99500</v>
      </c>
      <c r="G10" s="125">
        <v>33.235509904622148</v>
      </c>
      <c r="H10" s="121">
        <f t="shared" si="0"/>
        <v>4852.3844460748332</v>
      </c>
      <c r="I10" s="98">
        <f t="shared" si="1"/>
        <v>10602.127659574464</v>
      </c>
      <c r="J10" s="98">
        <f t="shared" si="1"/>
        <v>15853.338224504763</v>
      </c>
      <c r="K10" s="98">
        <f t="shared" si="1"/>
        <v>21237.49082905355</v>
      </c>
      <c r="L10" s="122">
        <f t="shared" si="1"/>
        <v>33069.332355099032</v>
      </c>
      <c r="M10" s="58">
        <f t="shared" si="2"/>
        <v>47.962580224083538</v>
      </c>
      <c r="N10" s="58">
        <f t="shared" si="3"/>
        <v>50.315457413249206</v>
      </c>
      <c r="O10" s="58">
        <f t="shared" si="4"/>
        <v>49.773167807450044</v>
      </c>
      <c r="P10" s="58">
        <f t="shared" si="5"/>
        <v>46.827954380004847</v>
      </c>
      <c r="Q10" s="58">
        <f t="shared" si="6"/>
        <v>42.450424589008293</v>
      </c>
      <c r="R10" s="126">
        <f t="shared" ref="R10:R49" si="11">100*H10/H$9</f>
        <v>107.63860068842614</v>
      </c>
      <c r="S10" s="127">
        <f t="shared" si="7"/>
        <v>111.97405737133289</v>
      </c>
      <c r="T10" s="127">
        <f t="shared" si="8"/>
        <v>107.95575473253494</v>
      </c>
      <c r="U10" s="127">
        <f t="shared" si="9"/>
        <v>108.52068876317296</v>
      </c>
      <c r="V10" s="127">
        <f t="shared" si="10"/>
        <v>107.46485371061127</v>
      </c>
      <c r="W10" s="58"/>
      <c r="X10" s="58"/>
      <c r="Y10" s="58"/>
      <c r="AB10" s="5">
        <v>1981</v>
      </c>
      <c r="AC10" s="20">
        <v>14500</v>
      </c>
      <c r="AD10" s="20">
        <v>29650</v>
      </c>
      <c r="AE10" s="20">
        <v>45600</v>
      </c>
      <c r="AF10" s="20">
        <v>63000</v>
      </c>
      <c r="AG10" s="20">
        <v>104200</v>
      </c>
    </row>
    <row r="11" spans="1:33">
      <c r="A11" s="5">
        <v>1981</v>
      </c>
      <c r="B11" s="20">
        <v>14500</v>
      </c>
      <c r="C11" s="20">
        <v>29650</v>
      </c>
      <c r="D11" s="20">
        <v>45600</v>
      </c>
      <c r="E11" s="20">
        <v>63000</v>
      </c>
      <c r="F11" s="20">
        <v>104200</v>
      </c>
      <c r="G11" s="125">
        <v>37.344093910491559</v>
      </c>
      <c r="H11" s="121">
        <f t="shared" si="0"/>
        <v>5414.8936170212764</v>
      </c>
      <c r="I11" s="98">
        <f t="shared" si="1"/>
        <v>11072.523844460748</v>
      </c>
      <c r="J11" s="98">
        <f t="shared" si="1"/>
        <v>17028.906823184152</v>
      </c>
      <c r="K11" s="98">
        <f t="shared" si="1"/>
        <v>23526.779163609684</v>
      </c>
      <c r="L11" s="122">
        <f t="shared" si="1"/>
        <v>38912.545854732205</v>
      </c>
      <c r="M11" s="58">
        <f t="shared" si="2"/>
        <v>53.522607781282872</v>
      </c>
      <c r="N11" s="58">
        <f t="shared" si="3"/>
        <v>52.547858301822423</v>
      </c>
      <c r="O11" s="58">
        <f t="shared" si="4"/>
        <v>53.463984990722871</v>
      </c>
      <c r="P11" s="58">
        <f t="shared" si="5"/>
        <v>51.875758311089562</v>
      </c>
      <c r="Q11" s="58">
        <f t="shared" si="6"/>
        <v>49.951238072634801</v>
      </c>
      <c r="R11" s="126">
        <f t="shared" si="11"/>
        <v>120.11652792357333</v>
      </c>
      <c r="S11" s="127">
        <f t="shared" si="7"/>
        <v>116.94213275063153</v>
      </c>
      <c r="T11" s="127">
        <f t="shared" si="8"/>
        <v>115.96097063804915</v>
      </c>
      <c r="U11" s="127">
        <f t="shared" si="9"/>
        <v>120.21864069371185</v>
      </c>
      <c r="V11" s="127">
        <f t="shared" si="10"/>
        <v>126.45344644042864</v>
      </c>
      <c r="W11" s="58"/>
      <c r="X11" s="58"/>
      <c r="Y11" s="58"/>
      <c r="AB11" s="5">
        <v>1982</v>
      </c>
      <c r="AC11" s="20">
        <v>14050</v>
      </c>
      <c r="AD11" s="20">
        <v>28850</v>
      </c>
      <c r="AE11" s="20">
        <v>44400</v>
      </c>
      <c r="AF11" s="20">
        <v>62850</v>
      </c>
      <c r="AG11" s="20">
        <v>101350</v>
      </c>
    </row>
    <row r="12" spans="1:33">
      <c r="A12" s="5">
        <v>1982</v>
      </c>
      <c r="B12" s="20">
        <v>14050</v>
      </c>
      <c r="C12" s="20">
        <v>28850</v>
      </c>
      <c r="D12" s="20">
        <v>44400</v>
      </c>
      <c r="E12" s="20">
        <v>62850</v>
      </c>
      <c r="F12" s="20">
        <v>101350</v>
      </c>
      <c r="G12" s="125">
        <v>40.792369772560527</v>
      </c>
      <c r="H12" s="121">
        <f t="shared" si="0"/>
        <v>5731.3279530447544</v>
      </c>
      <c r="I12" s="98">
        <f t="shared" si="1"/>
        <v>11768.598679383713</v>
      </c>
      <c r="J12" s="98">
        <f t="shared" si="1"/>
        <v>18111.812179016873</v>
      </c>
      <c r="K12" s="98">
        <f t="shared" si="1"/>
        <v>25638.004402054292</v>
      </c>
      <c r="L12" s="122">
        <f t="shared" si="1"/>
        <v>41343.066764490097</v>
      </c>
      <c r="M12" s="58">
        <f t="shared" si="2"/>
        <v>56.650349903912414</v>
      </c>
      <c r="N12" s="58">
        <f t="shared" si="3"/>
        <v>55.851282372685453</v>
      </c>
      <c r="O12" s="58">
        <f t="shared" si="4"/>
        <v>56.863876498249965</v>
      </c>
      <c r="P12" s="58">
        <f t="shared" si="5"/>
        <v>56.530939092453302</v>
      </c>
      <c r="Q12" s="58">
        <f t="shared" si="6"/>
        <v>53.071247980418022</v>
      </c>
      <c r="R12" s="126">
        <f t="shared" si="11"/>
        <v>127.13587058239554</v>
      </c>
      <c r="S12" s="127">
        <f t="shared" si="7"/>
        <v>124.29370651045302</v>
      </c>
      <c r="T12" s="127">
        <f t="shared" si="8"/>
        <v>123.33518188222247</v>
      </c>
      <c r="U12" s="127">
        <f t="shared" si="9"/>
        <v>131.00671442871123</v>
      </c>
      <c r="V12" s="127">
        <f t="shared" si="10"/>
        <v>134.35186940231341</v>
      </c>
      <c r="W12" s="58"/>
      <c r="X12" s="58"/>
      <c r="Y12" s="58"/>
      <c r="AA12" s="115"/>
      <c r="AB12" s="5">
        <v>1983</v>
      </c>
      <c r="AC12" s="20">
        <v>12500</v>
      </c>
      <c r="AD12" s="20">
        <v>26500</v>
      </c>
      <c r="AE12" s="20">
        <v>42000</v>
      </c>
      <c r="AF12" s="20">
        <v>58850</v>
      </c>
      <c r="AG12" s="20">
        <v>99200</v>
      </c>
    </row>
    <row r="13" spans="1:33">
      <c r="A13" s="5">
        <v>1983</v>
      </c>
      <c r="B13" s="20">
        <v>12500</v>
      </c>
      <c r="C13" s="20">
        <v>26500</v>
      </c>
      <c r="D13" s="20">
        <v>42000</v>
      </c>
      <c r="E13" s="20">
        <v>58850</v>
      </c>
      <c r="F13" s="20">
        <v>99200</v>
      </c>
      <c r="G13" s="125">
        <v>43.506969919295663</v>
      </c>
      <c r="H13" s="121">
        <f t="shared" si="0"/>
        <v>5438.3712399119577</v>
      </c>
      <c r="I13" s="98">
        <f t="shared" si="1"/>
        <v>11529.347028613351</v>
      </c>
      <c r="J13" s="98">
        <f t="shared" si="1"/>
        <v>18272.927366104177</v>
      </c>
      <c r="K13" s="98">
        <f t="shared" si="1"/>
        <v>25603.851797505497</v>
      </c>
      <c r="L13" s="122">
        <f t="shared" si="1"/>
        <v>43158.914159941298</v>
      </c>
      <c r="M13" s="58">
        <f t="shared" si="2"/>
        <v>53.754668407121365</v>
      </c>
      <c r="N13" s="58">
        <f t="shared" si="3"/>
        <v>54.715844597182475</v>
      </c>
      <c r="O13" s="58">
        <f t="shared" si="4"/>
        <v>57.369714015223494</v>
      </c>
      <c r="P13" s="58">
        <f t="shared" si="5"/>
        <v>56.45563374585457</v>
      </c>
      <c r="Q13" s="58">
        <f t="shared" si="6"/>
        <v>55.402214088170801</v>
      </c>
      <c r="R13" s="126">
        <f t="shared" si="11"/>
        <v>120.63732311272776</v>
      </c>
      <c r="S13" s="127">
        <f t="shared" si="7"/>
        <v>121.76685728454756</v>
      </c>
      <c r="T13" s="127">
        <f t="shared" si="8"/>
        <v>124.43232062830677</v>
      </c>
      <c r="U13" s="127">
        <f t="shared" si="9"/>
        <v>130.8321992659491</v>
      </c>
      <c r="V13" s="127">
        <f t="shared" si="10"/>
        <v>140.25279817273866</v>
      </c>
      <c r="W13" s="58"/>
      <c r="X13" s="58"/>
      <c r="Y13" s="58"/>
      <c r="AA13" s="115"/>
      <c r="AB13" s="5">
        <v>1984</v>
      </c>
      <c r="AC13" s="20">
        <v>14200</v>
      </c>
      <c r="AD13" s="20">
        <v>29450</v>
      </c>
      <c r="AE13" s="20">
        <v>45800</v>
      </c>
      <c r="AF13" s="20">
        <v>64600</v>
      </c>
      <c r="AG13" s="20">
        <v>102450</v>
      </c>
    </row>
    <row r="14" spans="1:33">
      <c r="A14" s="5">
        <v>1984</v>
      </c>
      <c r="B14" s="20">
        <v>14200</v>
      </c>
      <c r="C14" s="20">
        <v>29450</v>
      </c>
      <c r="D14" s="20">
        <v>45800</v>
      </c>
      <c r="E14" s="20">
        <v>64600</v>
      </c>
      <c r="F14" s="20">
        <v>102450</v>
      </c>
      <c r="G14" s="125">
        <v>45.707997065297128</v>
      </c>
      <c r="H14" s="121">
        <f t="shared" si="0"/>
        <v>6490.5355832721925</v>
      </c>
      <c r="I14" s="98">
        <f t="shared" si="1"/>
        <v>13461.005135730005</v>
      </c>
      <c r="J14" s="98">
        <f t="shared" si="1"/>
        <v>20934.262655906085</v>
      </c>
      <c r="K14" s="98">
        <f t="shared" si="1"/>
        <v>29527.366104181947</v>
      </c>
      <c r="L14" s="122">
        <f t="shared" si="1"/>
        <v>46827.842993396909</v>
      </c>
      <c r="M14" s="58">
        <f t="shared" si="2"/>
        <v>64.154610391964908</v>
      </c>
      <c r="N14" s="58">
        <f t="shared" si="3"/>
        <v>63.883085772383211</v>
      </c>
      <c r="O14" s="58">
        <f t="shared" si="4"/>
        <v>65.72524684341036</v>
      </c>
      <c r="P14" s="58">
        <f t="shared" si="5"/>
        <v>65.106851087923658</v>
      </c>
      <c r="Q14" s="58">
        <f t="shared" si="6"/>
        <v>60.111942881441429</v>
      </c>
      <c r="R14" s="126">
        <f t="shared" si="11"/>
        <v>143.97708501167722</v>
      </c>
      <c r="S14" s="127">
        <f t="shared" si="7"/>
        <v>142.16800719078833</v>
      </c>
      <c r="T14" s="127">
        <f t="shared" si="8"/>
        <v>142.55509425101295</v>
      </c>
      <c r="U14" s="127">
        <f t="shared" si="9"/>
        <v>150.88082357660485</v>
      </c>
      <c r="V14" s="127">
        <f t="shared" si="10"/>
        <v>152.17565455605344</v>
      </c>
      <c r="W14" s="58"/>
      <c r="X14" s="58"/>
      <c r="Y14" s="58"/>
      <c r="AA14" s="115"/>
      <c r="AB14" s="5">
        <v>1985</v>
      </c>
      <c r="AC14" s="20">
        <v>15050</v>
      </c>
      <c r="AD14" s="20">
        <v>31100</v>
      </c>
      <c r="AE14" s="20">
        <v>45900</v>
      </c>
      <c r="AF14" s="20">
        <v>64100</v>
      </c>
      <c r="AG14" s="20">
        <v>103150</v>
      </c>
    </row>
    <row r="15" spans="1:33">
      <c r="A15" s="5">
        <v>1985</v>
      </c>
      <c r="B15" s="20">
        <v>15050</v>
      </c>
      <c r="C15" s="20">
        <v>31100</v>
      </c>
      <c r="D15" s="20">
        <v>45900</v>
      </c>
      <c r="E15" s="20">
        <v>64100</v>
      </c>
      <c r="F15" s="20">
        <v>103150</v>
      </c>
      <c r="G15" s="125">
        <v>47.835656639765219</v>
      </c>
      <c r="H15" s="121">
        <f t="shared" si="0"/>
        <v>7199.2663242846656</v>
      </c>
      <c r="I15" s="98">
        <f t="shared" si="1"/>
        <v>14876.889214966983</v>
      </c>
      <c r="J15" s="98">
        <f t="shared" si="1"/>
        <v>21956.566397652234</v>
      </c>
      <c r="K15" s="98">
        <f t="shared" si="1"/>
        <v>30662.655906089505</v>
      </c>
      <c r="L15" s="122">
        <f t="shared" si="1"/>
        <v>49342.47982391782</v>
      </c>
      <c r="M15" s="58">
        <f t="shared" si="2"/>
        <v>71.159940534464639</v>
      </c>
      <c r="N15" s="58">
        <f t="shared" si="3"/>
        <v>70.602572405484651</v>
      </c>
      <c r="O15" s="58">
        <f t="shared" si="4"/>
        <v>68.934873419689666</v>
      </c>
      <c r="P15" s="58">
        <f t="shared" si="5"/>
        <v>67.610126991830484</v>
      </c>
      <c r="Q15" s="58">
        <f t="shared" si="6"/>
        <v>63.339930673771647</v>
      </c>
      <c r="R15" s="126">
        <f t="shared" si="11"/>
        <v>159.69858978427689</v>
      </c>
      <c r="S15" s="127">
        <f t="shared" si="7"/>
        <v>157.12182497249213</v>
      </c>
      <c r="T15" s="127">
        <f t="shared" si="8"/>
        <v>149.516629445885</v>
      </c>
      <c r="U15" s="127">
        <f t="shared" si="9"/>
        <v>156.68200000749798</v>
      </c>
      <c r="V15" s="127">
        <f t="shared" si="10"/>
        <v>160.34742761229347</v>
      </c>
      <c r="W15" s="58"/>
      <c r="X15" s="58"/>
      <c r="Y15" s="58"/>
      <c r="AA15" s="115"/>
      <c r="AB15" s="5">
        <v>1986</v>
      </c>
      <c r="AC15" s="20">
        <v>15200</v>
      </c>
      <c r="AD15" s="20">
        <v>31350</v>
      </c>
      <c r="AE15" s="20">
        <v>47100</v>
      </c>
      <c r="AF15" s="20">
        <v>63550</v>
      </c>
      <c r="AG15" s="20">
        <v>98800</v>
      </c>
    </row>
    <row r="16" spans="1:33">
      <c r="A16" s="5">
        <v>1986</v>
      </c>
      <c r="B16" s="20">
        <v>15200</v>
      </c>
      <c r="C16" s="20">
        <v>31350</v>
      </c>
      <c r="D16" s="20">
        <v>47100</v>
      </c>
      <c r="E16" s="20">
        <v>63550</v>
      </c>
      <c r="F16" s="20">
        <v>98800</v>
      </c>
      <c r="G16" s="125">
        <v>49.523110785033012</v>
      </c>
      <c r="H16" s="121">
        <f t="shared" si="0"/>
        <v>7527.5128393250179</v>
      </c>
      <c r="I16" s="98">
        <f t="shared" si="1"/>
        <v>15525.49523110785</v>
      </c>
      <c r="J16" s="98">
        <f t="shared" si="1"/>
        <v>23325.385179750549</v>
      </c>
      <c r="K16" s="98">
        <f t="shared" si="1"/>
        <v>31471.93690388848</v>
      </c>
      <c r="L16" s="122">
        <f t="shared" si="1"/>
        <v>48928.833455612621</v>
      </c>
      <c r="M16" s="58">
        <f t="shared" si="2"/>
        <v>74.40443815946918</v>
      </c>
      <c r="N16" s="58">
        <f t="shared" si="3"/>
        <v>73.680719493596868</v>
      </c>
      <c r="O16" s="58">
        <f t="shared" si="4"/>
        <v>73.232419209387032</v>
      </c>
      <c r="P16" s="58">
        <f t="shared" si="5"/>
        <v>69.394564426110179</v>
      </c>
      <c r="Q16" s="58">
        <f t="shared" si="6"/>
        <v>62.808941303448016</v>
      </c>
      <c r="R16" s="126">
        <f t="shared" si="11"/>
        <v>166.97995752264242</v>
      </c>
      <c r="S16" s="127">
        <f t="shared" si="7"/>
        <v>163.97205820819195</v>
      </c>
      <c r="T16" s="127">
        <f t="shared" si="8"/>
        <v>158.8378123173309</v>
      </c>
      <c r="U16" s="127">
        <f t="shared" si="9"/>
        <v>160.81731580308843</v>
      </c>
      <c r="V16" s="127">
        <f t="shared" si="10"/>
        <v>159.00320795945885</v>
      </c>
      <c r="W16" s="58"/>
      <c r="X16" s="58"/>
      <c r="Y16" s="58"/>
      <c r="AA16" s="115"/>
      <c r="AB16" s="5">
        <v>1987</v>
      </c>
      <c r="AC16" s="20">
        <v>14550</v>
      </c>
      <c r="AD16" s="20">
        <v>28900</v>
      </c>
      <c r="AE16" s="20">
        <v>44300</v>
      </c>
      <c r="AF16" s="20">
        <v>63200</v>
      </c>
      <c r="AG16" s="20">
        <v>98800</v>
      </c>
    </row>
    <row r="17" spans="1:33">
      <c r="A17" s="5">
        <v>1987</v>
      </c>
      <c r="B17" s="20">
        <v>14550</v>
      </c>
      <c r="C17" s="20">
        <v>28900</v>
      </c>
      <c r="D17" s="20">
        <v>44300</v>
      </c>
      <c r="E17" s="20">
        <v>63200</v>
      </c>
      <c r="F17" s="20">
        <v>98800</v>
      </c>
      <c r="G17" s="125">
        <v>50.917094644167278</v>
      </c>
      <c r="H17" s="121">
        <f t="shared" si="0"/>
        <v>7408.4372707263392</v>
      </c>
      <c r="I17" s="98">
        <f t="shared" si="1"/>
        <v>14715.040352164344</v>
      </c>
      <c r="J17" s="98">
        <f t="shared" si="1"/>
        <v>22556.272927366106</v>
      </c>
      <c r="K17" s="98">
        <f t="shared" si="1"/>
        <v>32179.603815113722</v>
      </c>
      <c r="L17" s="122">
        <f t="shared" si="1"/>
        <v>50306.089508437275</v>
      </c>
      <c r="M17" s="58">
        <f t="shared" si="2"/>
        <v>73.227455672794534</v>
      </c>
      <c r="N17" s="58">
        <f t="shared" si="3"/>
        <v>69.834471904791769</v>
      </c>
      <c r="O17" s="58">
        <f t="shared" si="4"/>
        <v>70.817713066202316</v>
      </c>
      <c r="P17" s="58">
        <f t="shared" si="5"/>
        <v>70.954946210466744</v>
      </c>
      <c r="Q17" s="58">
        <f t="shared" si="6"/>
        <v>64.576896688285814</v>
      </c>
      <c r="R17" s="126">
        <f t="shared" si="11"/>
        <v>164.33854942264975</v>
      </c>
      <c r="S17" s="127">
        <f t="shared" si="7"/>
        <v>155.41246299998454</v>
      </c>
      <c r="T17" s="127">
        <f t="shared" si="8"/>
        <v>153.6004236674211</v>
      </c>
      <c r="U17" s="127">
        <f t="shared" si="9"/>
        <v>164.43339744094416</v>
      </c>
      <c r="V17" s="127">
        <f t="shared" si="10"/>
        <v>163.4788538131325</v>
      </c>
      <c r="W17" s="58"/>
      <c r="X17" s="58"/>
      <c r="Y17" s="58"/>
      <c r="AA17" s="115"/>
      <c r="AB17" s="5">
        <v>1988</v>
      </c>
      <c r="AC17" s="20">
        <v>16100</v>
      </c>
      <c r="AD17" s="20">
        <v>31050</v>
      </c>
      <c r="AE17" s="20">
        <v>46250</v>
      </c>
      <c r="AF17" s="20">
        <v>63850</v>
      </c>
      <c r="AG17" s="20">
        <v>100050</v>
      </c>
    </row>
    <row r="18" spans="1:33">
      <c r="A18" s="5">
        <v>1988</v>
      </c>
      <c r="B18" s="20">
        <v>16100</v>
      </c>
      <c r="C18" s="20">
        <v>31050</v>
      </c>
      <c r="D18" s="20">
        <v>46250</v>
      </c>
      <c r="E18" s="20">
        <v>63850</v>
      </c>
      <c r="F18" s="20">
        <v>100050</v>
      </c>
      <c r="G18" s="125">
        <v>52.677916360968446</v>
      </c>
      <c r="H18" s="121">
        <f t="shared" si="0"/>
        <v>8481.1445341159197</v>
      </c>
      <c r="I18" s="98">
        <f t="shared" si="1"/>
        <v>16356.493030080703</v>
      </c>
      <c r="J18" s="98">
        <f t="shared" si="1"/>
        <v>24363.536316947906</v>
      </c>
      <c r="K18" s="98">
        <f t="shared" si="1"/>
        <v>33634.849596478351</v>
      </c>
      <c r="L18" s="122">
        <f t="shared" si="1"/>
        <v>52704.255319148928</v>
      </c>
      <c r="M18" s="58">
        <f t="shared" si="2"/>
        <v>83.830450705246747</v>
      </c>
      <c r="N18" s="58">
        <f t="shared" si="3"/>
        <v>77.624459439697517</v>
      </c>
      <c r="O18" s="58">
        <f t="shared" si="4"/>
        <v>76.491800295532585</v>
      </c>
      <c r="P18" s="58">
        <f t="shared" si="5"/>
        <v>74.163714308824723</v>
      </c>
      <c r="Q18" s="58">
        <f t="shared" si="6"/>
        <v>67.655373018149049</v>
      </c>
      <c r="R18" s="126">
        <f t="shared" si="11"/>
        <v>188.13400711210932</v>
      </c>
      <c r="S18" s="127">
        <f t="shared" si="7"/>
        <v>172.74861685805942</v>
      </c>
      <c r="T18" s="127">
        <f t="shared" si="8"/>
        <v>165.90726279870302</v>
      </c>
      <c r="U18" s="127">
        <f t="shared" si="9"/>
        <v>171.86950539666117</v>
      </c>
      <c r="V18" s="127">
        <f t="shared" si="10"/>
        <v>171.27213295328966</v>
      </c>
      <c r="W18" s="58"/>
      <c r="X18" s="58"/>
      <c r="Y18" s="58"/>
      <c r="AA18" s="115"/>
      <c r="AB18" s="5">
        <v>1989</v>
      </c>
      <c r="AC18" s="20">
        <v>16200</v>
      </c>
      <c r="AD18" s="20">
        <v>31750</v>
      </c>
      <c r="AE18" s="20">
        <v>47250</v>
      </c>
      <c r="AF18" s="20">
        <v>64650</v>
      </c>
      <c r="AG18" s="20">
        <v>103800</v>
      </c>
    </row>
    <row r="19" spans="1:33">
      <c r="A19" s="5">
        <v>1989</v>
      </c>
      <c r="B19" s="20">
        <v>16200</v>
      </c>
      <c r="C19" s="20">
        <v>31750</v>
      </c>
      <c r="D19" s="20">
        <v>47250</v>
      </c>
      <c r="E19" s="20">
        <v>64650</v>
      </c>
      <c r="F19" s="20">
        <v>103800</v>
      </c>
      <c r="G19" s="125">
        <v>55.172413793103445</v>
      </c>
      <c r="H19" s="121">
        <f t="shared" si="0"/>
        <v>8937.9310344827591</v>
      </c>
      <c r="I19" s="98">
        <f t="shared" si="1"/>
        <v>17517.241379310344</v>
      </c>
      <c r="J19" s="98">
        <f t="shared" si="1"/>
        <v>26068.96551724138</v>
      </c>
      <c r="K19" s="98">
        <f t="shared" si="1"/>
        <v>35668.965517241377</v>
      </c>
      <c r="L19" s="122">
        <f t="shared" si="1"/>
        <v>57268.965517241377</v>
      </c>
      <c r="M19" s="58">
        <f t="shared" si="2"/>
        <v>88.345480256717096</v>
      </c>
      <c r="N19" s="58">
        <f t="shared" si="3"/>
        <v>83.133125813887105</v>
      </c>
      <c r="O19" s="58">
        <f t="shared" si="4"/>
        <v>81.846168729981613</v>
      </c>
      <c r="P19" s="58">
        <f t="shared" si="5"/>
        <v>78.648871633098778</v>
      </c>
      <c r="Q19" s="58">
        <f t="shared" si="6"/>
        <v>73.51499800101999</v>
      </c>
      <c r="R19" s="126">
        <f t="shared" si="11"/>
        <v>198.26672851109544</v>
      </c>
      <c r="S19" s="127">
        <f t="shared" si="7"/>
        <v>185.00782618128846</v>
      </c>
      <c r="T19" s="127">
        <f t="shared" si="8"/>
        <v>177.5206462926603</v>
      </c>
      <c r="U19" s="127">
        <f t="shared" si="9"/>
        <v>182.26356100907631</v>
      </c>
      <c r="V19" s="127">
        <f t="shared" si="10"/>
        <v>186.10599498599873</v>
      </c>
      <c r="W19" s="58"/>
      <c r="X19" s="58"/>
      <c r="Y19" s="58"/>
      <c r="AA19" s="115"/>
      <c r="AB19" s="5">
        <v>1990</v>
      </c>
      <c r="AC19" s="20">
        <v>15750</v>
      </c>
      <c r="AD19" s="20">
        <v>30650</v>
      </c>
      <c r="AE19" s="20">
        <v>45900</v>
      </c>
      <c r="AF19" s="20">
        <v>63750</v>
      </c>
      <c r="AG19" s="20">
        <v>99700</v>
      </c>
    </row>
    <row r="20" spans="1:33">
      <c r="A20" s="5">
        <v>1990</v>
      </c>
      <c r="B20" s="20">
        <v>15750</v>
      </c>
      <c r="C20" s="20">
        <v>30650</v>
      </c>
      <c r="D20" s="20">
        <v>45900</v>
      </c>
      <c r="E20" s="20">
        <v>63750</v>
      </c>
      <c r="F20" s="20">
        <v>99700</v>
      </c>
      <c r="G20" s="125">
        <v>57.740278796771825</v>
      </c>
      <c r="H20" s="121">
        <f t="shared" si="0"/>
        <v>9094.0939104915633</v>
      </c>
      <c r="I20" s="98">
        <f t="shared" si="1"/>
        <v>17697.395451210567</v>
      </c>
      <c r="J20" s="98">
        <f t="shared" si="1"/>
        <v>26502.787967718268</v>
      </c>
      <c r="K20" s="98">
        <f t="shared" si="1"/>
        <v>36809.427732942037</v>
      </c>
      <c r="L20" s="122">
        <f t="shared" si="1"/>
        <v>57567.057960381513</v>
      </c>
      <c r="M20" s="58">
        <f t="shared" si="2"/>
        <v>89.889046013270985</v>
      </c>
      <c r="N20" s="58">
        <f t="shared" si="3"/>
        <v>83.988098968670172</v>
      </c>
      <c r="O20" s="58">
        <f t="shared" si="4"/>
        <v>83.208198437570204</v>
      </c>
      <c r="P20" s="58">
        <f t="shared" si="5"/>
        <v>81.163552535792292</v>
      </c>
      <c r="Q20" s="58">
        <f t="shared" si="6"/>
        <v>73.897653164486655</v>
      </c>
      <c r="R20" s="126">
        <f t="shared" si="11"/>
        <v>201.73083026145551</v>
      </c>
      <c r="S20" s="127">
        <f t="shared" si="7"/>
        <v>186.91051807770395</v>
      </c>
      <c r="T20" s="127">
        <f t="shared" si="8"/>
        <v>180.47482726060045</v>
      </c>
      <c r="U20" s="127">
        <f t="shared" si="9"/>
        <v>188.0911677707422</v>
      </c>
      <c r="V20" s="127">
        <f t="shared" si="10"/>
        <v>187.07470098980633</v>
      </c>
      <c r="W20" s="58"/>
      <c r="X20" s="58"/>
      <c r="Y20" s="58"/>
      <c r="AA20" s="115"/>
      <c r="AB20" s="5">
        <v>1991</v>
      </c>
      <c r="AC20" s="20">
        <v>14950</v>
      </c>
      <c r="AD20" s="20">
        <v>29100</v>
      </c>
      <c r="AE20" s="20">
        <v>43700</v>
      </c>
      <c r="AF20" s="20">
        <v>61800</v>
      </c>
      <c r="AG20" s="20">
        <v>99000</v>
      </c>
    </row>
    <row r="21" spans="1:33">
      <c r="A21" s="5">
        <v>1991</v>
      </c>
      <c r="B21" s="20">
        <v>14950</v>
      </c>
      <c r="C21" s="20">
        <v>29100</v>
      </c>
      <c r="D21" s="20">
        <v>43700</v>
      </c>
      <c r="E21" s="20">
        <v>61800</v>
      </c>
      <c r="F21" s="20">
        <v>99000</v>
      </c>
      <c r="G21" s="125">
        <v>61.482024944974313</v>
      </c>
      <c r="H21" s="121">
        <f t="shared" si="0"/>
        <v>9191.562729273659</v>
      </c>
      <c r="I21" s="98">
        <f t="shared" si="1"/>
        <v>17891.269258987526</v>
      </c>
      <c r="J21" s="98">
        <f t="shared" si="1"/>
        <v>26867.644900953776</v>
      </c>
      <c r="K21" s="98">
        <f t="shared" si="1"/>
        <v>37995.891415994127</v>
      </c>
      <c r="L21" s="122">
        <f t="shared" si="1"/>
        <v>60867.204695524568</v>
      </c>
      <c r="M21" s="58">
        <f t="shared" si="2"/>
        <v>90.85246020522861</v>
      </c>
      <c r="N21" s="58">
        <f t="shared" si="3"/>
        <v>84.908183090647015</v>
      </c>
      <c r="O21" s="58">
        <f t="shared" si="4"/>
        <v>84.353703889259378</v>
      </c>
      <c r="P21" s="58">
        <f t="shared" si="5"/>
        <v>83.779665129822874</v>
      </c>
      <c r="Q21" s="58">
        <f t="shared" si="6"/>
        <v>78.133983931873644</v>
      </c>
      <c r="R21" s="126">
        <f t="shared" si="11"/>
        <v>203.89294403892944</v>
      </c>
      <c r="S21" s="127">
        <f t="shared" si="7"/>
        <v>188.95811055837092</v>
      </c>
      <c r="T21" s="127">
        <f t="shared" si="8"/>
        <v>182.95937688914202</v>
      </c>
      <c r="U21" s="127">
        <f t="shared" si="9"/>
        <v>194.15383577204685</v>
      </c>
      <c r="V21" s="127">
        <f t="shared" si="10"/>
        <v>197.79913238465471</v>
      </c>
      <c r="W21" s="58"/>
      <c r="X21" s="58"/>
      <c r="Y21" s="58"/>
      <c r="AA21" s="115"/>
      <c r="AB21" s="5">
        <v>1992</v>
      </c>
      <c r="AC21" s="20">
        <v>14700</v>
      </c>
      <c r="AD21" s="20">
        <v>28650</v>
      </c>
      <c r="AE21" s="20">
        <v>43800</v>
      </c>
      <c r="AF21" s="20">
        <v>61950</v>
      </c>
      <c r="AG21" s="20">
        <v>100550</v>
      </c>
    </row>
    <row r="22" spans="1:33">
      <c r="A22" s="5">
        <v>1992</v>
      </c>
      <c r="B22" s="20">
        <v>14700</v>
      </c>
      <c r="C22" s="20">
        <v>28650</v>
      </c>
      <c r="D22" s="20">
        <v>43800</v>
      </c>
      <c r="E22" s="20">
        <v>61950</v>
      </c>
      <c r="F22" s="20">
        <v>100550</v>
      </c>
      <c r="G22" s="125">
        <v>61.848862802641221</v>
      </c>
      <c r="H22" s="121">
        <f t="shared" si="0"/>
        <v>9091.7828319882592</v>
      </c>
      <c r="I22" s="98">
        <f t="shared" si="0"/>
        <v>17719.699192956712</v>
      </c>
      <c r="J22" s="98">
        <f t="shared" si="0"/>
        <v>27089.801907556855</v>
      </c>
      <c r="K22" s="98">
        <f t="shared" si="0"/>
        <v>38315.370506236235</v>
      </c>
      <c r="L22" s="122">
        <f t="shared" si="0"/>
        <v>62189.031548055755</v>
      </c>
      <c r="M22" s="58">
        <f t="shared" si="2"/>
        <v>89.866202545414993</v>
      </c>
      <c r="N22" s="58">
        <f t="shared" si="3"/>
        <v>84.093947813733905</v>
      </c>
      <c r="O22" s="58">
        <f t="shared" si="4"/>
        <v>85.051188407199206</v>
      </c>
      <c r="P22" s="58">
        <f t="shared" si="5"/>
        <v>84.48410579956321</v>
      </c>
      <c r="Q22" s="58">
        <f t="shared" si="6"/>
        <v>79.830785987644489</v>
      </c>
      <c r="R22" s="126">
        <f t="shared" si="11"/>
        <v>201.67956448502306</v>
      </c>
      <c r="S22" s="127">
        <f t="shared" si="7"/>
        <v>187.14607838579201</v>
      </c>
      <c r="T22" s="127">
        <f t="shared" si="8"/>
        <v>184.47218933137486</v>
      </c>
      <c r="U22" s="127">
        <f t="shared" si="9"/>
        <v>195.7863304578633</v>
      </c>
      <c r="V22" s="127">
        <f t="shared" si="10"/>
        <v>202.09465089747763</v>
      </c>
      <c r="W22" s="58"/>
      <c r="X22" s="58"/>
      <c r="Y22" s="58"/>
      <c r="AA22" s="115"/>
      <c r="AB22" s="5">
        <v>1993</v>
      </c>
      <c r="AC22" s="20">
        <v>14350</v>
      </c>
      <c r="AD22" s="20">
        <v>28950</v>
      </c>
      <c r="AE22" s="20">
        <v>44400</v>
      </c>
      <c r="AF22" s="20">
        <v>61550</v>
      </c>
      <c r="AG22" s="20">
        <v>97100</v>
      </c>
    </row>
    <row r="23" spans="1:33">
      <c r="A23" s="5">
        <v>1993</v>
      </c>
      <c r="B23" s="20">
        <v>14350</v>
      </c>
      <c r="C23" s="20">
        <v>28950</v>
      </c>
      <c r="D23" s="20">
        <v>44400</v>
      </c>
      <c r="E23" s="20">
        <v>61550</v>
      </c>
      <c r="F23" s="20">
        <v>97100</v>
      </c>
      <c r="G23" s="125">
        <v>62.655906089508434</v>
      </c>
      <c r="H23" s="121">
        <f t="shared" si="0"/>
        <v>8991.1225238444604</v>
      </c>
      <c r="I23" s="98">
        <f t="shared" si="0"/>
        <v>18138.884812912693</v>
      </c>
      <c r="J23" s="98">
        <f t="shared" si="0"/>
        <v>27819.222303741746</v>
      </c>
      <c r="K23" s="98">
        <f t="shared" si="0"/>
        <v>38564.710198092442</v>
      </c>
      <c r="L23" s="122">
        <f t="shared" si="0"/>
        <v>60838.884812912693</v>
      </c>
      <c r="M23" s="58">
        <f t="shared" si="2"/>
        <v>88.871242612132434</v>
      </c>
      <c r="N23" s="58">
        <f t="shared" si="3"/>
        <v>86.083314183048884</v>
      </c>
      <c r="O23" s="58">
        <f t="shared" si="4"/>
        <v>87.341277930765244</v>
      </c>
      <c r="P23" s="58">
        <f t="shared" si="5"/>
        <v>85.033891450295258</v>
      </c>
      <c r="Q23" s="58">
        <f t="shared" si="6"/>
        <v>78.097630278637595</v>
      </c>
      <c r="R23" s="126">
        <f t="shared" si="11"/>
        <v>199.44665511152346</v>
      </c>
      <c r="S23" s="127">
        <f t="shared" si="7"/>
        <v>191.57329489980941</v>
      </c>
      <c r="T23" s="127">
        <f t="shared" si="8"/>
        <v>189.43929015722662</v>
      </c>
      <c r="U23" s="127">
        <f t="shared" si="9"/>
        <v>197.06042236043476</v>
      </c>
      <c r="V23" s="127">
        <f t="shared" si="10"/>
        <v>197.70710173797255</v>
      </c>
      <c r="W23" s="58"/>
      <c r="X23" s="58"/>
      <c r="Y23" s="58"/>
      <c r="AA23" s="115"/>
      <c r="AB23" s="5">
        <v>1994</v>
      </c>
      <c r="AC23" s="20">
        <v>14400</v>
      </c>
      <c r="AD23" s="20">
        <v>28800</v>
      </c>
      <c r="AE23" s="20">
        <v>44000</v>
      </c>
      <c r="AF23" s="20">
        <v>60700</v>
      </c>
      <c r="AG23" s="20">
        <v>96000</v>
      </c>
    </row>
    <row r="24" spans="1:33">
      <c r="A24" s="5">
        <v>1994</v>
      </c>
      <c r="B24" s="20">
        <v>14400</v>
      </c>
      <c r="C24" s="20">
        <v>28800</v>
      </c>
      <c r="D24" s="20">
        <v>44000</v>
      </c>
      <c r="E24" s="20">
        <v>60700</v>
      </c>
      <c r="F24" s="20">
        <v>96000</v>
      </c>
      <c r="G24" s="125">
        <v>63.022743947175343</v>
      </c>
      <c r="H24" s="121">
        <f t="shared" si="0"/>
        <v>9075.2751283932485</v>
      </c>
      <c r="I24" s="98">
        <f t="shared" si="0"/>
        <v>18150.550256786497</v>
      </c>
      <c r="J24" s="98">
        <f t="shared" si="0"/>
        <v>27730.007336757149</v>
      </c>
      <c r="K24" s="98">
        <f t="shared" si="0"/>
        <v>38254.805575935432</v>
      </c>
      <c r="L24" s="122">
        <f t="shared" si="0"/>
        <v>60501.834189288325</v>
      </c>
      <c r="M24" s="58">
        <f t="shared" si="2"/>
        <v>89.703034917872301</v>
      </c>
      <c r="N24" s="58">
        <f t="shared" si="3"/>
        <v>86.138675914513144</v>
      </c>
      <c r="O24" s="58">
        <f t="shared" si="4"/>
        <v>87.0611784678145</v>
      </c>
      <c r="P24" s="58">
        <f t="shared" si="5"/>
        <v>84.350562161287726</v>
      </c>
      <c r="Q24" s="58">
        <f t="shared" si="6"/>
        <v>77.664965296859151</v>
      </c>
      <c r="R24" s="126">
        <f t="shared" si="11"/>
        <v>201.31338036764888</v>
      </c>
      <c r="S24" s="127">
        <f t="shared" si="7"/>
        <v>191.69649913989494</v>
      </c>
      <c r="T24" s="127">
        <f t="shared" si="8"/>
        <v>188.83176706285568</v>
      </c>
      <c r="U24" s="127">
        <f t="shared" si="9"/>
        <v>195.47685190392107</v>
      </c>
      <c r="V24" s="127">
        <f t="shared" si="10"/>
        <v>196.61179398963583</v>
      </c>
      <c r="W24" s="58"/>
      <c r="X24" s="58"/>
      <c r="Y24" s="58"/>
      <c r="AA24" s="115"/>
      <c r="AB24" s="5">
        <v>1995</v>
      </c>
      <c r="AC24" s="20">
        <v>15000</v>
      </c>
      <c r="AD24" s="20">
        <v>28700</v>
      </c>
      <c r="AE24" s="20">
        <v>43350</v>
      </c>
      <c r="AF24" s="20">
        <v>60800</v>
      </c>
      <c r="AG24" s="20">
        <v>97650</v>
      </c>
    </row>
    <row r="25" spans="1:33">
      <c r="A25" s="5">
        <v>1995</v>
      </c>
      <c r="B25" s="20">
        <v>15000</v>
      </c>
      <c r="C25" s="20">
        <v>28700</v>
      </c>
      <c r="D25" s="20">
        <v>43350</v>
      </c>
      <c r="E25" s="20">
        <v>60800</v>
      </c>
      <c r="F25" s="20">
        <v>97650</v>
      </c>
      <c r="G25" s="125">
        <v>63.976522377109312</v>
      </c>
      <c r="H25" s="121">
        <f t="shared" si="0"/>
        <v>9596.4783565663965</v>
      </c>
      <c r="I25" s="98">
        <f t="shared" si="0"/>
        <v>18361.261922230373</v>
      </c>
      <c r="J25" s="98">
        <f t="shared" si="0"/>
        <v>27733.822450476888</v>
      </c>
      <c r="K25" s="98">
        <f t="shared" si="0"/>
        <v>38897.72560528246</v>
      </c>
      <c r="L25" s="122">
        <f t="shared" si="0"/>
        <v>62473.074101247243</v>
      </c>
      <c r="M25" s="58">
        <f t="shared" si="2"/>
        <v>94.854780811487018</v>
      </c>
      <c r="N25" s="58">
        <f t="shared" si="3"/>
        <v>87.138668950773351</v>
      </c>
      <c r="O25" s="58">
        <f t="shared" si="4"/>
        <v>87.073156405374888</v>
      </c>
      <c r="P25" s="58">
        <f t="shared" si="5"/>
        <v>85.768179244519942</v>
      </c>
      <c r="Q25" s="58">
        <f t="shared" si="6"/>
        <v>80.195405595166307</v>
      </c>
      <c r="R25" s="126">
        <f t="shared" si="11"/>
        <v>212.87503356687745</v>
      </c>
      <c r="S25" s="127">
        <f t="shared" si="7"/>
        <v>193.92192415577978</v>
      </c>
      <c r="T25" s="127">
        <f t="shared" si="8"/>
        <v>188.85774666886499</v>
      </c>
      <c r="U25" s="127">
        <f t="shared" si="9"/>
        <v>198.76208578423103</v>
      </c>
      <c r="V25" s="127">
        <f t="shared" si="10"/>
        <v>203.01769920999084</v>
      </c>
      <c r="W25" s="58"/>
      <c r="X25" s="58"/>
      <c r="Y25" s="58"/>
      <c r="AA25" s="115"/>
      <c r="AB25" s="5">
        <v>1996</v>
      </c>
      <c r="AC25" s="20">
        <v>14450</v>
      </c>
      <c r="AD25" s="20">
        <v>28300</v>
      </c>
      <c r="AE25" s="20">
        <v>42800</v>
      </c>
      <c r="AF25" s="20">
        <v>60800</v>
      </c>
      <c r="AG25" s="20">
        <v>98750</v>
      </c>
    </row>
    <row r="26" spans="1:33">
      <c r="A26" s="5">
        <v>1996</v>
      </c>
      <c r="B26" s="20">
        <v>14450</v>
      </c>
      <c r="C26" s="20">
        <v>28300</v>
      </c>
      <c r="D26" s="20">
        <v>42800</v>
      </c>
      <c r="E26" s="20">
        <v>60800</v>
      </c>
      <c r="F26" s="20">
        <v>98750</v>
      </c>
      <c r="G26" s="125">
        <v>64.930300807043281</v>
      </c>
      <c r="H26" s="121">
        <f t="shared" si="0"/>
        <v>9382.4284666177537</v>
      </c>
      <c r="I26" s="98">
        <f t="shared" si="0"/>
        <v>18375.275128393248</v>
      </c>
      <c r="J26" s="98">
        <f t="shared" si="0"/>
        <v>27790.168745414525</v>
      </c>
      <c r="K26" s="98">
        <f t="shared" si="0"/>
        <v>39477.622890682316</v>
      </c>
      <c r="L26" s="122">
        <f t="shared" si="0"/>
        <v>64118.672046955246</v>
      </c>
      <c r="M26" s="58">
        <f t="shared" si="2"/>
        <v>92.739040574350057</v>
      </c>
      <c r="N26" s="58">
        <f t="shared" si="3"/>
        <v>87.205172665928529</v>
      </c>
      <c r="O26" s="58">
        <f t="shared" si="4"/>
        <v>87.250061329343779</v>
      </c>
      <c r="P26" s="58">
        <f t="shared" si="5"/>
        <v>87.046833292890085</v>
      </c>
      <c r="Q26" s="58">
        <f t="shared" si="6"/>
        <v>82.307825971483126</v>
      </c>
      <c r="R26" s="126">
        <f t="shared" si="11"/>
        <v>208.12684617825846</v>
      </c>
      <c r="S26" s="127">
        <f t="shared" si="7"/>
        <v>194.06992421776931</v>
      </c>
      <c r="T26" s="127">
        <f t="shared" si="8"/>
        <v>189.24144546530977</v>
      </c>
      <c r="U26" s="127">
        <f t="shared" si="9"/>
        <v>201.72528201725285</v>
      </c>
      <c r="V26" s="127">
        <f t="shared" si="10"/>
        <v>208.36537120418291</v>
      </c>
      <c r="W26" s="58"/>
      <c r="X26" s="58"/>
      <c r="Y26" s="58"/>
      <c r="AA26" s="115"/>
      <c r="AB26" s="5">
        <v>1997</v>
      </c>
      <c r="AC26" s="20">
        <v>13450</v>
      </c>
      <c r="AD26" s="20">
        <v>27850</v>
      </c>
      <c r="AE26" s="20">
        <v>42750</v>
      </c>
      <c r="AF26" s="20">
        <v>60450</v>
      </c>
      <c r="AG26" s="20">
        <v>97600</v>
      </c>
    </row>
    <row r="27" spans="1:33">
      <c r="A27" s="5">
        <v>1997</v>
      </c>
      <c r="B27" s="20">
        <v>13450</v>
      </c>
      <c r="C27" s="20">
        <v>27850</v>
      </c>
      <c r="D27" s="20">
        <v>42750</v>
      </c>
      <c r="E27" s="20">
        <v>60450</v>
      </c>
      <c r="F27" s="20">
        <v>97600</v>
      </c>
      <c r="G27" s="125">
        <v>66.104181951577388</v>
      </c>
      <c r="H27" s="121">
        <f t="shared" si="0"/>
        <v>8891.0124724871584</v>
      </c>
      <c r="I27" s="98">
        <f t="shared" si="0"/>
        <v>18410.014673514303</v>
      </c>
      <c r="J27" s="98">
        <f t="shared" si="0"/>
        <v>28259.537784299333</v>
      </c>
      <c r="K27" s="98">
        <f t="shared" si="0"/>
        <v>39959.977989728533</v>
      </c>
      <c r="L27" s="122">
        <f t="shared" si="0"/>
        <v>64517.681584739534</v>
      </c>
      <c r="M27" s="58">
        <f t="shared" si="2"/>
        <v>87.881721599767943</v>
      </c>
      <c r="N27" s="58">
        <f t="shared" si="3"/>
        <v>87.370039205855122</v>
      </c>
      <c r="O27" s="58">
        <f t="shared" si="4"/>
        <v>88.723693166701807</v>
      </c>
      <c r="P27" s="58">
        <f t="shared" si="5"/>
        <v>88.110410094637231</v>
      </c>
      <c r="Q27" s="58">
        <f t="shared" si="6"/>
        <v>82.820026342271547</v>
      </c>
      <c r="R27" s="126">
        <f t="shared" si="11"/>
        <v>197.22595187526954</v>
      </c>
      <c r="S27" s="127">
        <f t="shared" si="7"/>
        <v>194.43682489500517</v>
      </c>
      <c r="T27" s="127">
        <f t="shared" si="8"/>
        <v>192.4376864161633</v>
      </c>
      <c r="U27" s="127">
        <f t="shared" si="9"/>
        <v>204.19005094868018</v>
      </c>
      <c r="V27" s="127">
        <f t="shared" si="10"/>
        <v>209.66202579480742</v>
      </c>
      <c r="W27" s="58"/>
      <c r="X27" s="58"/>
      <c r="Y27" s="58"/>
      <c r="AA27" s="115"/>
      <c r="AB27" s="5">
        <v>1998</v>
      </c>
      <c r="AC27" s="20">
        <v>14400</v>
      </c>
      <c r="AD27" s="20">
        <v>28600</v>
      </c>
      <c r="AE27" s="20">
        <v>43250</v>
      </c>
      <c r="AF27" s="20">
        <v>62650</v>
      </c>
      <c r="AG27" s="20">
        <v>104900</v>
      </c>
    </row>
    <row r="28" spans="1:33">
      <c r="A28" s="5">
        <v>1998</v>
      </c>
      <c r="B28" s="20">
        <v>14400</v>
      </c>
      <c r="C28" s="20">
        <v>28600</v>
      </c>
      <c r="D28" s="20">
        <v>43250</v>
      </c>
      <c r="E28" s="20">
        <v>62650</v>
      </c>
      <c r="F28" s="20">
        <v>104900</v>
      </c>
      <c r="G28" s="125">
        <v>66.471019809244297</v>
      </c>
      <c r="H28" s="121">
        <f t="shared" si="0"/>
        <v>9571.8268525311778</v>
      </c>
      <c r="I28" s="98">
        <f t="shared" si="0"/>
        <v>19010.711665443869</v>
      </c>
      <c r="J28" s="98">
        <f t="shared" si="0"/>
        <v>28748.716067498157</v>
      </c>
      <c r="K28" s="98">
        <f t="shared" si="0"/>
        <v>41644.093910491545</v>
      </c>
      <c r="L28" s="122">
        <f t="shared" si="0"/>
        <v>69728.099779897268</v>
      </c>
      <c r="M28" s="58">
        <f t="shared" si="2"/>
        <v>94.611117154356563</v>
      </c>
      <c r="N28" s="58">
        <f t="shared" si="3"/>
        <v>90.220820189274448</v>
      </c>
      <c r="O28" s="58">
        <f t="shared" si="4"/>
        <v>90.259518141392633</v>
      </c>
      <c r="P28" s="58">
        <f t="shared" si="5"/>
        <v>91.823829167677744</v>
      </c>
      <c r="Q28" s="58">
        <f t="shared" si="6"/>
        <v>89.508533455014486</v>
      </c>
      <c r="R28" s="126">
        <f t="shared" si="11"/>
        <v>212.32819861826525</v>
      </c>
      <c r="S28" s="127">
        <f t="shared" si="7"/>
        <v>200.78106838997627</v>
      </c>
      <c r="T28" s="127">
        <f t="shared" si="8"/>
        <v>195.768821475142</v>
      </c>
      <c r="U28" s="127">
        <f t="shared" si="9"/>
        <v>212.79565417880394</v>
      </c>
      <c r="V28" s="127">
        <f t="shared" si="10"/>
        <v>226.59423425614318</v>
      </c>
      <c r="W28" s="58"/>
      <c r="X28" s="58"/>
      <c r="Y28" s="58"/>
      <c r="AA28" s="115"/>
      <c r="AB28" s="5">
        <v>1999</v>
      </c>
      <c r="AC28" s="20">
        <v>14900</v>
      </c>
      <c r="AD28" s="20">
        <v>30100</v>
      </c>
      <c r="AE28" s="20">
        <v>45400</v>
      </c>
      <c r="AF28" s="20">
        <v>64800</v>
      </c>
      <c r="AG28" s="20">
        <v>105700</v>
      </c>
    </row>
    <row r="29" spans="1:33">
      <c r="A29" s="5">
        <v>1999</v>
      </c>
      <c r="B29" s="20">
        <v>14900</v>
      </c>
      <c r="C29" s="20">
        <v>30100</v>
      </c>
      <c r="D29" s="20">
        <v>45400</v>
      </c>
      <c r="E29" s="20">
        <v>64800</v>
      </c>
      <c r="F29" s="20">
        <v>105700</v>
      </c>
      <c r="G29" s="125">
        <v>67.571533382245036</v>
      </c>
      <c r="H29" s="121">
        <f t="shared" si="0"/>
        <v>10068.158473954511</v>
      </c>
      <c r="I29" s="98">
        <f t="shared" si="0"/>
        <v>20339.031548055758</v>
      </c>
      <c r="J29" s="98">
        <f t="shared" si="0"/>
        <v>30677.476155539251</v>
      </c>
      <c r="K29" s="98">
        <f t="shared" si="0"/>
        <v>43786.353631694787</v>
      </c>
      <c r="L29" s="122">
        <f t="shared" si="0"/>
        <v>71423.110785033015</v>
      </c>
      <c r="M29" s="58">
        <f t="shared" si="2"/>
        <v>99.517023822473632</v>
      </c>
      <c r="N29" s="58">
        <f t="shared" si="3"/>
        <v>96.52474564940357</v>
      </c>
      <c r="O29" s="58">
        <f t="shared" si="4"/>
        <v>96.315056613030876</v>
      </c>
      <c r="P29" s="58">
        <f t="shared" si="5"/>
        <v>96.547439941761724</v>
      </c>
      <c r="Q29" s="58">
        <f t="shared" si="6"/>
        <v>91.684384363596834</v>
      </c>
      <c r="R29" s="126">
        <f t="shared" si="11"/>
        <v>223.33813441398337</v>
      </c>
      <c r="S29" s="127">
        <f t="shared" si="7"/>
        <v>214.81007950160398</v>
      </c>
      <c r="T29" s="127">
        <f t="shared" si="8"/>
        <v>208.90301113625807</v>
      </c>
      <c r="U29" s="127">
        <f t="shared" si="9"/>
        <v>223.74230989844006</v>
      </c>
      <c r="V29" s="127">
        <f t="shared" si="10"/>
        <v>232.10248303930021</v>
      </c>
      <c r="W29" s="58"/>
      <c r="X29" s="58"/>
      <c r="Y29" s="58"/>
      <c r="AA29" s="115"/>
      <c r="AB29" s="5">
        <v>2000</v>
      </c>
      <c r="AC29" s="20">
        <v>14500</v>
      </c>
      <c r="AD29" s="20">
        <v>30200</v>
      </c>
      <c r="AE29" s="20">
        <v>45650</v>
      </c>
      <c r="AF29" s="20">
        <v>65000</v>
      </c>
      <c r="AG29" s="20">
        <v>111650</v>
      </c>
    </row>
    <row r="30" spans="1:33">
      <c r="A30" s="5">
        <v>2000</v>
      </c>
      <c r="B30" s="20">
        <v>14500</v>
      </c>
      <c r="C30" s="20">
        <v>30200</v>
      </c>
      <c r="D30" s="20">
        <v>45650</v>
      </c>
      <c r="E30" s="20">
        <v>65000</v>
      </c>
      <c r="F30" s="20">
        <v>111650</v>
      </c>
      <c r="G30" s="125">
        <v>69.772560528246501</v>
      </c>
      <c r="H30" s="121">
        <f t="shared" si="0"/>
        <v>10117.021276595742</v>
      </c>
      <c r="I30" s="98">
        <f t="shared" si="0"/>
        <v>21071.313279530441</v>
      </c>
      <c r="J30" s="98">
        <f t="shared" si="0"/>
        <v>31851.173881144525</v>
      </c>
      <c r="K30" s="98">
        <f t="shared" si="0"/>
        <v>45352.164343360222</v>
      </c>
      <c r="L30" s="122">
        <f t="shared" si="0"/>
        <v>77901.063829787206</v>
      </c>
      <c r="M30" s="58">
        <f t="shared" si="2"/>
        <v>100</v>
      </c>
      <c r="N30" s="58">
        <f t="shared" si="3"/>
        <v>100</v>
      </c>
      <c r="O30" s="58">
        <f t="shared" si="4"/>
        <v>100</v>
      </c>
      <c r="P30" s="58">
        <f t="shared" si="5"/>
        <v>100</v>
      </c>
      <c r="Q30" s="58">
        <f t="shared" si="6"/>
        <v>100</v>
      </c>
      <c r="R30" s="126">
        <f t="shared" si="11"/>
        <v>224.42203940141104</v>
      </c>
      <c r="S30" s="127">
        <f t="shared" si="7"/>
        <v>222.54405132735133</v>
      </c>
      <c r="T30" s="127">
        <f t="shared" si="8"/>
        <v>216.89548704267148</v>
      </c>
      <c r="U30" s="127">
        <f t="shared" si="9"/>
        <v>231.74338960556949</v>
      </c>
      <c r="V30" s="127">
        <f t="shared" si="10"/>
        <v>253.15377820375721</v>
      </c>
      <c r="W30" s="58"/>
      <c r="X30" s="58"/>
      <c r="Y30" s="58"/>
      <c r="AA30" s="115"/>
      <c r="AB30" s="5">
        <v>2001</v>
      </c>
      <c r="AC30" s="20">
        <v>14800</v>
      </c>
      <c r="AD30" s="20">
        <v>30550</v>
      </c>
      <c r="AE30" s="20">
        <v>46900</v>
      </c>
      <c r="AF30" s="20">
        <v>66900</v>
      </c>
      <c r="AG30" s="20">
        <v>115950</v>
      </c>
    </row>
    <row r="31" spans="1:33">
      <c r="A31" s="5">
        <v>2001</v>
      </c>
      <c r="B31" s="20">
        <v>14800</v>
      </c>
      <c r="C31" s="20">
        <v>30550</v>
      </c>
      <c r="D31" s="20">
        <v>46900</v>
      </c>
      <c r="E31" s="20">
        <v>66900</v>
      </c>
      <c r="F31" s="20">
        <v>115950</v>
      </c>
      <c r="G31" s="125">
        <v>71.019809244314004</v>
      </c>
      <c r="H31" s="121">
        <f t="shared" si="0"/>
        <v>10510.931768158473</v>
      </c>
      <c r="I31" s="98">
        <f t="shared" si="0"/>
        <v>21696.551724137928</v>
      </c>
      <c r="J31" s="98">
        <f t="shared" si="0"/>
        <v>33308.29053558327</v>
      </c>
      <c r="K31" s="98">
        <f t="shared" si="0"/>
        <v>47512.252384446067</v>
      </c>
      <c r="L31" s="122">
        <f t="shared" si="0"/>
        <v>82347.468818782087</v>
      </c>
      <c r="M31" s="58">
        <f t="shared" si="2"/>
        <v>103.8935421878966</v>
      </c>
      <c r="N31" s="58">
        <f t="shared" si="3"/>
        <v>102.96724953168852</v>
      </c>
      <c r="O31" s="58">
        <f t="shared" si="4"/>
        <v>104.57476594073457</v>
      </c>
      <c r="P31" s="58">
        <f t="shared" si="5"/>
        <v>104.76292162096578</v>
      </c>
      <c r="Q31" s="58">
        <f t="shared" si="6"/>
        <v>105.70775900918403</v>
      </c>
      <c r="R31" s="126">
        <f t="shared" si="11"/>
        <v>233.16000618444286</v>
      </c>
      <c r="S31" s="127">
        <f t="shared" si="7"/>
        <v>229.14748864816281</v>
      </c>
      <c r="T31" s="127">
        <f t="shared" si="8"/>
        <v>226.81794791088996</v>
      </c>
      <c r="U31" s="127">
        <f t="shared" si="9"/>
        <v>242.78114561425215</v>
      </c>
      <c r="V31" s="127">
        <f t="shared" si="10"/>
        <v>267.60318578627192</v>
      </c>
      <c r="W31" s="58"/>
      <c r="X31" s="58"/>
      <c r="Y31" s="58"/>
      <c r="AA31" s="115"/>
      <c r="AB31" s="5">
        <v>2002</v>
      </c>
      <c r="AC31" s="20">
        <v>14700</v>
      </c>
      <c r="AD31" s="20">
        <v>29600</v>
      </c>
      <c r="AE31" s="20">
        <v>45900</v>
      </c>
      <c r="AF31" s="20">
        <v>67250</v>
      </c>
      <c r="AG31" s="20">
        <v>113250</v>
      </c>
    </row>
    <row r="32" spans="1:33">
      <c r="A32" s="5">
        <v>2002</v>
      </c>
      <c r="B32" s="20">
        <v>14700</v>
      </c>
      <c r="C32" s="20">
        <v>29600</v>
      </c>
      <c r="D32" s="20">
        <v>45900</v>
      </c>
      <c r="E32" s="20">
        <v>67250</v>
      </c>
      <c r="F32" s="20">
        <v>113250</v>
      </c>
      <c r="G32" s="125">
        <v>73.367571533382232</v>
      </c>
      <c r="H32" s="121">
        <f t="shared" si="0"/>
        <v>10785.033015407189</v>
      </c>
      <c r="I32" s="98">
        <f t="shared" si="0"/>
        <v>21716.801173881144</v>
      </c>
      <c r="J32" s="98">
        <f t="shared" si="0"/>
        <v>33675.715333822445</v>
      </c>
      <c r="K32" s="98">
        <f t="shared" si="0"/>
        <v>49339.691856199555</v>
      </c>
      <c r="L32" s="122">
        <f t="shared" si="0"/>
        <v>83088.774761555382</v>
      </c>
      <c r="M32" s="58">
        <f t="shared" si="2"/>
        <v>106.60284999456108</v>
      </c>
      <c r="N32" s="58">
        <f t="shared" si="3"/>
        <v>103.06334914102273</v>
      </c>
      <c r="O32" s="58">
        <f t="shared" si="4"/>
        <v>105.7283334657817</v>
      </c>
      <c r="P32" s="58">
        <f t="shared" si="5"/>
        <v>108.79236431286907</v>
      </c>
      <c r="Q32" s="58">
        <f t="shared" si="6"/>
        <v>106.65935826383996</v>
      </c>
      <c r="R32" s="126">
        <f t="shared" si="11"/>
        <v>239.240290017821</v>
      </c>
      <c r="S32" s="127">
        <f t="shared" si="7"/>
        <v>229.36135261208489</v>
      </c>
      <c r="T32" s="127">
        <f t="shared" si="8"/>
        <v>229.31998381270702</v>
      </c>
      <c r="U32" s="127">
        <f t="shared" si="9"/>
        <v>252.1191126906827</v>
      </c>
      <c r="V32" s="127">
        <f t="shared" si="10"/>
        <v>270.0121952527922</v>
      </c>
      <c r="W32" s="58"/>
      <c r="X32" s="58"/>
      <c r="Y32" s="58"/>
      <c r="AA32" s="115"/>
      <c r="AB32" s="5">
        <v>2003</v>
      </c>
      <c r="AC32" s="20">
        <v>14600</v>
      </c>
      <c r="AD32" s="20">
        <v>30000</v>
      </c>
      <c r="AE32" s="20">
        <v>46000</v>
      </c>
      <c r="AF32" s="20">
        <v>66200</v>
      </c>
      <c r="AG32" s="20">
        <v>114250</v>
      </c>
    </row>
    <row r="33" spans="1:33">
      <c r="A33" s="5">
        <v>2003</v>
      </c>
      <c r="B33" s="20">
        <v>14600</v>
      </c>
      <c r="C33" s="20">
        <v>30000</v>
      </c>
      <c r="D33" s="20">
        <v>46000</v>
      </c>
      <c r="E33" s="20">
        <v>66200</v>
      </c>
      <c r="F33" s="20">
        <v>114250</v>
      </c>
      <c r="G33" s="125">
        <v>75.862068965517238</v>
      </c>
      <c r="H33" s="121">
        <f t="shared" si="0"/>
        <v>11075.862068965516</v>
      </c>
      <c r="I33" s="98">
        <f t="shared" si="0"/>
        <v>22758.62068965517</v>
      </c>
      <c r="J33" s="98">
        <f t="shared" si="0"/>
        <v>34896.551724137928</v>
      </c>
      <c r="K33" s="98">
        <f t="shared" si="0"/>
        <v>50220.689655172413</v>
      </c>
      <c r="L33" s="122">
        <f t="shared" si="0"/>
        <v>86672.413793103449</v>
      </c>
      <c r="M33" s="58">
        <f t="shared" si="2"/>
        <v>109.47750099713551</v>
      </c>
      <c r="N33" s="58">
        <f t="shared" si="3"/>
        <v>108.00760440386907</v>
      </c>
      <c r="O33" s="58">
        <f t="shared" si="4"/>
        <v>109.56127348510765</v>
      </c>
      <c r="P33" s="58">
        <f t="shared" si="5"/>
        <v>110.73493488635447</v>
      </c>
      <c r="Q33" s="58">
        <f t="shared" si="6"/>
        <v>111.25960228538281</v>
      </c>
      <c r="R33" s="126">
        <f t="shared" si="11"/>
        <v>245.69164042347163</v>
      </c>
      <c r="S33" s="127">
        <f t="shared" si="7"/>
        <v>240.36449858198895</v>
      </c>
      <c r="T33" s="127">
        <f t="shared" si="8"/>
        <v>237.63345773567752</v>
      </c>
      <c r="U33" s="127">
        <f t="shared" si="9"/>
        <v>256.62089158315814</v>
      </c>
      <c r="V33" s="127">
        <f t="shared" si="10"/>
        <v>281.65788679992039</v>
      </c>
      <c r="W33" s="58"/>
      <c r="X33" s="58"/>
      <c r="Y33" s="58"/>
      <c r="AA33" s="115"/>
      <c r="AB33" s="5">
        <v>2004</v>
      </c>
      <c r="AC33" s="20">
        <v>14950</v>
      </c>
      <c r="AD33" s="20">
        <v>30350</v>
      </c>
      <c r="AE33" s="20">
        <v>46600</v>
      </c>
      <c r="AF33" s="20">
        <v>67250</v>
      </c>
      <c r="AG33" s="20">
        <v>116300</v>
      </c>
    </row>
    <row r="34" spans="1:33">
      <c r="A34" s="5">
        <v>2004</v>
      </c>
      <c r="B34" s="20">
        <v>14950</v>
      </c>
      <c r="C34" s="20">
        <v>30350</v>
      </c>
      <c r="D34" s="20">
        <v>46600</v>
      </c>
      <c r="E34" s="20">
        <v>67250</v>
      </c>
      <c r="F34" s="20">
        <v>116300</v>
      </c>
      <c r="G34" s="125">
        <v>76.962582538517964</v>
      </c>
      <c r="H34" s="121">
        <f t="shared" si="0"/>
        <v>11505.906089508435</v>
      </c>
      <c r="I34" s="98">
        <f t="shared" si="0"/>
        <v>23358.143800440201</v>
      </c>
      <c r="J34" s="98">
        <f t="shared" si="0"/>
        <v>35864.563462949372</v>
      </c>
      <c r="K34" s="98">
        <f t="shared" si="0"/>
        <v>51757.336757153331</v>
      </c>
      <c r="L34" s="122">
        <f t="shared" si="0"/>
        <v>89507.483492296393</v>
      </c>
      <c r="M34" s="58">
        <f t="shared" si="2"/>
        <v>113.72819899198664</v>
      </c>
      <c r="N34" s="58">
        <f t="shared" si="3"/>
        <v>110.85281439544295</v>
      </c>
      <c r="O34" s="58">
        <f t="shared" si="4"/>
        <v>112.60044479610443</v>
      </c>
      <c r="P34" s="58">
        <f t="shared" si="5"/>
        <v>114.12319016419966</v>
      </c>
      <c r="Q34" s="58">
        <f t="shared" si="6"/>
        <v>114.8989231878387</v>
      </c>
      <c r="R34" s="126">
        <f t="shared" si="11"/>
        <v>255.23114355231147</v>
      </c>
      <c r="S34" s="127">
        <f t="shared" si="7"/>
        <v>246.69634416600803</v>
      </c>
      <c r="T34" s="127">
        <f t="shared" si="8"/>
        <v>244.22528315272513</v>
      </c>
      <c r="U34" s="127">
        <f t="shared" si="9"/>
        <v>264.47294921252609</v>
      </c>
      <c r="V34" s="127">
        <f t="shared" si="10"/>
        <v>290.87096516544653</v>
      </c>
      <c r="W34" s="58"/>
      <c r="X34" s="58"/>
      <c r="Y34" s="58"/>
      <c r="AA34" s="115"/>
      <c r="AB34" s="5">
        <v>2005</v>
      </c>
      <c r="AC34" s="20">
        <v>14250</v>
      </c>
      <c r="AD34" s="20">
        <v>30900</v>
      </c>
      <c r="AE34" s="20">
        <v>47150</v>
      </c>
      <c r="AF34" s="20">
        <v>65950</v>
      </c>
      <c r="AG34" s="20">
        <v>115100</v>
      </c>
    </row>
    <row r="35" spans="1:33">
      <c r="A35" s="5">
        <v>2005</v>
      </c>
      <c r="B35" s="20">
        <v>14250</v>
      </c>
      <c r="C35" s="20">
        <v>30900</v>
      </c>
      <c r="D35" s="20">
        <v>47150</v>
      </c>
      <c r="E35" s="20">
        <v>65950</v>
      </c>
      <c r="F35" s="20">
        <v>115100</v>
      </c>
      <c r="G35" s="125">
        <v>78.79677182685252</v>
      </c>
      <c r="H35" s="121">
        <f t="shared" si="0"/>
        <v>11228.539985326484</v>
      </c>
      <c r="I35" s="98">
        <f t="shared" si="0"/>
        <v>24348.202494497429</v>
      </c>
      <c r="J35" s="98">
        <f t="shared" si="0"/>
        <v>37152.677916360961</v>
      </c>
      <c r="K35" s="98">
        <f t="shared" si="0"/>
        <v>51966.471019809236</v>
      </c>
      <c r="L35" s="122">
        <f t="shared" si="0"/>
        <v>90695.08437270725</v>
      </c>
      <c r="M35" s="58">
        <f t="shared" si="2"/>
        <v>110.98662025454151</v>
      </c>
      <c r="N35" s="58">
        <f t="shared" si="3"/>
        <v>115.55142373660352</v>
      </c>
      <c r="O35" s="58">
        <f t="shared" si="4"/>
        <v>116.64461113740883</v>
      </c>
      <c r="P35" s="58">
        <f t="shared" si="5"/>
        <v>114.584324193157</v>
      </c>
      <c r="Q35" s="58">
        <f t="shared" si="6"/>
        <v>116.42342211253343</v>
      </c>
      <c r="R35" s="126">
        <f t="shared" si="11"/>
        <v>249.07843663794159</v>
      </c>
      <c r="S35" s="127">
        <f t="shared" si="7"/>
        <v>257.15281974987215</v>
      </c>
      <c r="T35" s="127">
        <f t="shared" si="8"/>
        <v>252.99689743551315</v>
      </c>
      <c r="U35" s="127">
        <f t="shared" si="9"/>
        <v>265.54159684185663</v>
      </c>
      <c r="V35" s="127">
        <f t="shared" si="10"/>
        <v>294.73029179198687</v>
      </c>
      <c r="W35" s="58"/>
      <c r="X35" s="58"/>
      <c r="Y35" s="58"/>
      <c r="AA35" s="115"/>
      <c r="AB35" s="5">
        <v>2006</v>
      </c>
      <c r="AC35" s="20">
        <v>15000</v>
      </c>
      <c r="AD35" s="20">
        <v>31700</v>
      </c>
      <c r="AE35" s="20">
        <v>47700</v>
      </c>
      <c r="AF35" s="20">
        <v>67350</v>
      </c>
      <c r="AG35" s="20">
        <v>117200</v>
      </c>
    </row>
    <row r="36" spans="1:33">
      <c r="A36" s="5">
        <v>2006</v>
      </c>
      <c r="B36" s="20">
        <v>15000</v>
      </c>
      <c r="C36" s="20">
        <v>31700</v>
      </c>
      <c r="D36" s="20">
        <v>47700</v>
      </c>
      <c r="E36" s="20">
        <v>67350</v>
      </c>
      <c r="F36" s="20">
        <v>117200</v>
      </c>
      <c r="G36" s="125">
        <v>80.117388114453405</v>
      </c>
      <c r="H36" s="121">
        <f t="shared" si="0"/>
        <v>12017.60821716801</v>
      </c>
      <c r="I36" s="98">
        <f t="shared" si="0"/>
        <v>25397.212032281728</v>
      </c>
      <c r="J36" s="98">
        <f t="shared" si="0"/>
        <v>38215.99413059427</v>
      </c>
      <c r="K36" s="98">
        <f t="shared" si="0"/>
        <v>53959.060895084367</v>
      </c>
      <c r="L36" s="122">
        <f t="shared" si="0"/>
        <v>93897.57887013939</v>
      </c>
      <c r="M36" s="58">
        <f t="shared" si="2"/>
        <v>118.78603285108235</v>
      </c>
      <c r="N36" s="58">
        <f t="shared" si="3"/>
        <v>120.52980132450332</v>
      </c>
      <c r="O36" s="58">
        <f t="shared" si="4"/>
        <v>119.98300054246238</v>
      </c>
      <c r="P36" s="58">
        <f t="shared" si="5"/>
        <v>118.97791798107258</v>
      </c>
      <c r="Q36" s="58">
        <f t="shared" si="6"/>
        <v>120.53439870257017</v>
      </c>
      <c r="R36" s="126">
        <f t="shared" si="11"/>
        <v>266.58203744842911</v>
      </c>
      <c r="S36" s="127">
        <f t="shared" si="7"/>
        <v>268.23190292435726</v>
      </c>
      <c r="T36" s="127">
        <f t="shared" si="8"/>
        <v>260.23771339498495</v>
      </c>
      <c r="U36" s="127">
        <f t="shared" si="9"/>
        <v>275.7234600114719</v>
      </c>
      <c r="V36" s="127">
        <f t="shared" si="10"/>
        <v>305.13738435073691</v>
      </c>
      <c r="W36" s="58"/>
      <c r="X36" s="58"/>
      <c r="Y36" s="58"/>
      <c r="AA36" s="115"/>
      <c r="AB36" s="5">
        <v>2007</v>
      </c>
      <c r="AC36" s="20">
        <v>16400</v>
      </c>
      <c r="AD36" s="20">
        <v>32900</v>
      </c>
      <c r="AE36" s="20">
        <v>49550</v>
      </c>
      <c r="AF36" s="20">
        <v>70450</v>
      </c>
      <c r="AG36" s="20">
        <v>121550</v>
      </c>
    </row>
    <row r="37" spans="1:33">
      <c r="A37" s="5">
        <v>2007</v>
      </c>
      <c r="B37" s="20">
        <v>16400</v>
      </c>
      <c r="C37" s="20">
        <v>32900</v>
      </c>
      <c r="D37" s="20">
        <v>49550</v>
      </c>
      <c r="E37" s="20">
        <v>70450</v>
      </c>
      <c r="F37" s="20">
        <v>121550</v>
      </c>
      <c r="G37" s="125">
        <v>81.658107116654421</v>
      </c>
      <c r="H37" s="121">
        <f t="shared" si="0"/>
        <v>13391.929567131325</v>
      </c>
      <c r="I37" s="98">
        <f t="shared" si="0"/>
        <v>26865.517241379304</v>
      </c>
      <c r="J37" s="98">
        <f t="shared" si="0"/>
        <v>40461.592076302266</v>
      </c>
      <c r="K37" s="98">
        <f t="shared" si="0"/>
        <v>57528.13646368304</v>
      </c>
      <c r="L37" s="122">
        <f t="shared" si="0"/>
        <v>99255.429200293453</v>
      </c>
      <c r="M37" s="58">
        <f t="shared" si="2"/>
        <v>132.37028173610358</v>
      </c>
      <c r="N37" s="58">
        <f t="shared" si="3"/>
        <v>127.49806756220362</v>
      </c>
      <c r="O37" s="58">
        <f t="shared" si="4"/>
        <v>127.03328369399595</v>
      </c>
      <c r="P37" s="58">
        <f t="shared" si="5"/>
        <v>126.84760980344578</v>
      </c>
      <c r="Q37" s="58">
        <f t="shared" si="6"/>
        <v>127.41216142717286</v>
      </c>
      <c r="R37" s="126">
        <f t="shared" si="11"/>
        <v>297.06808583355712</v>
      </c>
      <c r="S37" s="127">
        <f t="shared" si="7"/>
        <v>283.73936491701141</v>
      </c>
      <c r="T37" s="127">
        <f t="shared" si="8"/>
        <v>275.52945937439108</v>
      </c>
      <c r="U37" s="127">
        <f t="shared" si="9"/>
        <v>293.9609505921519</v>
      </c>
      <c r="V37" s="127">
        <f t="shared" si="10"/>
        <v>322.54870054395838</v>
      </c>
      <c r="W37" s="58"/>
      <c r="X37" s="58"/>
      <c r="Y37" s="58"/>
      <c r="AA37" s="115"/>
      <c r="AB37" s="5">
        <v>2008</v>
      </c>
      <c r="AC37" s="20">
        <v>14900</v>
      </c>
      <c r="AD37" s="20">
        <v>33800</v>
      </c>
      <c r="AE37" s="20">
        <v>49950</v>
      </c>
      <c r="AF37" s="20">
        <v>71850</v>
      </c>
      <c r="AG37" s="20">
        <v>122600</v>
      </c>
    </row>
    <row r="38" spans="1:33">
      <c r="A38" s="5">
        <v>2008</v>
      </c>
      <c r="B38" s="20">
        <v>14900</v>
      </c>
      <c r="C38" s="20">
        <v>33800</v>
      </c>
      <c r="D38" s="20">
        <v>49950</v>
      </c>
      <c r="E38" s="20">
        <v>71850</v>
      </c>
      <c r="F38" s="20">
        <v>122600</v>
      </c>
      <c r="G38" s="125">
        <v>83.052090975788687</v>
      </c>
      <c r="H38" s="121">
        <f t="shared" si="0"/>
        <v>12374.761555392513</v>
      </c>
      <c r="I38" s="98">
        <f t="shared" si="0"/>
        <v>28071.606749816576</v>
      </c>
      <c r="J38" s="98">
        <f t="shared" si="0"/>
        <v>41484.519442406447</v>
      </c>
      <c r="K38" s="98">
        <f t="shared" si="0"/>
        <v>59672.927366104166</v>
      </c>
      <c r="L38" s="122">
        <f t="shared" si="0"/>
        <v>101821.86353631693</v>
      </c>
      <c r="M38" s="58">
        <f t="shared" si="2"/>
        <v>122.31625512165054</v>
      </c>
      <c r="N38" s="58">
        <f t="shared" si="3"/>
        <v>133.22191349642415</v>
      </c>
      <c r="O38" s="58">
        <f t="shared" si="4"/>
        <v>130.24486820237649</v>
      </c>
      <c r="P38" s="58">
        <f t="shared" si="5"/>
        <v>131.57680174714875</v>
      </c>
      <c r="Q38" s="58">
        <f t="shared" si="6"/>
        <v>130.70664061635455</v>
      </c>
      <c r="R38" s="126">
        <f t="shared" si="11"/>
        <v>274.50463426344101</v>
      </c>
      <c r="S38" s="127">
        <f t="shared" si="7"/>
        <v>296.47744355076168</v>
      </c>
      <c r="T38" s="127">
        <f t="shared" si="8"/>
        <v>282.49524123563003</v>
      </c>
      <c r="U38" s="127">
        <f t="shared" si="9"/>
        <v>304.92054030344264</v>
      </c>
      <c r="V38" s="127">
        <f t="shared" si="10"/>
        <v>330.88879908350827</v>
      </c>
      <c r="W38" s="58"/>
      <c r="X38" s="58"/>
      <c r="Y38" s="58"/>
      <c r="AA38" s="115"/>
      <c r="AB38" s="5">
        <v>2009</v>
      </c>
      <c r="AC38" s="20">
        <v>15350</v>
      </c>
      <c r="AD38" s="20">
        <v>34300</v>
      </c>
      <c r="AE38" s="20">
        <v>50700</v>
      </c>
      <c r="AF38" s="20">
        <v>74000</v>
      </c>
      <c r="AG38" s="20">
        <v>128550</v>
      </c>
    </row>
    <row r="39" spans="1:33">
      <c r="A39" s="5">
        <v>2009</v>
      </c>
      <c r="B39" s="20">
        <v>15350</v>
      </c>
      <c r="C39" s="20">
        <v>34300</v>
      </c>
      <c r="D39" s="20">
        <v>50700</v>
      </c>
      <c r="E39" s="20">
        <v>74000</v>
      </c>
      <c r="F39" s="20">
        <v>128550</v>
      </c>
      <c r="G39" s="125">
        <v>83.272193690388832</v>
      </c>
      <c r="H39" s="121">
        <f t="shared" si="0"/>
        <v>12782.281731474684</v>
      </c>
      <c r="I39" s="98">
        <f t="shared" si="0"/>
        <v>28562.362435803367</v>
      </c>
      <c r="J39" s="98">
        <f t="shared" si="0"/>
        <v>42219.002201027135</v>
      </c>
      <c r="K39" s="98">
        <f t="shared" si="0"/>
        <v>61621.42333088773</v>
      </c>
      <c r="L39" s="122">
        <f t="shared" si="0"/>
        <v>107046.40498899484</v>
      </c>
      <c r="M39" s="58">
        <f t="shared" si="2"/>
        <v>126.34431995358786</v>
      </c>
      <c r="N39" s="58">
        <f t="shared" si="3"/>
        <v>135.55093627481702</v>
      </c>
      <c r="O39" s="58">
        <f t="shared" si="4"/>
        <v>132.5508515277053</v>
      </c>
      <c r="P39" s="58">
        <f t="shared" si="5"/>
        <v>135.87316994257057</v>
      </c>
      <c r="Q39" s="58">
        <f t="shared" si="6"/>
        <v>137.41327746549112</v>
      </c>
      <c r="R39" s="126">
        <f t="shared" si="11"/>
        <v>283.54449950768577</v>
      </c>
      <c r="S39" s="127">
        <f t="shared" si="7"/>
        <v>301.66054519813406</v>
      </c>
      <c r="T39" s="127">
        <f t="shared" si="8"/>
        <v>287.49681500022479</v>
      </c>
      <c r="U39" s="127">
        <f t="shared" si="9"/>
        <v>314.87708958944881</v>
      </c>
      <c r="V39" s="127">
        <f t="shared" si="10"/>
        <v>347.86690365750292</v>
      </c>
      <c r="W39" s="58"/>
      <c r="X39" s="58"/>
      <c r="Y39" s="58"/>
      <c r="AA39" s="115"/>
      <c r="AB39" s="5">
        <v>2010</v>
      </c>
      <c r="AC39" s="20">
        <v>16250</v>
      </c>
      <c r="AD39" s="20">
        <v>33850</v>
      </c>
      <c r="AE39" s="20">
        <v>51250</v>
      </c>
      <c r="AF39" s="20">
        <v>75400</v>
      </c>
      <c r="AG39" s="20">
        <v>125900</v>
      </c>
    </row>
    <row r="40" spans="1:33">
      <c r="A40" s="5">
        <v>2010</v>
      </c>
      <c r="B40" s="20">
        <v>16250</v>
      </c>
      <c r="C40" s="20">
        <v>33850</v>
      </c>
      <c r="D40" s="20">
        <v>51250</v>
      </c>
      <c r="E40" s="20">
        <v>75400</v>
      </c>
      <c r="F40" s="20">
        <v>125900</v>
      </c>
      <c r="G40" s="125">
        <v>85.033015407190021</v>
      </c>
      <c r="H40" s="121">
        <f t="shared" si="0"/>
        <v>13817.865003668378</v>
      </c>
      <c r="I40" s="98">
        <f t="shared" si="0"/>
        <v>28783.675715333819</v>
      </c>
      <c r="J40" s="98">
        <f t="shared" si="0"/>
        <v>43579.420396184883</v>
      </c>
      <c r="K40" s="98">
        <f t="shared" si="0"/>
        <v>64114.893617021269</v>
      </c>
      <c r="L40" s="122">
        <f t="shared" si="0"/>
        <v>107056.56639765223</v>
      </c>
      <c r="M40" s="58">
        <f t="shared" si="2"/>
        <v>136.58036912143299</v>
      </c>
      <c r="N40" s="58">
        <f t="shared" si="3"/>
        <v>136.60124233118157</v>
      </c>
      <c r="O40" s="58">
        <f t="shared" si="4"/>
        <v>136.82202282027453</v>
      </c>
      <c r="P40" s="58">
        <f t="shared" si="5"/>
        <v>141.37118822292328</v>
      </c>
      <c r="Q40" s="58">
        <f t="shared" si="6"/>
        <v>137.42632145764969</v>
      </c>
      <c r="R40" s="126">
        <f t="shared" si="11"/>
        <v>306.51644980429495</v>
      </c>
      <c r="S40" s="127">
        <f t="shared" si="7"/>
        <v>303.99793884730423</v>
      </c>
      <c r="T40" s="127">
        <f t="shared" si="8"/>
        <v>296.76079277766956</v>
      </c>
      <c r="U40" s="127">
        <f t="shared" si="9"/>
        <v>327.618383513472</v>
      </c>
      <c r="V40" s="127">
        <f t="shared" si="10"/>
        <v>347.89992501648089</v>
      </c>
      <c r="W40" s="58"/>
      <c r="X40" s="58"/>
      <c r="Y40" s="58"/>
      <c r="AA40" s="115"/>
      <c r="AB40" s="5">
        <v>2011</v>
      </c>
      <c r="AC40" s="20">
        <v>16900</v>
      </c>
      <c r="AD40" s="20">
        <v>34250</v>
      </c>
      <c r="AE40" s="20">
        <v>51700</v>
      </c>
      <c r="AF40" s="20">
        <v>75500</v>
      </c>
      <c r="AG40" s="20">
        <v>131900</v>
      </c>
    </row>
    <row r="41" spans="1:33">
      <c r="A41" s="5">
        <v>2011</v>
      </c>
      <c r="B41" s="20">
        <v>16900</v>
      </c>
      <c r="C41" s="20">
        <v>34250</v>
      </c>
      <c r="D41" s="20">
        <v>51700</v>
      </c>
      <c r="E41" s="20">
        <v>75500</v>
      </c>
      <c r="F41" s="20">
        <v>131900</v>
      </c>
      <c r="G41" s="125">
        <v>88.041085840058685</v>
      </c>
      <c r="H41" s="121">
        <f t="shared" si="0"/>
        <v>14878.943506969918</v>
      </c>
      <c r="I41" s="98">
        <f t="shared" si="0"/>
        <v>30154.0719002201</v>
      </c>
      <c r="J41" s="98">
        <f t="shared" si="0"/>
        <v>45517.241379310341</v>
      </c>
      <c r="K41" s="98">
        <f t="shared" si="0"/>
        <v>66471.019809244302</v>
      </c>
      <c r="L41" s="122">
        <f t="shared" si="0"/>
        <v>116126.1922230374</v>
      </c>
      <c r="M41" s="58">
        <f t="shared" si="2"/>
        <v>147.0684216251496</v>
      </c>
      <c r="N41" s="58">
        <f t="shared" si="3"/>
        <v>143.10485303027141</v>
      </c>
      <c r="O41" s="58">
        <f t="shared" si="4"/>
        <v>142.90600889361866</v>
      </c>
      <c r="P41" s="58">
        <f t="shared" si="5"/>
        <v>146.56636738655669</v>
      </c>
      <c r="Q41" s="58">
        <f t="shared" si="6"/>
        <v>149.06881435762108</v>
      </c>
      <c r="R41" s="126">
        <f t="shared" si="11"/>
        <v>330.05395112662649</v>
      </c>
      <c r="S41" s="127">
        <f t="shared" si="7"/>
        <v>318.47133757961785</v>
      </c>
      <c r="T41" s="127">
        <f t="shared" si="8"/>
        <v>309.9566840030576</v>
      </c>
      <c r="U41" s="127">
        <f t="shared" si="9"/>
        <v>339.65786780335833</v>
      </c>
      <c r="V41" s="127">
        <f t="shared" si="10"/>
        <v>377.37333566986274</v>
      </c>
      <c r="W41" s="58"/>
      <c r="X41" s="58"/>
      <c r="Y41" s="58"/>
      <c r="AA41" s="115"/>
      <c r="AB41" s="5">
        <v>2012</v>
      </c>
      <c r="AC41" s="20">
        <v>16050</v>
      </c>
      <c r="AD41" s="20">
        <v>34500</v>
      </c>
      <c r="AE41" s="20">
        <v>51800</v>
      </c>
      <c r="AF41" s="20">
        <v>75500</v>
      </c>
      <c r="AG41" s="20">
        <v>131150</v>
      </c>
    </row>
    <row r="42" spans="1:33">
      <c r="A42" s="5">
        <v>2012</v>
      </c>
      <c r="B42" s="20">
        <v>16050</v>
      </c>
      <c r="C42" s="20">
        <v>34500</v>
      </c>
      <c r="D42" s="20">
        <v>51800</v>
      </c>
      <c r="E42" s="20">
        <v>75500</v>
      </c>
      <c r="F42" s="20">
        <v>131150</v>
      </c>
      <c r="G42" s="125">
        <v>89.508437270726333</v>
      </c>
      <c r="H42" s="121">
        <f t="shared" si="0"/>
        <v>14366.104181951578</v>
      </c>
      <c r="I42" s="98">
        <f t="shared" si="0"/>
        <v>30880.410858400588</v>
      </c>
      <c r="J42" s="98">
        <f t="shared" si="0"/>
        <v>46365.370506236242</v>
      </c>
      <c r="K42" s="98">
        <f t="shared" si="0"/>
        <v>67578.870139398379</v>
      </c>
      <c r="L42" s="122">
        <f t="shared" si="0"/>
        <v>117390.31548055759</v>
      </c>
      <c r="M42" s="58">
        <f t="shared" si="2"/>
        <v>141.99934732948986</v>
      </c>
      <c r="N42" s="58">
        <f t="shared" si="3"/>
        <v>146.55190423465024</v>
      </c>
      <c r="O42" s="58">
        <f t="shared" si="4"/>
        <v>145.5687965512754</v>
      </c>
      <c r="P42" s="58">
        <f t="shared" si="5"/>
        <v>149.00914017633261</v>
      </c>
      <c r="Q42" s="58">
        <f t="shared" si="6"/>
        <v>150.69154349041224</v>
      </c>
      <c r="R42" s="126">
        <f t="shared" si="11"/>
        <v>318.67783121353426</v>
      </c>
      <c r="S42" s="127">
        <f t="shared" si="7"/>
        <v>326.14254498117077</v>
      </c>
      <c r="T42" s="127">
        <f t="shared" si="8"/>
        <v>315.7321502620444</v>
      </c>
      <c r="U42" s="127">
        <f t="shared" si="9"/>
        <v>345.31883226674768</v>
      </c>
      <c r="V42" s="127">
        <f t="shared" si="10"/>
        <v>381.48133577953655</v>
      </c>
      <c r="W42" s="58"/>
      <c r="X42" s="58"/>
      <c r="Y42" s="58"/>
      <c r="AA42" s="115"/>
      <c r="AB42" s="5">
        <v>2013</v>
      </c>
      <c r="AC42" s="20">
        <v>16750</v>
      </c>
      <c r="AD42" s="20">
        <v>34850</v>
      </c>
      <c r="AE42" s="20">
        <v>52200</v>
      </c>
      <c r="AF42" s="20">
        <v>75900</v>
      </c>
      <c r="AG42" s="20">
        <v>129750</v>
      </c>
    </row>
    <row r="43" spans="1:33">
      <c r="A43" s="5">
        <v>2013</v>
      </c>
      <c r="B43" s="20">
        <v>16750</v>
      </c>
      <c r="C43" s="20">
        <v>34850</v>
      </c>
      <c r="D43" s="20">
        <v>52200</v>
      </c>
      <c r="E43" s="20">
        <v>75900</v>
      </c>
      <c r="F43" s="20">
        <v>129750</v>
      </c>
      <c r="G43" s="125">
        <v>90.24211298606015</v>
      </c>
      <c r="H43" s="121">
        <f t="shared" si="0"/>
        <v>15115.553925165075</v>
      </c>
      <c r="I43" s="98">
        <f t="shared" si="0"/>
        <v>31449.376375641965</v>
      </c>
      <c r="J43" s="98">
        <f t="shared" si="0"/>
        <v>47106.382978723399</v>
      </c>
      <c r="K43" s="98">
        <f t="shared" si="0"/>
        <v>68493.763756419648</v>
      </c>
      <c r="L43" s="122">
        <f t="shared" si="0"/>
        <v>117089.14159941305</v>
      </c>
      <c r="M43" s="58">
        <f t="shared" si="2"/>
        <v>149.40715761992823</v>
      </c>
      <c r="N43" s="58">
        <f t="shared" si="3"/>
        <v>149.25209434474692</v>
      </c>
      <c r="O43" s="58">
        <f t="shared" si="4"/>
        <v>147.89528057742876</v>
      </c>
      <c r="P43" s="58">
        <f t="shared" si="5"/>
        <v>151.02644989080321</v>
      </c>
      <c r="Q43" s="58">
        <f t="shared" si="6"/>
        <v>150.30493274809606</v>
      </c>
      <c r="R43" s="126">
        <f t="shared" si="11"/>
        <v>335.3025901423236</v>
      </c>
      <c r="S43" s="127">
        <f t="shared" si="7"/>
        <v>332.15165744572039</v>
      </c>
      <c r="T43" s="127">
        <f t="shared" si="8"/>
        <v>320.77818912153964</v>
      </c>
      <c r="U43" s="127">
        <f t="shared" si="9"/>
        <v>349.9938141779042</v>
      </c>
      <c r="V43" s="127">
        <f t="shared" si="10"/>
        <v>380.50261607842157</v>
      </c>
      <c r="W43" s="58"/>
      <c r="X43" s="58"/>
      <c r="Y43" s="58"/>
      <c r="AA43" s="115"/>
      <c r="AB43" s="5">
        <v>2014</v>
      </c>
      <c r="AC43" s="20">
        <v>17900</v>
      </c>
      <c r="AD43" s="20">
        <v>35350</v>
      </c>
      <c r="AE43" s="20">
        <v>53250</v>
      </c>
      <c r="AF43" s="20">
        <v>77250</v>
      </c>
      <c r="AG43" s="20">
        <v>126800</v>
      </c>
    </row>
    <row r="44" spans="1:33">
      <c r="A44" s="5">
        <v>2014</v>
      </c>
      <c r="B44" s="20">
        <v>17900</v>
      </c>
      <c r="C44" s="20">
        <v>35350</v>
      </c>
      <c r="D44" s="20">
        <v>53250</v>
      </c>
      <c r="E44" s="20">
        <v>77250</v>
      </c>
      <c r="F44" s="20">
        <v>126800</v>
      </c>
      <c r="G44" s="125">
        <v>91.562729273661034</v>
      </c>
      <c r="H44" s="121">
        <f t="shared" si="0"/>
        <v>16389.728539985324</v>
      </c>
      <c r="I44" s="98">
        <f t="shared" si="0"/>
        <v>32367.424798239175</v>
      </c>
      <c r="J44" s="98">
        <f t="shared" si="0"/>
        <v>48757.153338224503</v>
      </c>
      <c r="K44" s="98">
        <f t="shared" si="0"/>
        <v>70732.208363903148</v>
      </c>
      <c r="L44" s="122">
        <f t="shared" si="0"/>
        <v>116101.54071900219</v>
      </c>
      <c r="M44" s="58">
        <f t="shared" si="2"/>
        <v>162.00152289785709</v>
      </c>
      <c r="N44" s="58">
        <f t="shared" si="3"/>
        <v>153.60895815488755</v>
      </c>
      <c r="O44" s="58">
        <f t="shared" si="4"/>
        <v>153.07804202182984</v>
      </c>
      <c r="P44" s="58">
        <f t="shared" si="5"/>
        <v>155.96214511041012</v>
      </c>
      <c r="Q44" s="58">
        <f t="shared" si="6"/>
        <v>149.03716972682494</v>
      </c>
      <c r="R44" s="126">
        <f t="shared" si="11"/>
        <v>363.56712154871474</v>
      </c>
      <c r="S44" s="127">
        <f t="shared" si="7"/>
        <v>341.84759867962254</v>
      </c>
      <c r="T44" s="127">
        <f t="shared" si="8"/>
        <v>332.01936479863315</v>
      </c>
      <c r="U44" s="127">
        <f t="shared" si="9"/>
        <v>361.43196158042133</v>
      </c>
      <c r="V44" s="127">
        <f t="shared" si="10"/>
        <v>377.2932260914036</v>
      </c>
      <c r="W44" s="58"/>
      <c r="X44" s="58"/>
      <c r="Y44" s="58"/>
      <c r="AA44" s="115"/>
      <c r="AB44" s="5">
        <v>2015</v>
      </c>
      <c r="AC44" s="20">
        <v>15650</v>
      </c>
      <c r="AD44" s="20">
        <v>33900</v>
      </c>
      <c r="AE44" s="20">
        <v>54400</v>
      </c>
      <c r="AF44" s="20">
        <v>77850</v>
      </c>
      <c r="AG44" s="20">
        <v>126000</v>
      </c>
    </row>
    <row r="45" spans="1:33">
      <c r="A45" s="5">
        <v>2015</v>
      </c>
      <c r="B45" s="20">
        <v>15650</v>
      </c>
      <c r="C45" s="20">
        <v>33900</v>
      </c>
      <c r="D45" s="20">
        <v>54400</v>
      </c>
      <c r="E45" s="20">
        <v>77850</v>
      </c>
      <c r="F45" s="20">
        <v>126000</v>
      </c>
      <c r="G45" s="125">
        <v>92.002934702861324</v>
      </c>
      <c r="H45" s="121">
        <f t="shared" si="0"/>
        <v>14398.459280997798</v>
      </c>
      <c r="I45" s="98">
        <f t="shared" si="0"/>
        <v>31188.994864269989</v>
      </c>
      <c r="J45" s="98">
        <f t="shared" si="0"/>
        <v>50049.596478356565</v>
      </c>
      <c r="K45" s="98">
        <f t="shared" si="0"/>
        <v>71624.28466617754</v>
      </c>
      <c r="L45" s="122">
        <f t="shared" si="0"/>
        <v>115923.69772560528</v>
      </c>
      <c r="M45" s="58">
        <f t="shared" si="2"/>
        <v>142.31915587947356</v>
      </c>
      <c r="N45" s="58">
        <f t="shared" si="3"/>
        <v>148.01637871602568</v>
      </c>
      <c r="O45" s="58">
        <f t="shared" si="4"/>
        <v>157.13579871536624</v>
      </c>
      <c r="P45" s="58">
        <f t="shared" si="5"/>
        <v>157.92914341179326</v>
      </c>
      <c r="Q45" s="58">
        <f t="shared" si="6"/>
        <v>148.80887631893839</v>
      </c>
      <c r="R45" s="126">
        <f t="shared" si="11"/>
        <v>319.39555208358769</v>
      </c>
      <c r="S45" s="127">
        <f t="shared" si="7"/>
        <v>329.40164582267892</v>
      </c>
      <c r="T45" s="127">
        <f t="shared" si="8"/>
        <v>340.82045594208552</v>
      </c>
      <c r="U45" s="127">
        <f t="shared" si="9"/>
        <v>365.99035011753062</v>
      </c>
      <c r="V45" s="127">
        <f t="shared" si="10"/>
        <v>376.71529270394865</v>
      </c>
      <c r="W45" s="58"/>
      <c r="X45" s="58"/>
      <c r="Y45" s="58"/>
      <c r="AA45" s="115"/>
      <c r="AB45" s="5">
        <v>2016</v>
      </c>
      <c r="AC45" s="20">
        <v>17450</v>
      </c>
      <c r="AD45" s="20">
        <v>35600</v>
      </c>
      <c r="AE45" s="20">
        <v>53300</v>
      </c>
      <c r="AF45" s="20">
        <v>76550</v>
      </c>
      <c r="AG45" s="20">
        <v>131400</v>
      </c>
    </row>
    <row r="46" spans="1:33">
      <c r="A46" s="5">
        <v>2016</v>
      </c>
      <c r="B46" s="20">
        <v>17450</v>
      </c>
      <c r="C46" s="20">
        <v>35600</v>
      </c>
      <c r="D46" s="20">
        <v>53300</v>
      </c>
      <c r="E46" s="20">
        <v>76550</v>
      </c>
      <c r="F46" s="20">
        <v>131400</v>
      </c>
      <c r="G46" s="125">
        <v>94.057226705796012</v>
      </c>
      <c r="H46" s="121">
        <f t="shared" si="0"/>
        <v>16412.986060161405</v>
      </c>
      <c r="I46" s="98">
        <f t="shared" si="0"/>
        <v>33484.372707263385</v>
      </c>
      <c r="J46" s="98">
        <f t="shared" si="0"/>
        <v>50132.501834189279</v>
      </c>
      <c r="K46" s="98">
        <f t="shared" si="0"/>
        <v>72000.807043286855</v>
      </c>
      <c r="L46" s="122">
        <f t="shared" si="0"/>
        <v>123591.19589141596</v>
      </c>
      <c r="M46" s="58">
        <f t="shared" si="2"/>
        <v>162.23140795532834</v>
      </c>
      <c r="N46" s="58">
        <f t="shared" si="3"/>
        <v>158.90975689584337</v>
      </c>
      <c r="O46" s="58">
        <f t="shared" si="4"/>
        <v>157.3960885123517</v>
      </c>
      <c r="P46" s="58">
        <f t="shared" si="5"/>
        <v>158.75936261425224</v>
      </c>
      <c r="Q46" s="58">
        <f t="shared" si="6"/>
        <v>158.6514866619294</v>
      </c>
      <c r="R46" s="126">
        <f t="shared" si="11"/>
        <v>364.0830342829708</v>
      </c>
      <c r="S46" s="127">
        <f t="shared" si="7"/>
        <v>353.64421095045486</v>
      </c>
      <c r="T46" s="127">
        <f t="shared" si="8"/>
        <v>341.38501276497948</v>
      </c>
      <c r="U46" s="127">
        <f t="shared" si="9"/>
        <v>367.91432823846532</v>
      </c>
      <c r="V46" s="127">
        <f t="shared" si="10"/>
        <v>401.63223266110424</v>
      </c>
      <c r="W46" s="58"/>
      <c r="X46" s="58"/>
      <c r="Y46" s="58"/>
      <c r="AA46" s="115"/>
      <c r="AB46" s="5">
        <v>2017</v>
      </c>
      <c r="AC46" s="20">
        <v>18000</v>
      </c>
      <c r="AD46" s="20">
        <v>36150</v>
      </c>
      <c r="AE46" s="20">
        <v>55600</v>
      </c>
      <c r="AF46" s="20">
        <v>78950</v>
      </c>
      <c r="AG46" s="20">
        <v>135100</v>
      </c>
    </row>
    <row r="47" spans="1:33">
      <c r="A47" s="5">
        <v>2017</v>
      </c>
      <c r="B47" s="20">
        <v>18000</v>
      </c>
      <c r="C47" s="20">
        <v>36150</v>
      </c>
      <c r="D47" s="20">
        <v>55600</v>
      </c>
      <c r="E47" s="20">
        <v>78950</v>
      </c>
      <c r="F47" s="20">
        <v>135100</v>
      </c>
      <c r="G47" s="125">
        <v>96.258253851797491</v>
      </c>
      <c r="H47" s="121">
        <f t="shared" si="0"/>
        <v>17326.48569332355</v>
      </c>
      <c r="I47" s="98">
        <f t="shared" si="0"/>
        <v>34797.35876742479</v>
      </c>
      <c r="J47" s="98">
        <f t="shared" si="0"/>
        <v>53519.589141599405</v>
      </c>
      <c r="K47" s="98">
        <f t="shared" si="0"/>
        <v>75995.89141599412</v>
      </c>
      <c r="L47" s="122">
        <f t="shared" si="0"/>
        <v>130044.90095377841</v>
      </c>
      <c r="M47" s="58">
        <f t="shared" si="2"/>
        <v>171.26074186881326</v>
      </c>
      <c r="N47" s="58">
        <f t="shared" si="3"/>
        <v>165.14091127499114</v>
      </c>
      <c r="O47" s="58">
        <f t="shared" si="4"/>
        <v>168.03019361645033</v>
      </c>
      <c r="P47" s="58">
        <f t="shared" si="5"/>
        <v>167.56838954946213</v>
      </c>
      <c r="Q47" s="58">
        <f t="shared" si="6"/>
        <v>166.93597566000483</v>
      </c>
      <c r="R47" s="126">
        <f t="shared" si="11"/>
        <v>384.34684959597689</v>
      </c>
      <c r="S47" s="127">
        <f t="shared" si="7"/>
        <v>367.51127435027195</v>
      </c>
      <c r="T47" s="127">
        <f t="shared" si="8"/>
        <v>364.44990682314386</v>
      </c>
      <c r="U47" s="127">
        <f t="shared" si="9"/>
        <v>388.32866584938836</v>
      </c>
      <c r="V47" s="127">
        <f t="shared" si="10"/>
        <v>422.60472956460683</v>
      </c>
      <c r="W47" s="58"/>
      <c r="X47" s="58"/>
      <c r="Y47" s="58"/>
      <c r="AA47" s="115"/>
      <c r="AB47" s="5">
        <v>2018</v>
      </c>
      <c r="AC47" s="20">
        <v>17750</v>
      </c>
      <c r="AD47" s="20">
        <v>36900</v>
      </c>
      <c r="AE47" s="20">
        <v>55850</v>
      </c>
      <c r="AF47" s="20">
        <v>79800</v>
      </c>
      <c r="AG47" s="20">
        <v>139300</v>
      </c>
    </row>
    <row r="48" spans="1:33">
      <c r="A48" s="5">
        <v>2018</v>
      </c>
      <c r="B48" s="20">
        <v>17750</v>
      </c>
      <c r="C48" s="20">
        <v>36900</v>
      </c>
      <c r="D48" s="20">
        <v>55850</v>
      </c>
      <c r="E48" s="20">
        <v>79800</v>
      </c>
      <c r="F48" s="20">
        <v>139300</v>
      </c>
      <c r="G48" s="125">
        <v>98.312545854732193</v>
      </c>
      <c r="H48" s="121">
        <f t="shared" si="0"/>
        <v>17450.476889214962</v>
      </c>
      <c r="I48" s="98">
        <f t="shared" si="0"/>
        <v>36277.329420396178</v>
      </c>
      <c r="J48" s="98">
        <f t="shared" si="0"/>
        <v>54907.556859867931</v>
      </c>
      <c r="K48" s="98">
        <f t="shared" si="0"/>
        <v>78453.411592076285</v>
      </c>
      <c r="L48" s="122">
        <f t="shared" si="0"/>
        <v>136949.37637564194</v>
      </c>
      <c r="M48" s="58">
        <f t="shared" si="2"/>
        <v>172.48631204902281</v>
      </c>
      <c r="N48" s="58">
        <f t="shared" si="3"/>
        <v>172.16453924415572</v>
      </c>
      <c r="O48" s="58">
        <f t="shared" si="4"/>
        <v>172.38785943890275</v>
      </c>
      <c r="P48" s="58">
        <f t="shared" si="5"/>
        <v>172.98713904392139</v>
      </c>
      <c r="Q48" s="58">
        <f t="shared" si="6"/>
        <v>175.79910933549573</v>
      </c>
      <c r="R48" s="126">
        <f t="shared" si="11"/>
        <v>387.09729918869874</v>
      </c>
      <c r="S48" s="127">
        <f t="shared" si="7"/>
        <v>383.14194058301177</v>
      </c>
      <c r="T48" s="127">
        <f t="shared" si="8"/>
        <v>373.90148733244405</v>
      </c>
      <c r="U48" s="127">
        <f t="shared" si="9"/>
        <v>400.88625960208287</v>
      </c>
      <c r="V48" s="127">
        <f t="shared" si="10"/>
        <v>445.04208733136153</v>
      </c>
      <c r="W48" s="58"/>
      <c r="X48" s="58"/>
      <c r="Y48" s="58"/>
      <c r="AA48" s="115"/>
      <c r="AB48" s="5">
        <v>2019</v>
      </c>
      <c r="AC48" s="20">
        <v>18350</v>
      </c>
      <c r="AD48" s="20">
        <v>37400</v>
      </c>
      <c r="AE48" s="20">
        <v>56350</v>
      </c>
      <c r="AF48" s="20">
        <v>77900</v>
      </c>
      <c r="AG48" s="20">
        <v>136900</v>
      </c>
    </row>
    <row r="49" spans="1:33">
      <c r="A49" s="5">
        <v>2019</v>
      </c>
      <c r="B49" s="20">
        <v>18350</v>
      </c>
      <c r="C49" s="20">
        <v>37400</v>
      </c>
      <c r="D49" s="20">
        <v>56350</v>
      </c>
      <c r="E49" s="20">
        <v>77900</v>
      </c>
      <c r="F49" s="20">
        <v>136900</v>
      </c>
      <c r="G49" s="125">
        <v>100</v>
      </c>
      <c r="H49" s="121">
        <f t="shared" si="0"/>
        <v>18350</v>
      </c>
      <c r="I49" s="98">
        <f t="shared" si="0"/>
        <v>37400</v>
      </c>
      <c r="J49" s="98">
        <f t="shared" si="0"/>
        <v>56350</v>
      </c>
      <c r="K49" s="98">
        <f t="shared" si="0"/>
        <v>77900</v>
      </c>
      <c r="L49" s="122">
        <f t="shared" si="0"/>
        <v>136900</v>
      </c>
      <c r="M49" s="58">
        <f t="shared" si="2"/>
        <v>181.37749737118827</v>
      </c>
      <c r="N49" s="58">
        <f t="shared" si="3"/>
        <v>177.49249657035818</v>
      </c>
      <c r="O49" s="58">
        <f t="shared" si="4"/>
        <v>176.91655638902043</v>
      </c>
      <c r="P49" s="58">
        <f t="shared" si="5"/>
        <v>171.76688506026051</v>
      </c>
      <c r="Q49" s="58">
        <f t="shared" si="6"/>
        <v>175.73572589345466</v>
      </c>
      <c r="R49" s="126">
        <f t="shared" si="11"/>
        <v>407.05107861566137</v>
      </c>
      <c r="S49" s="127">
        <f t="shared" si="7"/>
        <v>394.99899266973523</v>
      </c>
      <c r="T49" s="127">
        <f t="shared" si="8"/>
        <v>383.72402663908838</v>
      </c>
      <c r="U49" s="127">
        <f t="shared" si="9"/>
        <v>398.05840165855017</v>
      </c>
      <c r="V49" s="127">
        <f t="shared" si="10"/>
        <v>444.88162975307898</v>
      </c>
      <c r="W49" s="58"/>
      <c r="X49" s="58"/>
      <c r="Y49" s="58"/>
      <c r="AC49" s="20"/>
      <c r="AD49" s="20"/>
      <c r="AE49" s="20"/>
      <c r="AF49" s="20"/>
      <c r="AG49" s="20"/>
    </row>
    <row r="51" spans="1:33">
      <c r="A51" s="5" t="s">
        <v>9</v>
      </c>
      <c r="B51" s="143">
        <f>100*((B49/B6)^(1/43)-1)</f>
        <v>0.93464382061201334</v>
      </c>
      <c r="C51" s="143">
        <f t="shared" ref="C51:F51" si="12">100*((C49/C6)^(1/43)-1)</f>
        <v>0.4525465278666152</v>
      </c>
      <c r="D51" s="143">
        <f t="shared" si="12"/>
        <v>0.40304262652910428</v>
      </c>
      <c r="E51" s="143">
        <f t="shared" si="12"/>
        <v>0.46360475647844179</v>
      </c>
      <c r="F51" s="143">
        <f t="shared" si="12"/>
        <v>0.76137951038295348</v>
      </c>
      <c r="G51" s="5" t="s">
        <v>115</v>
      </c>
      <c r="H51" s="143">
        <f>100*((H49/H9)^(1/40)-1)</f>
        <v>3.5717281507000376</v>
      </c>
      <c r="I51" s="143">
        <f t="shared" ref="I51:L51" si="13">100*((I49/I9)^(1/40)-1)</f>
        <v>3.4939349742443948</v>
      </c>
      <c r="J51" s="143">
        <f t="shared" si="13"/>
        <v>3.4190335146195405</v>
      </c>
      <c r="K51" s="143">
        <f t="shared" si="13"/>
        <v>3.5138996317292337</v>
      </c>
      <c r="L51" s="143">
        <f t="shared" si="13"/>
        <v>3.8020933310318528</v>
      </c>
    </row>
    <row r="52" spans="1:33">
      <c r="A52" s="5" t="s">
        <v>10</v>
      </c>
      <c r="B52" s="143">
        <f>100*((B30/B6)^(1/24)-1)</f>
        <v>0.68797821754844612</v>
      </c>
      <c r="C52" s="143">
        <f t="shared" ref="C52:F52" si="14">100*((C30/C6)^(1/24)-1)</f>
        <v>-8.1936270551719037E-2</v>
      </c>
      <c r="D52" s="143">
        <f t="shared" si="14"/>
        <v>-0.15662147726490661</v>
      </c>
      <c r="E52" s="143">
        <f t="shared" si="14"/>
        <v>7.4405531430299376E-2</v>
      </c>
      <c r="F52" s="143">
        <f t="shared" si="14"/>
        <v>0.51076403120575709</v>
      </c>
      <c r="G52" s="5" t="s">
        <v>116</v>
      </c>
      <c r="H52" s="143">
        <f>100*((H30/H9)^(1/21)-1)</f>
        <v>3.9243710848011926</v>
      </c>
      <c r="I52" s="143">
        <f t="shared" ref="I52:L52" si="15">100*((I30/I9)^(1/21)-1)</f>
        <v>3.8827932351163774</v>
      </c>
      <c r="J52" s="143">
        <f t="shared" si="15"/>
        <v>3.7556915324314044</v>
      </c>
      <c r="K52" s="143">
        <f t="shared" si="15"/>
        <v>4.0833597650292708</v>
      </c>
      <c r="L52" s="143">
        <f t="shared" si="15"/>
        <v>4.5222576022736272</v>
      </c>
    </row>
    <row r="53" spans="1:33">
      <c r="A53" s="5" t="s">
        <v>11</v>
      </c>
      <c r="B53" s="143">
        <f>100*((B49/B30)^(1/19)-1)</f>
        <v>1.2470853480851973</v>
      </c>
      <c r="C53" s="143">
        <f t="shared" ref="C53:F53" si="16">100*((C49/C30)^(1/19)-1)</f>
        <v>1.1317712459628648</v>
      </c>
      <c r="D53" s="143">
        <f t="shared" si="16"/>
        <v>1.1144730896274213</v>
      </c>
      <c r="E53" s="143">
        <f t="shared" si="16"/>
        <v>0.95738910023766</v>
      </c>
      <c r="F53" s="143">
        <f t="shared" si="16"/>
        <v>1.0788398205373806</v>
      </c>
      <c r="G53" s="5" t="s">
        <v>11</v>
      </c>
      <c r="H53" s="143">
        <f>100*((H49/H30)^(1/19)-1)</f>
        <v>3.1833569207931234</v>
      </c>
      <c r="I53" s="143">
        <f t="shared" ref="I53:L53" si="17">100*((I49/I30)^(1/19)-1)</f>
        <v>3.0658375263692639</v>
      </c>
      <c r="J53" s="143">
        <f t="shared" si="17"/>
        <v>3.048208556279941</v>
      </c>
      <c r="K53" s="143">
        <f t="shared" si="17"/>
        <v>2.8881204580594178</v>
      </c>
      <c r="L53" s="143">
        <f t="shared" si="17"/>
        <v>3.0118938286990637</v>
      </c>
    </row>
    <row r="55" spans="1:33">
      <c r="A55" s="5" t="s">
        <v>117</v>
      </c>
      <c r="B55" s="5" t="s">
        <v>118</v>
      </c>
    </row>
    <row r="56" spans="1:33">
      <c r="B56" s="5" t="s">
        <v>119</v>
      </c>
    </row>
  </sheetData>
  <mergeCells count="4">
    <mergeCell ref="B3:F3"/>
    <mergeCell ref="H3:L3"/>
    <mergeCell ref="M3:Q3"/>
    <mergeCell ref="R3:V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7D52E-EE7E-BC41-8C3B-613C8B92D219}">
  <sheetPr codeName="Sheet23"/>
  <dimension ref="A1:L64"/>
  <sheetViews>
    <sheetView zoomScale="87" workbookViewId="0"/>
  </sheetViews>
  <sheetFormatPr baseColWidth="10" defaultColWidth="11" defaultRowHeight="16"/>
  <cols>
    <col min="1" max="1" width="20.1640625" style="5" customWidth="1"/>
    <col min="2" max="2" width="12.83203125" style="5" customWidth="1"/>
    <col min="3" max="3" width="14.33203125" style="5" customWidth="1"/>
    <col min="4" max="4" width="15" style="5" customWidth="1"/>
    <col min="5" max="5" width="13.33203125" style="5" customWidth="1"/>
    <col min="6" max="6" width="12.33203125" style="5" customWidth="1"/>
    <col min="7" max="7" width="20" style="5" customWidth="1"/>
    <col min="8" max="8" width="13.5" style="5" customWidth="1"/>
    <col min="9" max="9" width="14.5" style="5" customWidth="1"/>
    <col min="10" max="10" width="12.5" style="5" customWidth="1"/>
    <col min="11" max="11" width="13.33203125" style="5" customWidth="1"/>
    <col min="12" max="12" width="12.83203125" style="5" customWidth="1"/>
    <col min="13" max="16384" width="11" style="5"/>
  </cols>
  <sheetData>
    <row r="1" spans="1:12">
      <c r="A1" s="19" t="s">
        <v>625</v>
      </c>
    </row>
    <row r="3" spans="1:12">
      <c r="B3" s="328" t="s">
        <v>120</v>
      </c>
      <c r="C3" s="328"/>
      <c r="D3" s="328"/>
      <c r="E3" s="328"/>
      <c r="F3" s="328"/>
      <c r="H3" s="328" t="s">
        <v>100</v>
      </c>
      <c r="I3" s="328"/>
      <c r="J3" s="328"/>
      <c r="K3" s="328"/>
      <c r="L3" s="328"/>
    </row>
    <row r="4" spans="1:12">
      <c r="B4" s="5" t="s">
        <v>103</v>
      </c>
      <c r="C4" s="5" t="s">
        <v>104</v>
      </c>
      <c r="D4" s="5" t="s">
        <v>105</v>
      </c>
      <c r="E4" s="5" t="s">
        <v>106</v>
      </c>
      <c r="F4" s="5" t="s">
        <v>107</v>
      </c>
      <c r="H4" s="5" t="s">
        <v>103</v>
      </c>
      <c r="I4" s="5" t="s">
        <v>104</v>
      </c>
      <c r="J4" s="5" t="s">
        <v>105</v>
      </c>
      <c r="K4" s="5" t="s">
        <v>106</v>
      </c>
      <c r="L4" s="5" t="s">
        <v>107</v>
      </c>
    </row>
    <row r="5" spans="1:12">
      <c r="A5" s="5">
        <v>1976</v>
      </c>
      <c r="B5" s="8">
        <v>83.389830508474574</v>
      </c>
      <c r="C5" s="8">
        <v>88</v>
      </c>
      <c r="D5" s="8">
        <v>87.132352941176478</v>
      </c>
      <c r="E5" s="8">
        <v>85.019973368841534</v>
      </c>
      <c r="F5" s="8">
        <v>79.389312977099237</v>
      </c>
      <c r="G5" s="8"/>
      <c r="H5" s="8" t="s">
        <v>87</v>
      </c>
      <c r="I5" s="8" t="s">
        <v>87</v>
      </c>
      <c r="J5" s="8" t="s">
        <v>87</v>
      </c>
      <c r="K5" s="8" t="s">
        <v>87</v>
      </c>
      <c r="L5" s="8" t="s">
        <v>87</v>
      </c>
    </row>
    <row r="6" spans="1:12">
      <c r="A6" s="5">
        <v>1977</v>
      </c>
      <c r="B6" s="8">
        <v>97.802197802197796</v>
      </c>
      <c r="C6" s="8">
        <v>87.042253521126753</v>
      </c>
      <c r="D6" s="8">
        <v>86.244343891402721</v>
      </c>
      <c r="E6" s="8">
        <v>86.979510905485796</v>
      </c>
      <c r="F6" s="8">
        <v>89.113924050632903</v>
      </c>
      <c r="G6" s="8"/>
      <c r="H6" s="8" t="s">
        <v>87</v>
      </c>
      <c r="I6" s="8" t="s">
        <v>87</v>
      </c>
      <c r="J6" s="8" t="s">
        <v>87</v>
      </c>
      <c r="K6" s="8" t="s">
        <v>87</v>
      </c>
      <c r="L6" s="8" t="s">
        <v>87</v>
      </c>
    </row>
    <row r="7" spans="1:12">
      <c r="A7" s="5">
        <v>1978</v>
      </c>
      <c r="B7" s="8">
        <v>94.791666666666657</v>
      </c>
      <c r="C7" s="8">
        <v>88.128491620111731</v>
      </c>
      <c r="D7" s="8">
        <v>89.819819819819827</v>
      </c>
      <c r="E7" s="8">
        <v>88.918205804749334</v>
      </c>
      <c r="F7" s="8">
        <v>80.940695296523515</v>
      </c>
      <c r="G7" s="8"/>
      <c r="H7" s="8" t="s">
        <v>87</v>
      </c>
      <c r="I7" s="8" t="s">
        <v>87</v>
      </c>
      <c r="J7" s="8" t="s">
        <v>87</v>
      </c>
      <c r="K7" s="8" t="s">
        <v>87</v>
      </c>
      <c r="L7" s="8" t="s">
        <v>87</v>
      </c>
    </row>
    <row r="8" spans="1:12">
      <c r="A8" s="5">
        <v>1979</v>
      </c>
      <c r="B8" s="8">
        <v>99.33554817275747</v>
      </c>
      <c r="C8" s="8">
        <v>88.700564971751419</v>
      </c>
      <c r="D8" s="8">
        <v>88.949771689497709</v>
      </c>
      <c r="E8" s="8">
        <v>85.960264900662253</v>
      </c>
      <c r="F8" s="8">
        <v>84.900166389351085</v>
      </c>
      <c r="G8" s="8"/>
      <c r="H8" s="8">
        <v>101.84262290286958</v>
      </c>
      <c r="I8" s="8">
        <v>90.939229267443437</v>
      </c>
      <c r="J8" s="8">
        <v>91.194725575131386</v>
      </c>
      <c r="K8" s="8">
        <v>88.129768284802196</v>
      </c>
      <c r="L8" s="8">
        <v>87.042914535934841</v>
      </c>
    </row>
    <row r="9" spans="1:12">
      <c r="A9" s="5">
        <v>1980</v>
      </c>
      <c r="B9" s="8">
        <v>96.05263157894737</v>
      </c>
      <c r="C9" s="8">
        <v>88.488210818307905</v>
      </c>
      <c r="D9" s="8">
        <v>85.178571428571431</v>
      </c>
      <c r="E9" s="8">
        <v>83.529411764705884</v>
      </c>
      <c r="F9" s="8">
        <v>81.290849673202615</v>
      </c>
      <c r="G9" s="8"/>
      <c r="H9" s="8">
        <v>98.672889453674813</v>
      </c>
      <c r="I9" s="8">
        <v>90.902115855637788</v>
      </c>
      <c r="J9" s="8">
        <v>87.5021914988899</v>
      </c>
      <c r="K9" s="8">
        <v>85.80804375375169</v>
      </c>
      <c r="L9" s="8">
        <v>83.508415038128859</v>
      </c>
    </row>
    <row r="10" spans="1:12">
      <c r="A10" s="5">
        <v>1981</v>
      </c>
      <c r="B10" s="8">
        <v>90.342679127725859</v>
      </c>
      <c r="C10" s="8">
        <v>82.475660639777473</v>
      </c>
      <c r="D10" s="8">
        <v>83.287671232876718</v>
      </c>
      <c r="E10" s="8">
        <v>83.554376657824932</v>
      </c>
      <c r="F10" s="8">
        <v>86.29399585921324</v>
      </c>
      <c r="G10" s="8"/>
      <c r="H10" s="8">
        <v>92.693354972138025</v>
      </c>
      <c r="I10" s="8">
        <v>84.621640204361356</v>
      </c>
      <c r="J10" s="8">
        <v>85.45477894757785</v>
      </c>
      <c r="K10" s="8">
        <v>85.728423927629521</v>
      </c>
      <c r="L10" s="8">
        <v>88.53932678743675</v>
      </c>
    </row>
    <row r="11" spans="1:12">
      <c r="A11" s="5">
        <v>1982</v>
      </c>
      <c r="B11" s="8">
        <v>89.776357827476033</v>
      </c>
      <c r="C11" s="8">
        <v>83.021582733812949</v>
      </c>
      <c r="D11" s="8">
        <v>83.931947069943291</v>
      </c>
      <c r="E11" s="8">
        <v>86.095890410958901</v>
      </c>
      <c r="F11" s="8">
        <v>85.275557425326042</v>
      </c>
      <c r="G11" s="8"/>
      <c r="H11" s="8">
        <v>90.720927578354676</v>
      </c>
      <c r="I11" s="8">
        <v>83.895083036321623</v>
      </c>
      <c r="J11" s="8">
        <v>84.81502564712244</v>
      </c>
      <c r="K11" s="8">
        <v>87.001736623983419</v>
      </c>
      <c r="L11" s="8">
        <v>86.172772616301685</v>
      </c>
    </row>
    <row r="12" spans="1:12">
      <c r="A12" s="5">
        <v>1983</v>
      </c>
      <c r="B12" s="8">
        <v>85.61643835616438</v>
      </c>
      <c r="C12" s="8">
        <v>81.039755351681947</v>
      </c>
      <c r="D12" s="8">
        <v>82.433758586849848</v>
      </c>
      <c r="E12" s="8">
        <v>82.365290412876135</v>
      </c>
      <c r="F12" s="8">
        <v>84.425531914893611</v>
      </c>
      <c r="G12" s="8"/>
      <c r="H12" s="8">
        <v>87.19242786740223</v>
      </c>
      <c r="I12" s="8">
        <v>82.531499307395535</v>
      </c>
      <c r="J12" s="8">
        <v>83.951162737257775</v>
      </c>
      <c r="K12" s="8">
        <v>83.881434231435321</v>
      </c>
      <c r="L12" s="8">
        <v>85.979599747347066</v>
      </c>
    </row>
    <row r="13" spans="1:12">
      <c r="A13" s="5">
        <v>1984</v>
      </c>
      <c r="B13" s="8">
        <v>94.039735099337747</v>
      </c>
      <c r="C13" s="8">
        <v>89.107413010590022</v>
      </c>
      <c r="D13" s="8">
        <v>89.278752436647167</v>
      </c>
      <c r="E13" s="8">
        <v>90.349650349650346</v>
      </c>
      <c r="F13" s="8">
        <v>87.340153452685428</v>
      </c>
      <c r="G13" s="8"/>
      <c r="H13" s="8">
        <v>96.465022984833581</v>
      </c>
      <c r="I13" s="8">
        <v>91.405496145917553</v>
      </c>
      <c r="J13" s="8">
        <v>91.581254421452371</v>
      </c>
      <c r="K13" s="8">
        <v>92.679770827130667</v>
      </c>
      <c r="L13" s="8">
        <v>89.592658905432458</v>
      </c>
    </row>
    <row r="14" spans="1:12">
      <c r="A14" s="5">
        <v>1985</v>
      </c>
      <c r="B14" s="8">
        <v>95.25316455696202</v>
      </c>
      <c r="C14" s="8">
        <v>92.421991084695392</v>
      </c>
      <c r="D14" s="8">
        <v>88.695652173913047</v>
      </c>
      <c r="E14" s="8">
        <v>88.352860096485188</v>
      </c>
      <c r="F14" s="8">
        <v>86.535234899328856</v>
      </c>
      <c r="G14" s="8"/>
      <c r="H14" s="8">
        <v>98.362489461795704</v>
      </c>
      <c r="I14" s="8">
        <v>95.438898711550252</v>
      </c>
      <c r="J14" s="8">
        <v>91.590921864295794</v>
      </c>
      <c r="K14" s="8">
        <v>91.236940111979109</v>
      </c>
      <c r="L14" s="8">
        <v>89.359982636263226</v>
      </c>
    </row>
    <row r="15" spans="1:12">
      <c r="A15" s="5">
        <v>1986</v>
      </c>
      <c r="B15" s="8">
        <v>95</v>
      </c>
      <c r="C15" s="8">
        <v>93.442622950819683</v>
      </c>
      <c r="D15" s="8">
        <v>91.279069767441854</v>
      </c>
      <c r="E15" s="8">
        <v>87.414030261348003</v>
      </c>
      <c r="F15" s="8">
        <v>82.402001668056712</v>
      </c>
      <c r="G15" s="8"/>
      <c r="H15" s="8">
        <v>97.536370631497931</v>
      </c>
      <c r="I15" s="8">
        <v>95.937413735899625</v>
      </c>
      <c r="J15" s="8">
        <v>93.716096628795469</v>
      </c>
      <c r="K15" s="8">
        <v>89.747865831198055</v>
      </c>
      <c r="L15" s="8">
        <v>84.602022899714655</v>
      </c>
    </row>
    <row r="16" spans="1:12">
      <c r="A16" s="5">
        <v>1987</v>
      </c>
      <c r="B16" s="8">
        <v>89.263803680981596</v>
      </c>
      <c r="C16" s="8">
        <v>85.884101040118864</v>
      </c>
      <c r="D16" s="8">
        <v>86.439024390243901</v>
      </c>
      <c r="E16" s="8">
        <v>87.716863289382374</v>
      </c>
      <c r="F16" s="8">
        <v>82.781734394637624</v>
      </c>
      <c r="G16" s="8"/>
      <c r="H16" s="8">
        <v>90.237559340717567</v>
      </c>
      <c r="I16" s="8">
        <v>86.820988401182206</v>
      </c>
      <c r="J16" s="8">
        <v>87.381965266064881</v>
      </c>
      <c r="K16" s="8">
        <v>88.673743778002205</v>
      </c>
      <c r="L16" s="8">
        <v>83.684778843400139</v>
      </c>
    </row>
    <row r="17" spans="1:12">
      <c r="A17" s="5">
        <v>1988</v>
      </c>
      <c r="B17" s="8">
        <v>97.280966767371595</v>
      </c>
      <c r="C17" s="8">
        <v>90.13062409288824</v>
      </c>
      <c r="D17" s="8">
        <v>88.095238095238088</v>
      </c>
      <c r="E17" s="8">
        <v>86.576271186440678</v>
      </c>
      <c r="F17" s="8">
        <v>82.583574081716876</v>
      </c>
      <c r="G17" s="8"/>
      <c r="H17" s="8">
        <v>97.884827780963803</v>
      </c>
      <c r="I17" s="8">
        <v>90.690100132539243</v>
      </c>
      <c r="J17" s="8">
        <v>88.642079697830795</v>
      </c>
      <c r="K17" s="8">
        <v>87.113683967264436</v>
      </c>
      <c r="L17" s="8">
        <v>83.096202629809994</v>
      </c>
    </row>
    <row r="18" spans="1:12">
      <c r="A18" s="5">
        <v>1989</v>
      </c>
      <c r="B18" s="8">
        <v>94.73684210526315</v>
      </c>
      <c r="C18" s="8">
        <v>89.816124469589823</v>
      </c>
      <c r="D18" s="8">
        <v>88.400374181478014</v>
      </c>
      <c r="E18" s="8">
        <v>86.836803223640018</v>
      </c>
      <c r="F18" s="8">
        <v>84.355952864689158</v>
      </c>
      <c r="G18" s="8"/>
      <c r="H18" s="8">
        <v>95.033822801517914</v>
      </c>
      <c r="I18" s="8">
        <v>90.097679718710793</v>
      </c>
      <c r="J18" s="8">
        <v>88.67749134192151</v>
      </c>
      <c r="K18" s="8">
        <v>87.109018907726664</v>
      </c>
      <c r="L18" s="8">
        <v>84.62039158840291</v>
      </c>
    </row>
    <row r="19" spans="1:12">
      <c r="A19" s="5">
        <v>1990</v>
      </c>
      <c r="B19" s="8">
        <v>98.4375</v>
      </c>
      <c r="C19" s="8">
        <v>92.042042042042041</v>
      </c>
      <c r="D19" s="8">
        <v>89.560975609756099</v>
      </c>
      <c r="E19" s="8">
        <v>88.174273858921154</v>
      </c>
      <c r="F19" s="8">
        <v>83.117965819091282</v>
      </c>
      <c r="G19" s="8"/>
      <c r="H19" s="8">
        <v>98.596681427523322</v>
      </c>
      <c r="I19" s="8">
        <v>92.19088149493767</v>
      </c>
      <c r="J19" s="8">
        <v>89.7058029768463</v>
      </c>
      <c r="K19" s="8">
        <v>88.316858816723766</v>
      </c>
      <c r="L19" s="8">
        <v>83.252374316380596</v>
      </c>
    </row>
    <row r="20" spans="1:12">
      <c r="A20" s="5">
        <v>1991</v>
      </c>
      <c r="B20" s="8">
        <v>97.712418300653596</v>
      </c>
      <c r="C20" s="8">
        <v>91.509433962264154</v>
      </c>
      <c r="D20" s="8">
        <v>89.825282631038021</v>
      </c>
      <c r="E20" s="8">
        <v>88.984881209503243</v>
      </c>
      <c r="F20" s="8">
        <v>84.65156049593844</v>
      </c>
      <c r="G20" s="8"/>
      <c r="H20" s="8">
        <v>98.674854849958777</v>
      </c>
      <c r="I20" s="8">
        <v>92.410773069239482</v>
      </c>
      <c r="J20" s="8">
        <v>90.710033377762713</v>
      </c>
      <c r="K20" s="8">
        <v>89.86135426687953</v>
      </c>
      <c r="L20" s="8">
        <v>85.48535170890716</v>
      </c>
    </row>
    <row r="21" spans="1:12">
      <c r="A21" s="5">
        <v>1992</v>
      </c>
      <c r="B21" s="8">
        <v>98</v>
      </c>
      <c r="C21" s="8">
        <v>90.236220472440948</v>
      </c>
      <c r="D21" s="8">
        <v>89.479060265577118</v>
      </c>
      <c r="E21" s="8">
        <v>88.626609442060087</v>
      </c>
      <c r="F21" s="8">
        <v>85.756929637526653</v>
      </c>
      <c r="G21" s="8"/>
      <c r="H21" s="8">
        <v>98.133528980190718</v>
      </c>
      <c r="I21" s="8">
        <v>90.359170987705767</v>
      </c>
      <c r="J21" s="8">
        <v>89.600979119308633</v>
      </c>
      <c r="K21" s="8">
        <v>88.747366796922961</v>
      </c>
      <c r="L21" s="8">
        <v>85.873776937106129</v>
      </c>
    </row>
    <row r="22" spans="1:12">
      <c r="A22" s="5">
        <v>1993</v>
      </c>
      <c r="B22" s="8">
        <v>95.348837209302332</v>
      </c>
      <c r="C22" s="8">
        <v>92.788461538461547</v>
      </c>
      <c r="D22" s="8">
        <v>92.984293193717278</v>
      </c>
      <c r="E22" s="8">
        <v>89.854014598540147</v>
      </c>
      <c r="F22" s="8">
        <v>85.325131810193326</v>
      </c>
      <c r="G22" s="8"/>
      <c r="H22" s="8">
        <v>94.916684512904538</v>
      </c>
      <c r="I22" s="8">
        <v>92.367913317611965</v>
      </c>
      <c r="J22" s="8">
        <v>92.562857398563338</v>
      </c>
      <c r="K22" s="8">
        <v>89.446766268854844</v>
      </c>
      <c r="L22" s="8">
        <v>84.938409886135361</v>
      </c>
    </row>
    <row r="23" spans="1:12">
      <c r="A23" s="5">
        <v>1994</v>
      </c>
      <c r="B23" s="8">
        <v>95.049504950495049</v>
      </c>
      <c r="C23" s="8">
        <v>92.60450160771704</v>
      </c>
      <c r="D23" s="8">
        <v>91.476091476091483</v>
      </c>
      <c r="E23" s="8">
        <v>88.226744186046517</v>
      </c>
      <c r="F23" s="8">
        <v>83.550913838120096</v>
      </c>
      <c r="G23" s="8"/>
      <c r="H23" s="8">
        <v>95.061629327994396</v>
      </c>
      <c r="I23" s="8">
        <v>92.616314104123163</v>
      </c>
      <c r="J23" s="8">
        <v>91.487760034131824</v>
      </c>
      <c r="K23" s="8">
        <v>88.237998262042041</v>
      </c>
      <c r="L23" s="8">
        <v>83.5615714719533</v>
      </c>
    </row>
    <row r="24" spans="1:12">
      <c r="A24" s="5">
        <v>1995</v>
      </c>
      <c r="B24" s="8">
        <v>99.009900990099013</v>
      </c>
      <c r="C24" s="8">
        <v>91.401273885350321</v>
      </c>
      <c r="D24" s="8">
        <v>90.218522372528625</v>
      </c>
      <c r="E24" s="8">
        <v>88.888888888888886</v>
      </c>
      <c r="F24" s="8">
        <v>84.692107545533389</v>
      </c>
      <c r="G24" s="8"/>
      <c r="H24" s="8">
        <v>98.34087259015854</v>
      </c>
      <c r="I24" s="8">
        <v>90.78365840034796</v>
      </c>
      <c r="J24" s="8">
        <v>89.608898960482961</v>
      </c>
      <c r="K24" s="8">
        <v>88.288250058720109</v>
      </c>
      <c r="L24" s="8">
        <v>84.119827151025774</v>
      </c>
    </row>
    <row r="25" spans="1:12">
      <c r="A25" s="5">
        <v>1996</v>
      </c>
      <c r="B25" s="8">
        <v>98.634812286689424</v>
      </c>
      <c r="C25" s="8">
        <v>92.635024549918171</v>
      </c>
      <c r="D25" s="8">
        <v>90.582010582010582</v>
      </c>
      <c r="E25" s="8">
        <v>88.694383661560906</v>
      </c>
      <c r="F25" s="8">
        <v>84.329632792485057</v>
      </c>
      <c r="G25" s="8"/>
      <c r="H25" s="8">
        <v>97.974890025607962</v>
      </c>
      <c r="I25" s="8">
        <v>92.015244236668991</v>
      </c>
      <c r="J25" s="8">
        <v>89.975966084629306</v>
      </c>
      <c r="K25" s="8">
        <v>88.100968447862954</v>
      </c>
      <c r="L25" s="8">
        <v>83.765420212175883</v>
      </c>
    </row>
    <row r="26" spans="1:12">
      <c r="A26" s="5">
        <v>1997</v>
      </c>
      <c r="B26" s="8">
        <v>95.053003533568898</v>
      </c>
      <c r="C26" s="8">
        <v>91.162029459901802</v>
      </c>
      <c r="D26" s="8">
        <v>90.476190476190482</v>
      </c>
      <c r="E26" s="8">
        <v>87.735849056603783</v>
      </c>
      <c r="F26" s="8">
        <v>81.844863731656176</v>
      </c>
      <c r="G26" s="8"/>
      <c r="H26" s="8">
        <v>94.529042204122504</v>
      </c>
      <c r="I26" s="8">
        <v>90.659516373779553</v>
      </c>
      <c r="J26" s="8">
        <v>89.977457945046325</v>
      </c>
      <c r="K26" s="8">
        <v>87.252222128438689</v>
      </c>
      <c r="L26" s="8">
        <v>81.393709722682104</v>
      </c>
    </row>
    <row r="27" spans="1:12">
      <c r="A27" s="5">
        <v>1998</v>
      </c>
      <c r="B27" s="8">
        <v>102.85714285714285</v>
      </c>
      <c r="C27" s="8">
        <v>90.506329113924053</v>
      </c>
      <c r="D27" s="8">
        <v>89.267285861713106</v>
      </c>
      <c r="E27" s="8">
        <v>87.806587245970576</v>
      </c>
      <c r="F27" s="8">
        <v>82.663514578408197</v>
      </c>
      <c r="G27" s="8"/>
      <c r="H27" s="8">
        <v>101.84387826194963</v>
      </c>
      <c r="I27" s="8">
        <v>89.614734652084721</v>
      </c>
      <c r="J27" s="8">
        <v>88.387897442395499</v>
      </c>
      <c r="K27" s="8">
        <v>86.941588436848889</v>
      </c>
      <c r="L27" s="8">
        <v>81.849181122219605</v>
      </c>
    </row>
    <row r="28" spans="1:12">
      <c r="A28" s="5">
        <v>1999</v>
      </c>
      <c r="B28" s="8">
        <v>103.47222222222223</v>
      </c>
      <c r="C28" s="8">
        <v>91.908396946564892</v>
      </c>
      <c r="D28" s="8">
        <v>89.812067260138477</v>
      </c>
      <c r="E28" s="8">
        <v>88.283378746594011</v>
      </c>
      <c r="F28" s="8">
        <v>80.965147453083105</v>
      </c>
      <c r="G28" s="8"/>
      <c r="H28" s="8">
        <v>102.35539651789661</v>
      </c>
      <c r="I28" s="8">
        <v>90.916385197432461</v>
      </c>
      <c r="J28" s="8">
        <v>88.842682210503355</v>
      </c>
      <c r="K28" s="8">
        <v>87.330493570926677</v>
      </c>
      <c r="L28" s="8">
        <v>80.091251484792053</v>
      </c>
    </row>
    <row r="29" spans="1:12">
      <c r="A29" s="5">
        <v>2000</v>
      </c>
      <c r="B29" s="8">
        <v>101.04529616724737</v>
      </c>
      <c r="C29" s="8">
        <v>90.963855421686745</v>
      </c>
      <c r="D29" s="8">
        <v>89.422135161606263</v>
      </c>
      <c r="E29" s="8">
        <v>87.014725568942438</v>
      </c>
      <c r="F29" s="8">
        <v>82.095588235294116</v>
      </c>
      <c r="G29" s="8"/>
      <c r="H29" s="8">
        <v>100.50583960562318</v>
      </c>
      <c r="I29" s="8">
        <v>90.47822125028857</v>
      </c>
      <c r="J29" s="8">
        <v>88.944731864301545</v>
      </c>
      <c r="K29" s="8">
        <v>86.550174853109013</v>
      </c>
      <c r="L29" s="8">
        <v>81.657299611936267</v>
      </c>
    </row>
    <row r="30" spans="1:12">
      <c r="A30" s="5">
        <v>2001</v>
      </c>
      <c r="B30" s="8">
        <v>95.792880258899672</v>
      </c>
      <c r="C30" s="8">
        <v>88.422575976845152</v>
      </c>
      <c r="D30" s="8">
        <v>88.741721854304629</v>
      </c>
      <c r="E30" s="8">
        <v>86.545924967658465</v>
      </c>
      <c r="F30" s="8">
        <v>81.943462897526501</v>
      </c>
      <c r="G30" s="8"/>
      <c r="H30" s="8">
        <v>94.604716081928771</v>
      </c>
      <c r="I30" s="8">
        <v>87.325829152579843</v>
      </c>
      <c r="J30" s="8">
        <v>87.64101651352118</v>
      </c>
      <c r="K30" s="8">
        <v>85.472455129070653</v>
      </c>
      <c r="L30" s="8">
        <v>80.927079562056861</v>
      </c>
    </row>
    <row r="31" spans="1:12">
      <c r="A31" s="5">
        <v>2002</v>
      </c>
      <c r="B31" s="8">
        <v>92.744479495268138</v>
      </c>
      <c r="C31" s="8">
        <v>85.549132947976886</v>
      </c>
      <c r="D31" s="8">
        <v>86.8495742667928</v>
      </c>
      <c r="E31" s="8">
        <v>86.774193548387103</v>
      </c>
      <c r="F31" s="8">
        <v>79.894179894179899</v>
      </c>
      <c r="G31" s="8"/>
      <c r="H31" s="8">
        <v>92.540346378257269</v>
      </c>
      <c r="I31" s="8">
        <v>85.360836984041484</v>
      </c>
      <c r="J31" s="8">
        <v>86.658415996212895</v>
      </c>
      <c r="K31" s="8">
        <v>86.583201192814698</v>
      </c>
      <c r="L31" s="8">
        <v>79.718330635425261</v>
      </c>
    </row>
    <row r="32" spans="1:12">
      <c r="A32" s="5">
        <v>2003</v>
      </c>
      <c r="B32" s="8">
        <v>92.405063291139243</v>
      </c>
      <c r="C32" s="8">
        <v>87.20930232558139</v>
      </c>
      <c r="D32" s="8">
        <v>87.038789025543991</v>
      </c>
      <c r="E32" s="8">
        <v>85.58500323206205</v>
      </c>
      <c r="F32" s="8">
        <v>81.607142857142861</v>
      </c>
      <c r="G32" s="8"/>
      <c r="H32" s="8">
        <v>92.739819323456516</v>
      </c>
      <c r="I32" s="8">
        <v>87.525235662867132</v>
      </c>
      <c r="J32" s="8">
        <v>87.354104643911029</v>
      </c>
      <c r="K32" s="8">
        <v>85.895052217338531</v>
      </c>
      <c r="L32" s="8">
        <v>81.902781238619156</v>
      </c>
    </row>
    <row r="33" spans="1:12">
      <c r="A33" s="5">
        <v>2004</v>
      </c>
      <c r="B33" s="8">
        <v>95.833333333333343</v>
      </c>
      <c r="C33" s="8">
        <v>87.338129496402885</v>
      </c>
      <c r="D33" s="8">
        <v>87.347703842549208</v>
      </c>
      <c r="E33" s="8">
        <v>85.778061224489804</v>
      </c>
      <c r="F33" s="8">
        <v>80.848105665623919</v>
      </c>
      <c r="G33" s="8"/>
      <c r="H33" s="8">
        <v>95.805061358040476</v>
      </c>
      <c r="I33" s="8">
        <v>87.312363707471619</v>
      </c>
      <c r="J33" s="8">
        <v>87.321935229071741</v>
      </c>
      <c r="K33" s="8">
        <v>85.752755674288679</v>
      </c>
      <c r="L33" s="8">
        <v>80.824254511058498</v>
      </c>
    </row>
    <row r="34" spans="1:12">
      <c r="A34" s="5">
        <v>2005</v>
      </c>
      <c r="B34" s="8">
        <v>91.34615384615384</v>
      </c>
      <c r="C34" s="8">
        <v>88.159771754636225</v>
      </c>
      <c r="D34" s="8">
        <v>86.593204775022954</v>
      </c>
      <c r="E34" s="8">
        <v>82.695924764890279</v>
      </c>
      <c r="F34" s="8">
        <v>79.242685025817565</v>
      </c>
      <c r="G34" s="8"/>
      <c r="H34" s="8">
        <v>91.485827821974695</v>
      </c>
      <c r="I34" s="8">
        <v>88.294573553179049</v>
      </c>
      <c r="J34" s="8">
        <v>86.72561119478712</v>
      </c>
      <c r="K34" s="8">
        <v>82.822372000047523</v>
      </c>
      <c r="L34" s="8">
        <v>79.363852041682463</v>
      </c>
    </row>
    <row r="35" spans="1:12">
      <c r="A35" s="5">
        <v>2006</v>
      </c>
      <c r="B35" s="8">
        <v>95.846645367412137</v>
      </c>
      <c r="C35" s="8">
        <v>88.79551820728291</v>
      </c>
      <c r="D35" s="8">
        <v>85.714285714285708</v>
      </c>
      <c r="E35" s="8">
        <v>82.385321100917423</v>
      </c>
      <c r="F35" s="8">
        <v>79.296346414073071</v>
      </c>
      <c r="G35" s="8"/>
      <c r="H35" s="8">
        <v>95.723343038151199</v>
      </c>
      <c r="I35" s="8">
        <v>88.681286830890755</v>
      </c>
      <c r="J35" s="8">
        <v>85.604018202689488</v>
      </c>
      <c r="K35" s="8">
        <v>82.279336150169158</v>
      </c>
      <c r="L35" s="8">
        <v>79.19433528809931</v>
      </c>
    </row>
    <row r="36" spans="1:12">
      <c r="A36" s="5">
        <v>2007</v>
      </c>
      <c r="B36" s="8">
        <v>100.61349693251533</v>
      </c>
      <c r="C36" s="8">
        <v>89.280868385345997</v>
      </c>
      <c r="D36" s="8">
        <v>86.62587412587412</v>
      </c>
      <c r="E36" s="8">
        <v>83.719548425430773</v>
      </c>
      <c r="F36" s="8">
        <v>79.185667752442995</v>
      </c>
      <c r="G36" s="8"/>
      <c r="H36" s="8">
        <v>100.21196847945528</v>
      </c>
      <c r="I36" s="8">
        <v>88.924566198625755</v>
      </c>
      <c r="J36" s="8">
        <v>86.280167493134115</v>
      </c>
      <c r="K36" s="8">
        <v>83.385440360459185</v>
      </c>
      <c r="L36" s="8">
        <v>78.869653503395568</v>
      </c>
    </row>
    <row r="37" spans="1:12">
      <c r="A37" s="5">
        <v>2008</v>
      </c>
      <c r="B37" s="8">
        <v>87.134502923976612</v>
      </c>
      <c r="C37" s="8">
        <v>90.37433155080214</v>
      </c>
      <c r="D37" s="8">
        <v>86.194995685936149</v>
      </c>
      <c r="E37" s="8">
        <v>84.133489461358309</v>
      </c>
      <c r="F37" s="8">
        <v>78.791773778920302</v>
      </c>
      <c r="G37" s="8"/>
      <c r="H37" s="8">
        <v>86.256929211237789</v>
      </c>
      <c r="I37" s="8">
        <v>89.464127957347046</v>
      </c>
      <c r="J37" s="8">
        <v>85.326884204889311</v>
      </c>
      <c r="K37" s="8">
        <v>83.286140406338234</v>
      </c>
      <c r="L37" s="8">
        <v>77.998223725518699</v>
      </c>
    </row>
    <row r="38" spans="1:12">
      <c r="A38" s="5">
        <v>2009</v>
      </c>
      <c r="B38" s="8">
        <v>91.641791044776127</v>
      </c>
      <c r="C38" s="8">
        <v>91.957104557640747</v>
      </c>
      <c r="D38" s="8">
        <v>87.413793103448285</v>
      </c>
      <c r="E38" s="8">
        <v>86.196854979615608</v>
      </c>
      <c r="F38" s="8">
        <v>82.245681381957766</v>
      </c>
      <c r="G38" s="8"/>
      <c r="H38" s="8">
        <v>90.72071367709826</v>
      </c>
      <c r="I38" s="8">
        <v>91.03285802295828</v>
      </c>
      <c r="J38" s="8">
        <v>86.535210684526305</v>
      </c>
      <c r="K38" s="8">
        <v>85.330503816226155</v>
      </c>
      <c r="L38" s="8">
        <v>81.419042848964111</v>
      </c>
    </row>
    <row r="39" spans="1:12">
      <c r="A39" s="5">
        <v>2010</v>
      </c>
      <c r="B39" s="8">
        <v>98.187311178247739</v>
      </c>
      <c r="C39" s="8">
        <v>90.266666666666666</v>
      </c>
      <c r="D39" s="8">
        <v>89.285714285714292</v>
      </c>
      <c r="E39" s="8">
        <v>88.135593220338976</v>
      </c>
      <c r="F39" s="8">
        <v>80.395913154533844</v>
      </c>
      <c r="G39" s="8"/>
      <c r="H39" s="8">
        <v>97.466625546148322</v>
      </c>
      <c r="I39" s="8">
        <v>89.604117820552759</v>
      </c>
      <c r="J39" s="8">
        <v>88.630365537843659</v>
      </c>
      <c r="K39" s="8">
        <v>87.488686252949392</v>
      </c>
      <c r="L39" s="8">
        <v>79.80581471111276</v>
      </c>
    </row>
    <row r="40" spans="1:12">
      <c r="A40" s="5">
        <v>2011</v>
      </c>
      <c r="B40" s="8">
        <v>103.04878048780488</v>
      </c>
      <c r="C40" s="8">
        <v>92.818428184281842</v>
      </c>
      <c r="D40" s="8">
        <v>90.069686411149831</v>
      </c>
      <c r="E40" s="8">
        <v>87.841768470040734</v>
      </c>
      <c r="F40" s="8">
        <v>83.959261616804582</v>
      </c>
      <c r="G40" s="8"/>
      <c r="H40" s="8">
        <v>102.90772376105639</v>
      </c>
      <c r="I40" s="8">
        <v>92.691375116796365</v>
      </c>
      <c r="J40" s="8">
        <v>89.946395916257245</v>
      </c>
      <c r="K40" s="8">
        <v>87.721527626107118</v>
      </c>
      <c r="L40" s="8">
        <v>83.844335282229594</v>
      </c>
    </row>
    <row r="41" spans="1:12">
      <c r="A41" s="5">
        <v>2012</v>
      </c>
      <c r="B41" s="8">
        <v>96.686746987951807</v>
      </c>
      <c r="C41" s="8">
        <v>91.755319148936167</v>
      </c>
      <c r="D41" s="8">
        <v>88.095238095238088</v>
      </c>
      <c r="E41" s="8">
        <v>86.138049058756422</v>
      </c>
      <c r="F41" s="8">
        <v>81.637099284158111</v>
      </c>
      <c r="G41" s="8"/>
      <c r="H41" s="8">
        <v>96.711752618299698</v>
      </c>
      <c r="I41" s="8">
        <v>91.779049387718288</v>
      </c>
      <c r="J41" s="8">
        <v>88.118021744785153</v>
      </c>
      <c r="K41" s="8">
        <v>86.160326529875803</v>
      </c>
      <c r="L41" s="8">
        <v>81.658212696191995</v>
      </c>
    </row>
    <row r="42" spans="1:12">
      <c r="A42" s="5">
        <v>2013</v>
      </c>
      <c r="B42" s="8">
        <v>100.29940119760479</v>
      </c>
      <c r="C42" s="8">
        <v>90.284974093264253</v>
      </c>
      <c r="D42" s="8">
        <v>87.952822240943547</v>
      </c>
      <c r="E42" s="8">
        <v>85.85972850678732</v>
      </c>
      <c r="F42" s="8">
        <v>79.067641681901279</v>
      </c>
      <c r="G42" s="8"/>
      <c r="H42" s="8">
        <v>100.24163401970247</v>
      </c>
      <c r="I42" s="8">
        <v>90.23297469847148</v>
      </c>
      <c r="J42" s="8">
        <v>87.90216604291308</v>
      </c>
      <c r="K42" s="8">
        <v>85.810277820620968</v>
      </c>
      <c r="L42" s="8">
        <v>79.02210288038485</v>
      </c>
    </row>
    <row r="43" spans="1:12">
      <c r="A43" s="5">
        <v>2014</v>
      </c>
      <c r="B43" s="8">
        <v>105.91715976331362</v>
      </c>
      <c r="C43" s="8">
        <v>91.343669250646002</v>
      </c>
      <c r="D43" s="8">
        <v>88.162251655629149</v>
      </c>
      <c r="E43" s="8">
        <v>86.120401337792643</v>
      </c>
      <c r="F43" s="8">
        <v>77.600979192166463</v>
      </c>
      <c r="G43" s="8"/>
      <c r="H43" s="8">
        <v>105.34638455101441</v>
      </c>
      <c r="I43" s="8">
        <v>90.851428877837364</v>
      </c>
      <c r="J43" s="8">
        <v>87.687155570934621</v>
      </c>
      <c r="K43" s="8">
        <v>85.656308546155159</v>
      </c>
      <c r="L43" s="8">
        <v>77.182796572164094</v>
      </c>
    </row>
    <row r="44" spans="1:12">
      <c r="A44" s="5">
        <v>2015</v>
      </c>
      <c r="B44" s="8">
        <v>95.136778115501514</v>
      </c>
      <c r="C44" s="8">
        <v>88.7434554973822</v>
      </c>
      <c r="D44" s="8">
        <v>90.066225165562912</v>
      </c>
      <c r="E44" s="8">
        <v>86.164914222468184</v>
      </c>
      <c r="F44" s="8">
        <v>75.949367088607602</v>
      </c>
      <c r="G44" s="8"/>
      <c r="H44" s="8">
        <v>94.027593896757395</v>
      </c>
      <c r="I44" s="8">
        <v>87.70880998694652</v>
      </c>
      <c r="J44" s="8">
        <v>89.016157698760395</v>
      </c>
      <c r="K44" s="8">
        <v>85.160331505267337</v>
      </c>
      <c r="L44" s="8">
        <v>75.06388577352655</v>
      </c>
    </row>
    <row r="45" spans="1:12">
      <c r="A45" s="5">
        <v>2016</v>
      </c>
      <c r="B45" s="8">
        <v>102.64705882352941</v>
      </c>
      <c r="C45" s="8">
        <v>92.347600518806743</v>
      </c>
      <c r="D45" s="8">
        <v>87.881286067600996</v>
      </c>
      <c r="E45" s="8">
        <v>84.492273730684332</v>
      </c>
      <c r="F45" s="8">
        <v>80.588776448942042</v>
      </c>
      <c r="G45" s="8"/>
      <c r="H45" s="8">
        <v>102.26159539041373</v>
      </c>
      <c r="I45" s="8">
        <v>92.000813932381789</v>
      </c>
      <c r="J45" s="8">
        <v>87.551271524344799</v>
      </c>
      <c r="K45" s="8">
        <v>84.174985712135538</v>
      </c>
      <c r="L45" s="8">
        <v>80.286146964993478</v>
      </c>
    </row>
    <row r="46" spans="1:12">
      <c r="A46" s="5">
        <v>2017</v>
      </c>
      <c r="B46" s="8">
        <v>102.85714285714285</v>
      </c>
      <c r="C46" s="8">
        <v>91.634980988593156</v>
      </c>
      <c r="D46" s="8">
        <v>89.24558587479936</v>
      </c>
      <c r="E46" s="8">
        <v>85.675529028757452</v>
      </c>
      <c r="F46" s="8">
        <v>79.846335697399525</v>
      </c>
      <c r="G46" s="8"/>
      <c r="H46" s="8">
        <v>103.26038800578449</v>
      </c>
      <c r="I46" s="8">
        <v>91.994230336796818</v>
      </c>
      <c r="J46" s="8">
        <v>89.595467745343612</v>
      </c>
      <c r="K46" s="8">
        <v>86.011414709406182</v>
      </c>
      <c r="L46" s="8">
        <v>80.159368381493309</v>
      </c>
    </row>
    <row r="47" spans="1:12">
      <c r="A47" s="5">
        <v>2018</v>
      </c>
      <c r="B47" s="8">
        <v>102.30547550432276</v>
      </c>
      <c r="C47" s="8">
        <v>92.019950124688279</v>
      </c>
      <c r="D47" s="8">
        <v>88.862370723945901</v>
      </c>
      <c r="E47" s="8">
        <v>85.484734868773444</v>
      </c>
      <c r="F47" s="8">
        <v>82.377291543465404</v>
      </c>
      <c r="G47" s="8"/>
      <c r="H47" s="8">
        <v>102.53943015235471</v>
      </c>
      <c r="I47" s="8">
        <v>92.230383583280911</v>
      </c>
      <c r="J47" s="8">
        <v>89.065583353216454</v>
      </c>
      <c r="K47" s="8">
        <v>85.68022343827316</v>
      </c>
      <c r="L47" s="8">
        <v>82.565673936038948</v>
      </c>
    </row>
    <row r="48" spans="1:12">
      <c r="A48" s="5">
        <v>2019</v>
      </c>
      <c r="B48" s="8">
        <v>100</v>
      </c>
      <c r="C48" s="8">
        <v>92.231812577065355</v>
      </c>
      <c r="D48" s="8">
        <v>89.090909090909093</v>
      </c>
      <c r="E48" s="8">
        <v>83.226495726495727</v>
      </c>
      <c r="F48" s="8">
        <v>80.434782608695656</v>
      </c>
      <c r="G48" s="8"/>
      <c r="H48" s="8">
        <v>100</v>
      </c>
      <c r="I48" s="8">
        <v>92.231812577065355</v>
      </c>
      <c r="J48" s="8">
        <v>89.090909090909093</v>
      </c>
      <c r="K48" s="8">
        <v>83.226495726495727</v>
      </c>
      <c r="L48" s="8">
        <v>80.434782608695656</v>
      </c>
    </row>
    <row r="50" spans="1:12">
      <c r="A50" s="5" t="s">
        <v>22</v>
      </c>
      <c r="B50" s="8">
        <f>B48-B5</f>
        <v>16.610169491525426</v>
      </c>
      <c r="C50" s="8">
        <f t="shared" ref="C50:F50" si="0">C48-C5</f>
        <v>4.2318125770653552</v>
      </c>
      <c r="D50" s="8">
        <f t="shared" si="0"/>
        <v>1.9585561497326154</v>
      </c>
      <c r="E50" s="8">
        <f t="shared" si="0"/>
        <v>-1.7934776423458061</v>
      </c>
      <c r="F50" s="8">
        <f t="shared" si="0"/>
        <v>1.0454696315964185</v>
      </c>
      <c r="G50" s="5" t="s">
        <v>121</v>
      </c>
      <c r="H50" s="8">
        <f>H48-H8</f>
        <v>-1.8426229028695786</v>
      </c>
      <c r="I50" s="8">
        <f t="shared" ref="I50:L50" si="1">I48-I8</f>
        <v>1.2925833096219179</v>
      </c>
      <c r="J50" s="8">
        <f t="shared" si="1"/>
        <v>-2.1038164842222926</v>
      </c>
      <c r="K50" s="8">
        <f t="shared" si="1"/>
        <v>-4.9032725583064689</v>
      </c>
      <c r="L50" s="8">
        <f t="shared" si="1"/>
        <v>-6.6081319272391852</v>
      </c>
    </row>
    <row r="51" spans="1:12">
      <c r="A51" s="5" t="s">
        <v>23</v>
      </c>
      <c r="B51" s="8">
        <f>B29-B5</f>
        <v>17.655465658772798</v>
      </c>
      <c r="C51" s="8">
        <f t="shared" ref="C51:F51" si="2">C29-C5</f>
        <v>2.9638554216867448</v>
      </c>
      <c r="D51" s="8">
        <f t="shared" si="2"/>
        <v>2.2897822204297853</v>
      </c>
      <c r="E51" s="8">
        <f t="shared" si="2"/>
        <v>1.9947522001009048</v>
      </c>
      <c r="F51" s="8">
        <f t="shared" si="2"/>
        <v>2.7062752581948786</v>
      </c>
      <c r="G51" s="5" t="s">
        <v>122</v>
      </c>
      <c r="H51" s="8">
        <f>H29-H8</f>
        <v>-1.3367832972463987</v>
      </c>
      <c r="I51" s="8">
        <f t="shared" ref="I51:L51" si="3">I29-I8</f>
        <v>-0.46100801715486739</v>
      </c>
      <c r="J51" s="8">
        <f t="shared" si="3"/>
        <v>-2.2499937108298411</v>
      </c>
      <c r="K51" s="8">
        <f t="shared" si="3"/>
        <v>-1.5795934316931834</v>
      </c>
      <c r="L51" s="8">
        <f t="shared" si="3"/>
        <v>-5.385614923998574</v>
      </c>
    </row>
    <row r="52" spans="1:12">
      <c r="A52" s="5" t="s">
        <v>24</v>
      </c>
      <c r="B52" s="8">
        <f>B48-B29</f>
        <v>-1.045296167247372</v>
      </c>
      <c r="C52" s="8">
        <f t="shared" ref="C52:F52" si="4">C48-C29</f>
        <v>1.2679571553786104</v>
      </c>
      <c r="D52" s="8">
        <f t="shared" si="4"/>
        <v>-0.33122607069716992</v>
      </c>
      <c r="E52" s="8">
        <f t="shared" si="4"/>
        <v>-3.7882298424467109</v>
      </c>
      <c r="F52" s="8">
        <f t="shared" si="4"/>
        <v>-1.6608056265984601</v>
      </c>
      <c r="G52" s="5" t="s">
        <v>24</v>
      </c>
      <c r="H52" s="8">
        <f>H48-H29</f>
        <v>-0.50583960562317998</v>
      </c>
      <c r="I52" s="8">
        <f t="shared" ref="I52:L52" si="5">I48-I29</f>
        <v>1.7535913267767853</v>
      </c>
      <c r="J52" s="8">
        <f t="shared" si="5"/>
        <v>0.1461772266075485</v>
      </c>
      <c r="K52" s="8">
        <f t="shared" si="5"/>
        <v>-3.3236791266132855</v>
      </c>
      <c r="L52" s="8">
        <f t="shared" si="5"/>
        <v>-1.2225170032406112</v>
      </c>
    </row>
    <row r="53" spans="1:12">
      <c r="B53" s="27"/>
      <c r="C53" s="27"/>
      <c r="D53" s="27"/>
      <c r="E53" s="27"/>
      <c r="F53" s="27"/>
    </row>
    <row r="55" spans="1:12">
      <c r="A55" s="5" t="s">
        <v>117</v>
      </c>
      <c r="B55" s="5" t="s">
        <v>123</v>
      </c>
    </row>
    <row r="56" spans="1:12">
      <c r="B56" s="5" t="s">
        <v>124</v>
      </c>
    </row>
    <row r="59" spans="1:12">
      <c r="B59" s="174"/>
      <c r="C59" s="174"/>
      <c r="D59" s="174"/>
    </row>
    <row r="60" spans="1:12">
      <c r="B60" s="8"/>
      <c r="C60" s="8"/>
      <c r="D60" s="8"/>
    </row>
    <row r="61" spans="1:12">
      <c r="B61" s="8"/>
      <c r="C61" s="8"/>
      <c r="D61" s="8"/>
    </row>
    <row r="62" spans="1:12">
      <c r="B62" s="8"/>
      <c r="C62" s="8"/>
      <c r="D62" s="8"/>
    </row>
    <row r="63" spans="1:12">
      <c r="B63" s="8"/>
      <c r="C63" s="8"/>
      <c r="D63" s="8"/>
    </row>
    <row r="64" spans="1:12">
      <c r="B64" s="8"/>
      <c r="C64" s="8"/>
      <c r="D64" s="8"/>
    </row>
  </sheetData>
  <mergeCells count="2">
    <mergeCell ref="H3:L3"/>
    <mergeCell ref="B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46703-8778-994F-B52C-F9C810F7C807}">
  <sheetPr codeName="Sheet24"/>
  <dimension ref="A1:I35"/>
  <sheetViews>
    <sheetView zoomScale="118" workbookViewId="0"/>
  </sheetViews>
  <sheetFormatPr baseColWidth="10" defaultColWidth="10.83203125" defaultRowHeight="16"/>
  <cols>
    <col min="1" max="1" width="10.83203125" style="5"/>
    <col min="2" max="9" width="14.83203125" style="5" customWidth="1"/>
    <col min="10" max="16384" width="10.83203125" style="5"/>
  </cols>
  <sheetData>
    <row r="1" spans="1:9">
      <c r="A1" s="19" t="s">
        <v>626</v>
      </c>
    </row>
    <row r="3" spans="1:9">
      <c r="B3" s="328" t="s">
        <v>125</v>
      </c>
      <c r="C3" s="328"/>
      <c r="D3" s="328"/>
      <c r="E3" s="328"/>
      <c r="F3" s="328"/>
    </row>
    <row r="4" spans="1:9" ht="34">
      <c r="B4" s="137" t="s">
        <v>103</v>
      </c>
      <c r="C4" s="137" t="s">
        <v>104</v>
      </c>
      <c r="D4" s="137" t="s">
        <v>105</v>
      </c>
      <c r="E4" s="137" t="s">
        <v>106</v>
      </c>
      <c r="F4" s="137" t="s">
        <v>107</v>
      </c>
      <c r="G4" s="137" t="s">
        <v>126</v>
      </c>
      <c r="H4" s="137" t="s">
        <v>127</v>
      </c>
      <c r="I4" s="137" t="s">
        <v>128</v>
      </c>
    </row>
    <row r="5" spans="1:9" ht="17">
      <c r="B5" s="137" t="s">
        <v>109</v>
      </c>
      <c r="C5" s="137" t="s">
        <v>110</v>
      </c>
      <c r="D5" s="137" t="s">
        <v>111</v>
      </c>
      <c r="E5" s="137" t="s">
        <v>112</v>
      </c>
      <c r="F5" s="137" t="s">
        <v>113</v>
      </c>
      <c r="G5" s="137" t="s">
        <v>114</v>
      </c>
      <c r="H5" s="137" t="s">
        <v>129</v>
      </c>
      <c r="I5" s="137" t="s">
        <v>130</v>
      </c>
    </row>
    <row r="6" spans="1:9">
      <c r="A6" s="5">
        <v>2000</v>
      </c>
      <c r="B6" s="58">
        <v>100</v>
      </c>
      <c r="C6" s="58">
        <v>100</v>
      </c>
      <c r="D6" s="58">
        <v>100</v>
      </c>
      <c r="E6" s="58">
        <v>100</v>
      </c>
      <c r="F6" s="58">
        <v>100</v>
      </c>
      <c r="G6" s="8">
        <v>99.999999999999986</v>
      </c>
      <c r="H6" s="8">
        <v>99.999999999999986</v>
      </c>
      <c r="I6" s="8">
        <v>100</v>
      </c>
    </row>
    <row r="7" spans="1:9">
      <c r="A7" s="5">
        <v>2001</v>
      </c>
      <c r="B7" s="58">
        <v>103.8935421878966</v>
      </c>
      <c r="C7" s="58">
        <v>102.96724953168852</v>
      </c>
      <c r="D7" s="58">
        <v>104.57476594073457</v>
      </c>
      <c r="E7" s="58">
        <v>104.76292162096578</v>
      </c>
      <c r="F7" s="58">
        <v>105.70775900918403</v>
      </c>
      <c r="G7" s="8">
        <v>100.07473043663929</v>
      </c>
      <c r="H7" s="8">
        <v>101.12820512820511</v>
      </c>
      <c r="I7" s="8">
        <v>101.95473251028805</v>
      </c>
    </row>
    <row r="8" spans="1:9">
      <c r="A8" s="5">
        <v>2002</v>
      </c>
      <c r="B8" s="58">
        <v>106.60284999456108</v>
      </c>
      <c r="C8" s="58">
        <v>103.06334914102273</v>
      </c>
      <c r="D8" s="58">
        <v>105.7283334657817</v>
      </c>
      <c r="E8" s="58">
        <v>108.79236431286907</v>
      </c>
      <c r="F8" s="58">
        <v>106.65935826383996</v>
      </c>
      <c r="G8" s="8">
        <v>102.17785843920147</v>
      </c>
      <c r="H8" s="8">
        <v>102.56410256410255</v>
      </c>
      <c r="I8" s="8">
        <v>102.88065843621399</v>
      </c>
    </row>
    <row r="9" spans="1:9">
      <c r="A9" s="5">
        <v>2003</v>
      </c>
      <c r="B9" s="58">
        <v>109.47750099713551</v>
      </c>
      <c r="C9" s="58">
        <v>108.00760440386907</v>
      </c>
      <c r="D9" s="58">
        <v>109.56127348510765</v>
      </c>
      <c r="E9" s="58">
        <v>110.73493488635447</v>
      </c>
      <c r="F9" s="58">
        <v>111.25960228538281</v>
      </c>
      <c r="G9" s="8">
        <v>105.12437279812109</v>
      </c>
      <c r="H9" s="8">
        <v>103.7948717948718</v>
      </c>
      <c r="I9" s="8">
        <v>104.42386831275719</v>
      </c>
    </row>
    <row r="10" spans="1:9">
      <c r="A10" s="5">
        <v>2004</v>
      </c>
      <c r="B10" s="58">
        <v>113.72819899198664</v>
      </c>
      <c r="C10" s="58">
        <v>110.85281439544295</v>
      </c>
      <c r="D10" s="58">
        <v>112.60044479610443</v>
      </c>
      <c r="E10" s="58">
        <v>114.12319016419966</v>
      </c>
      <c r="F10" s="58">
        <v>114.8989231878387</v>
      </c>
      <c r="G10" s="8">
        <v>107.27020390733425</v>
      </c>
      <c r="H10" s="8">
        <v>104.92307692307691</v>
      </c>
      <c r="I10" s="8">
        <v>106.37860082304528</v>
      </c>
    </row>
    <row r="11" spans="1:9">
      <c r="A11" s="5">
        <v>2005</v>
      </c>
      <c r="B11" s="58">
        <v>110.98662025454151</v>
      </c>
      <c r="C11" s="58">
        <v>115.55142373660352</v>
      </c>
      <c r="D11" s="58">
        <v>116.64461113740883</v>
      </c>
      <c r="E11" s="58">
        <v>114.584324193157</v>
      </c>
      <c r="F11" s="58">
        <v>116.42342211253343</v>
      </c>
      <c r="G11" s="8">
        <v>111.58321767908619</v>
      </c>
      <c r="H11" s="8">
        <v>105.84615384615384</v>
      </c>
      <c r="I11" s="8">
        <v>109.25925925925927</v>
      </c>
    </row>
    <row r="12" spans="1:9">
      <c r="A12" s="5">
        <v>2006</v>
      </c>
      <c r="B12" s="58">
        <v>118.78603285108235</v>
      </c>
      <c r="C12" s="58">
        <v>120.52980132450332</v>
      </c>
      <c r="D12" s="58">
        <v>119.98300054246238</v>
      </c>
      <c r="E12" s="58">
        <v>118.97791798107258</v>
      </c>
      <c r="F12" s="58">
        <v>120.53439870257017</v>
      </c>
      <c r="G12" s="8">
        <v>115.30906373438667</v>
      </c>
      <c r="H12" s="8">
        <v>106.76923076923076</v>
      </c>
      <c r="I12" s="8">
        <v>112.34567901234568</v>
      </c>
    </row>
    <row r="13" spans="1:9">
      <c r="A13" s="5">
        <v>2007</v>
      </c>
      <c r="B13" s="58">
        <v>132.37028173610358</v>
      </c>
      <c r="C13" s="58">
        <v>127.49806756220362</v>
      </c>
      <c r="D13" s="58">
        <v>127.03328369399595</v>
      </c>
      <c r="E13" s="58">
        <v>126.84760980344578</v>
      </c>
      <c r="F13" s="58">
        <v>127.41216142717286</v>
      </c>
      <c r="G13" s="8">
        <v>116.35528984733641</v>
      </c>
      <c r="H13" s="8">
        <v>107.48717948717947</v>
      </c>
      <c r="I13" s="8">
        <v>114.81481481481481</v>
      </c>
    </row>
    <row r="14" spans="1:9">
      <c r="A14" s="5">
        <v>2008</v>
      </c>
      <c r="B14" s="58">
        <v>122.31625512165054</v>
      </c>
      <c r="C14" s="58">
        <v>133.22191349642415</v>
      </c>
      <c r="D14" s="58">
        <v>130.24486820237649</v>
      </c>
      <c r="E14" s="58">
        <v>131.57680174714875</v>
      </c>
      <c r="F14" s="58">
        <v>130.70664061635455</v>
      </c>
      <c r="G14" s="8">
        <v>119.26977687626777</v>
      </c>
      <c r="H14" s="8">
        <v>108.61538461538461</v>
      </c>
      <c r="I14" s="8">
        <v>118.10699588477365</v>
      </c>
    </row>
    <row r="15" spans="1:9">
      <c r="A15" s="5">
        <v>2009</v>
      </c>
      <c r="B15" s="58">
        <v>126.34431995358786</v>
      </c>
      <c r="C15" s="58">
        <v>135.55093627481702</v>
      </c>
      <c r="D15" s="58">
        <v>132.5508515277053</v>
      </c>
      <c r="E15" s="58">
        <v>135.87316994257057</v>
      </c>
      <c r="F15" s="58">
        <v>137.41327746549112</v>
      </c>
      <c r="G15" s="8">
        <v>123.15575958150956</v>
      </c>
      <c r="H15" s="8">
        <v>109.94871794871794</v>
      </c>
      <c r="I15" s="8">
        <v>120.98765432098764</v>
      </c>
    </row>
    <row r="16" spans="1:9">
      <c r="A16" s="5">
        <v>2010</v>
      </c>
      <c r="B16" s="58">
        <v>136.58036912143299</v>
      </c>
      <c r="C16" s="58">
        <v>136.60124233118157</v>
      </c>
      <c r="D16" s="58">
        <v>136.82202282027453</v>
      </c>
      <c r="E16" s="58">
        <v>141.37118822292328</v>
      </c>
      <c r="F16" s="58">
        <v>137.42632145764969</v>
      </c>
      <c r="G16" s="8">
        <v>125.03469627415393</v>
      </c>
      <c r="H16" s="8">
        <v>111.28205128205127</v>
      </c>
      <c r="I16" s="8">
        <v>121.39917695473251</v>
      </c>
    </row>
    <row r="17" spans="1:9">
      <c r="A17" s="5">
        <v>2011</v>
      </c>
      <c r="B17" s="58">
        <v>147.0684216251496</v>
      </c>
      <c r="C17" s="58">
        <v>143.10485303027141</v>
      </c>
      <c r="D17" s="58">
        <v>142.90600889361866</v>
      </c>
      <c r="E17" s="58">
        <v>146.56636738655669</v>
      </c>
      <c r="F17" s="58">
        <v>149.06881435762108</v>
      </c>
      <c r="G17" s="8">
        <v>125.80335219387212</v>
      </c>
      <c r="H17" s="8">
        <v>112.71794871794872</v>
      </c>
      <c r="I17" s="8">
        <v>121.70781893004114</v>
      </c>
    </row>
    <row r="18" spans="1:9">
      <c r="A18" s="5">
        <v>2012</v>
      </c>
      <c r="B18" s="58">
        <v>141.99934732948986</v>
      </c>
      <c r="C18" s="58">
        <v>146.55190423465024</v>
      </c>
      <c r="D18" s="58">
        <v>145.5687965512754</v>
      </c>
      <c r="E18" s="58">
        <v>149.00914017633261</v>
      </c>
      <c r="F18" s="58">
        <v>150.69154349041224</v>
      </c>
      <c r="G18" s="8">
        <v>125.65389132059356</v>
      </c>
      <c r="H18" s="8">
        <v>113.74358974358974</v>
      </c>
      <c r="I18" s="8">
        <v>121.91358024691358</v>
      </c>
    </row>
    <row r="19" spans="1:9">
      <c r="A19" s="5">
        <v>2013</v>
      </c>
      <c r="B19" s="58">
        <v>149.40715761992823</v>
      </c>
      <c r="C19" s="58">
        <v>149.25209434474692</v>
      </c>
      <c r="D19" s="58">
        <v>147.89528057742876</v>
      </c>
      <c r="E19" s="58">
        <v>151.02644989080321</v>
      </c>
      <c r="F19" s="58">
        <v>150.30493274809606</v>
      </c>
      <c r="G19" s="8">
        <v>126.00619195046443</v>
      </c>
      <c r="H19" s="8">
        <v>114.76923076923076</v>
      </c>
      <c r="I19" s="8">
        <v>122.73662551440329</v>
      </c>
    </row>
    <row r="20" spans="1:9">
      <c r="A20" s="5">
        <v>2014</v>
      </c>
      <c r="B20" s="58">
        <v>162.00152289785709</v>
      </c>
      <c r="C20" s="58">
        <v>153.60895815488755</v>
      </c>
      <c r="D20" s="58">
        <v>153.07804202182984</v>
      </c>
      <c r="E20" s="58">
        <v>155.96214511041012</v>
      </c>
      <c r="F20" s="58">
        <v>149.03716972682494</v>
      </c>
      <c r="G20" s="8">
        <v>125.87808263051137</v>
      </c>
      <c r="H20" s="8">
        <v>115.69230769230768</v>
      </c>
      <c r="I20" s="8">
        <v>124.79423868312756</v>
      </c>
    </row>
    <row r="21" spans="1:9">
      <c r="A21" s="5">
        <v>2015</v>
      </c>
      <c r="B21" s="58">
        <v>142.31915587947356</v>
      </c>
      <c r="C21" s="58">
        <v>148.01637871602568</v>
      </c>
      <c r="D21" s="58">
        <v>157.13579871536624</v>
      </c>
      <c r="E21" s="58">
        <v>157.92914341179326</v>
      </c>
      <c r="F21" s="58">
        <v>148.80887631893839</v>
      </c>
      <c r="G21" s="8">
        <v>125.71794598057008</v>
      </c>
      <c r="H21" s="8">
        <v>116.30769230769231</v>
      </c>
      <c r="I21" s="8">
        <v>126.23456790123457</v>
      </c>
    </row>
    <row r="22" spans="1:9">
      <c r="A22" s="5">
        <v>2016</v>
      </c>
      <c r="B22" s="58">
        <v>162.23140795532834</v>
      </c>
      <c r="C22" s="58">
        <v>158.90975689584337</v>
      </c>
      <c r="D22" s="58">
        <v>157.3960885123517</v>
      </c>
      <c r="E22" s="58">
        <v>158.75936261425224</v>
      </c>
      <c r="F22" s="58">
        <v>158.6514866619294</v>
      </c>
      <c r="G22" s="8">
        <v>126.63606277356676</v>
      </c>
      <c r="H22" s="8">
        <v>117.33333333333333</v>
      </c>
      <c r="I22" s="8">
        <v>128.90946502057614</v>
      </c>
    </row>
    <row r="23" spans="1:9">
      <c r="A23" s="5">
        <v>2017</v>
      </c>
      <c r="B23" s="58">
        <v>171.26074186881326</v>
      </c>
      <c r="C23" s="58">
        <v>165.14091127499114</v>
      </c>
      <c r="D23" s="58">
        <v>168.03019361645033</v>
      </c>
      <c r="E23" s="58">
        <v>167.56838954946213</v>
      </c>
      <c r="F23" s="58">
        <v>166.93597566000483</v>
      </c>
      <c r="G23" s="8">
        <v>128.58972990285045</v>
      </c>
      <c r="H23" s="8">
        <v>118.15384615384615</v>
      </c>
      <c r="I23" s="8">
        <v>130.8641975308642</v>
      </c>
    </row>
    <row r="24" spans="1:9">
      <c r="A24" s="5">
        <v>2018</v>
      </c>
      <c r="B24" s="58">
        <v>172.48631204902281</v>
      </c>
      <c r="C24" s="58">
        <v>172.16453924415572</v>
      </c>
      <c r="D24" s="58">
        <v>172.38785943890275</v>
      </c>
      <c r="E24" s="58">
        <v>172.98713904392139</v>
      </c>
      <c r="F24" s="58">
        <v>175.79910933549573</v>
      </c>
      <c r="G24" s="8">
        <v>129.46514358919615</v>
      </c>
      <c r="H24" s="8">
        <v>119.48717948717947</v>
      </c>
      <c r="I24" s="8">
        <v>133.1275720164609</v>
      </c>
    </row>
    <row r="25" spans="1:9">
      <c r="A25" s="5">
        <v>2019</v>
      </c>
      <c r="B25" s="58">
        <v>181.37749737118827</v>
      </c>
      <c r="C25" s="58">
        <v>177.49249657035818</v>
      </c>
      <c r="D25" s="58">
        <v>176.91655638902043</v>
      </c>
      <c r="E25" s="58">
        <v>171.76688506026051</v>
      </c>
      <c r="F25" s="58">
        <v>175.73572589345466</v>
      </c>
      <c r="G25" s="8">
        <v>130.16974484893777</v>
      </c>
      <c r="H25" s="8">
        <v>121.02564102564102</v>
      </c>
      <c r="I25" s="8">
        <v>136.31687242798353</v>
      </c>
    </row>
    <row r="27" spans="1:9">
      <c r="G27" s="79"/>
    </row>
    <row r="28" spans="1:9">
      <c r="A28" s="5" t="s">
        <v>117</v>
      </c>
      <c r="B28" s="5" t="s">
        <v>627</v>
      </c>
    </row>
    <row r="29" spans="1:9">
      <c r="B29" s="5" t="s">
        <v>628</v>
      </c>
    </row>
    <row r="30" spans="1:9">
      <c r="B30" s="5" t="s">
        <v>629</v>
      </c>
    </row>
    <row r="35" spans="2:2">
      <c r="B35" s="25"/>
    </row>
  </sheetData>
  <mergeCells count="1">
    <mergeCell ref="B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E516-D196-244E-B053-D76D86F2AE68}">
  <sheetPr codeName="Sheet25"/>
  <dimension ref="A1:M55"/>
  <sheetViews>
    <sheetView zoomScale="81" workbookViewId="0">
      <selection activeCell="A55" sqref="A55"/>
    </sheetView>
  </sheetViews>
  <sheetFormatPr baseColWidth="10" defaultColWidth="11" defaultRowHeight="16"/>
  <cols>
    <col min="1" max="1" width="19.1640625" style="5" customWidth="1"/>
    <col min="2" max="6" width="13.83203125" style="5" customWidth="1"/>
    <col min="7" max="8" width="11" style="5"/>
    <col min="9" max="13" width="13.83203125" style="5" customWidth="1"/>
    <col min="14" max="16384" width="11" style="5"/>
  </cols>
  <sheetData>
    <row r="1" spans="1:13">
      <c r="A1" s="3" t="s">
        <v>630</v>
      </c>
    </row>
    <row r="2" spans="1:13">
      <c r="A2" s="6" t="s">
        <v>3</v>
      </c>
    </row>
    <row r="3" spans="1:13">
      <c r="A3" s="6"/>
      <c r="H3" s="135"/>
      <c r="I3" s="22" t="s">
        <v>131</v>
      </c>
      <c r="J3" s="135"/>
      <c r="K3" s="135"/>
      <c r="L3" s="135"/>
      <c r="M3" s="135"/>
    </row>
    <row r="4" spans="1:13">
      <c r="A4" s="6"/>
      <c r="B4" s="328" t="s">
        <v>71</v>
      </c>
      <c r="C4" s="328"/>
      <c r="D4" s="328"/>
      <c r="E4" s="328"/>
      <c r="F4" s="328"/>
      <c r="H4" s="135"/>
      <c r="I4" s="328" t="s">
        <v>77</v>
      </c>
      <c r="J4" s="328"/>
      <c r="K4" s="328"/>
      <c r="L4" s="328"/>
      <c r="M4" s="328"/>
    </row>
    <row r="5" spans="1:13">
      <c r="A5" s="6"/>
      <c r="B5" s="135" t="s">
        <v>103</v>
      </c>
      <c r="C5" s="135" t="s">
        <v>104</v>
      </c>
      <c r="D5" s="135" t="s">
        <v>105</v>
      </c>
      <c r="E5" s="135" t="s">
        <v>106</v>
      </c>
      <c r="F5" s="135" t="s">
        <v>107</v>
      </c>
      <c r="H5" s="135"/>
      <c r="I5" s="135" t="s">
        <v>103</v>
      </c>
      <c r="J5" s="135" t="s">
        <v>104</v>
      </c>
      <c r="K5" s="135" t="s">
        <v>105</v>
      </c>
      <c r="L5" s="135" t="s">
        <v>106</v>
      </c>
      <c r="M5" s="135" t="s">
        <v>107</v>
      </c>
    </row>
    <row r="6" spans="1:13">
      <c r="A6" s="6">
        <v>1976</v>
      </c>
      <c r="B6" s="20">
        <v>21550</v>
      </c>
      <c r="C6" s="20">
        <v>40000</v>
      </c>
      <c r="D6" s="20">
        <v>54800</v>
      </c>
      <c r="E6" s="20">
        <v>69550</v>
      </c>
      <c r="F6" s="20">
        <v>104350</v>
      </c>
      <c r="H6" s="80">
        <v>1976</v>
      </c>
      <c r="I6" s="8">
        <f>(B6/$B$6)*100</f>
        <v>100</v>
      </c>
      <c r="J6" s="8">
        <f t="shared" ref="J6:J49" si="0">(C6/$C$6)*100</f>
        <v>100</v>
      </c>
      <c r="K6" s="8">
        <f t="shared" ref="K6:K49" si="1">(D6/$D$6)*100</f>
        <v>100</v>
      </c>
      <c r="L6" s="8">
        <f t="shared" ref="L6:L49" si="2">(E6/$E$6)*100</f>
        <v>100</v>
      </c>
      <c r="M6" s="8">
        <f t="shared" ref="M6:M49" si="3">(F6/$F$6)*100</f>
        <v>100</v>
      </c>
    </row>
    <row r="7" spans="1:13">
      <c r="A7" s="6">
        <v>1977</v>
      </c>
      <c r="B7" s="20">
        <v>21950</v>
      </c>
      <c r="C7" s="20">
        <v>41000</v>
      </c>
      <c r="D7" s="20">
        <v>55350</v>
      </c>
      <c r="E7" s="20">
        <v>72700</v>
      </c>
      <c r="F7" s="20">
        <v>112000</v>
      </c>
      <c r="H7" s="80">
        <v>1977</v>
      </c>
      <c r="I7" s="8">
        <f t="shared" ref="I7:I49" si="4">(B7/$B$6)*100</f>
        <v>101.85614849187937</v>
      </c>
      <c r="J7" s="8">
        <f t="shared" si="0"/>
        <v>102.49999999999999</v>
      </c>
      <c r="K7" s="8">
        <f t="shared" si="1"/>
        <v>101.0036496350365</v>
      </c>
      <c r="L7" s="8">
        <f t="shared" si="2"/>
        <v>104.52911574406902</v>
      </c>
      <c r="M7" s="8">
        <f t="shared" si="3"/>
        <v>107.3310972688069</v>
      </c>
    </row>
    <row r="8" spans="1:13">
      <c r="A8" s="6">
        <v>1978</v>
      </c>
      <c r="B8" s="20">
        <v>20800</v>
      </c>
      <c r="C8" s="20">
        <v>41550</v>
      </c>
      <c r="D8" s="20">
        <v>58100</v>
      </c>
      <c r="E8" s="20">
        <v>73300</v>
      </c>
      <c r="F8" s="20">
        <v>103500</v>
      </c>
      <c r="H8" s="80">
        <v>1978</v>
      </c>
      <c r="I8" s="8">
        <f t="shared" si="4"/>
        <v>96.519721577726216</v>
      </c>
      <c r="J8" s="8">
        <f t="shared" si="0"/>
        <v>103.875</v>
      </c>
      <c r="K8" s="8">
        <f t="shared" si="1"/>
        <v>106.02189781021897</v>
      </c>
      <c r="L8" s="8">
        <f t="shared" si="2"/>
        <v>105.39180445722502</v>
      </c>
      <c r="M8" s="8">
        <f t="shared" si="3"/>
        <v>99.185433636799232</v>
      </c>
    </row>
    <row r="9" spans="1:13">
      <c r="A9" s="6">
        <v>1979</v>
      </c>
      <c r="B9" s="20">
        <v>22300</v>
      </c>
      <c r="C9" s="20">
        <v>41300</v>
      </c>
      <c r="D9" s="20">
        <v>55800</v>
      </c>
      <c r="E9" s="20">
        <v>70650</v>
      </c>
      <c r="F9" s="20">
        <v>108300</v>
      </c>
      <c r="H9" s="80">
        <v>1979</v>
      </c>
      <c r="I9" s="8">
        <f t="shared" si="4"/>
        <v>103.48027842227378</v>
      </c>
      <c r="J9" s="8">
        <f t="shared" si="0"/>
        <v>103.25</v>
      </c>
      <c r="K9" s="8">
        <f t="shared" si="1"/>
        <v>101.82481751824817</v>
      </c>
      <c r="L9" s="8">
        <f t="shared" si="2"/>
        <v>101.58159597411934</v>
      </c>
      <c r="M9" s="8">
        <f t="shared" si="3"/>
        <v>103.78533780546239</v>
      </c>
    </row>
    <row r="10" spans="1:13">
      <c r="A10" s="6">
        <v>1980</v>
      </c>
      <c r="B10" s="20">
        <v>23600</v>
      </c>
      <c r="C10" s="20">
        <v>40900</v>
      </c>
      <c r="D10" s="20">
        <v>54400</v>
      </c>
      <c r="E10" s="20">
        <v>70350</v>
      </c>
      <c r="F10" s="20">
        <v>105150</v>
      </c>
      <c r="H10" s="80">
        <v>1980</v>
      </c>
      <c r="I10" s="8">
        <f t="shared" si="4"/>
        <v>109.51276102088168</v>
      </c>
      <c r="J10" s="8">
        <f t="shared" si="0"/>
        <v>102.25</v>
      </c>
      <c r="K10" s="8">
        <f t="shared" si="1"/>
        <v>99.270072992700733</v>
      </c>
      <c r="L10" s="8">
        <f t="shared" si="2"/>
        <v>101.15025161754134</v>
      </c>
      <c r="M10" s="8">
        <f t="shared" si="3"/>
        <v>100.7666506947772</v>
      </c>
    </row>
    <row r="11" spans="1:13">
      <c r="A11" s="6">
        <v>1981</v>
      </c>
      <c r="B11" s="20">
        <v>21250</v>
      </c>
      <c r="C11" s="20">
        <v>38600</v>
      </c>
      <c r="D11" s="20">
        <v>53700</v>
      </c>
      <c r="E11" s="20">
        <v>69600</v>
      </c>
      <c r="F11" s="20">
        <v>111450</v>
      </c>
      <c r="H11" s="80">
        <v>1981</v>
      </c>
      <c r="I11" s="8">
        <f t="shared" si="4"/>
        <v>98.607888631090489</v>
      </c>
      <c r="J11" s="8">
        <f t="shared" si="0"/>
        <v>96.5</v>
      </c>
      <c r="K11" s="8">
        <f t="shared" si="1"/>
        <v>97.992700729927009</v>
      </c>
      <c r="L11" s="8">
        <f t="shared" si="2"/>
        <v>100.07189072609633</v>
      </c>
      <c r="M11" s="8">
        <f t="shared" si="3"/>
        <v>106.80402491614758</v>
      </c>
    </row>
    <row r="12" spans="1:13">
      <c r="A12" s="6">
        <v>1982</v>
      </c>
      <c r="B12" s="20">
        <v>21400</v>
      </c>
      <c r="C12" s="20">
        <v>37250</v>
      </c>
      <c r="D12" s="20">
        <v>52350</v>
      </c>
      <c r="E12" s="20">
        <v>70450</v>
      </c>
      <c r="F12" s="20">
        <v>107650</v>
      </c>
      <c r="H12" s="80">
        <v>1982</v>
      </c>
      <c r="I12" s="8">
        <f t="shared" si="4"/>
        <v>99.303944315545252</v>
      </c>
      <c r="J12" s="8">
        <f t="shared" si="0"/>
        <v>93.125</v>
      </c>
      <c r="K12" s="8">
        <f t="shared" si="1"/>
        <v>95.529197080291965</v>
      </c>
      <c r="L12" s="8">
        <f t="shared" si="2"/>
        <v>101.29403306973401</v>
      </c>
      <c r="M12" s="8">
        <f t="shared" si="3"/>
        <v>103.16243411595592</v>
      </c>
    </row>
    <row r="13" spans="1:13">
      <c r="A13" s="6">
        <v>1983</v>
      </c>
      <c r="B13" s="20">
        <v>19700</v>
      </c>
      <c r="C13" s="20">
        <v>34600</v>
      </c>
      <c r="D13" s="20">
        <v>50250</v>
      </c>
      <c r="E13" s="20">
        <v>65650</v>
      </c>
      <c r="F13" s="20">
        <v>106600</v>
      </c>
      <c r="H13" s="80">
        <v>1983</v>
      </c>
      <c r="I13" s="8">
        <f t="shared" si="4"/>
        <v>91.415313225058</v>
      </c>
      <c r="J13" s="8">
        <f t="shared" si="0"/>
        <v>86.5</v>
      </c>
      <c r="K13" s="8">
        <f t="shared" si="1"/>
        <v>91.697080291970806</v>
      </c>
      <c r="L13" s="8">
        <f t="shared" si="2"/>
        <v>94.392523364485982</v>
      </c>
      <c r="M13" s="8">
        <f t="shared" si="3"/>
        <v>102.15620507906084</v>
      </c>
    </row>
    <row r="14" spans="1:13">
      <c r="A14" s="6">
        <v>1984</v>
      </c>
      <c r="B14" s="20">
        <v>21450</v>
      </c>
      <c r="C14" s="20">
        <v>38500</v>
      </c>
      <c r="D14" s="20">
        <v>54600</v>
      </c>
      <c r="E14" s="20">
        <v>71250</v>
      </c>
      <c r="F14" s="20">
        <v>108700</v>
      </c>
      <c r="H14" s="80">
        <v>1984</v>
      </c>
      <c r="I14" s="8">
        <f t="shared" si="4"/>
        <v>99.535962877030158</v>
      </c>
      <c r="J14" s="8">
        <f t="shared" si="0"/>
        <v>96.25</v>
      </c>
      <c r="K14" s="8">
        <f t="shared" si="1"/>
        <v>99.635036496350367</v>
      </c>
      <c r="L14" s="8">
        <f t="shared" si="2"/>
        <v>102.44428468727533</v>
      </c>
      <c r="M14" s="8">
        <f t="shared" si="3"/>
        <v>104.16866315285098</v>
      </c>
    </row>
    <row r="15" spans="1:13">
      <c r="A15" s="6">
        <v>1985</v>
      </c>
      <c r="B15" s="20">
        <v>23100</v>
      </c>
      <c r="C15" s="20">
        <v>39900</v>
      </c>
      <c r="D15" s="20">
        <v>54300</v>
      </c>
      <c r="E15" s="20">
        <v>71550</v>
      </c>
      <c r="F15" s="20">
        <v>109400</v>
      </c>
      <c r="H15" s="80">
        <v>1985</v>
      </c>
      <c r="I15" s="8">
        <f t="shared" si="4"/>
        <v>107.19257540603249</v>
      </c>
      <c r="J15" s="8">
        <f t="shared" si="0"/>
        <v>99.75</v>
      </c>
      <c r="K15" s="8">
        <f t="shared" si="1"/>
        <v>99.087591240875923</v>
      </c>
      <c r="L15" s="8">
        <f t="shared" si="2"/>
        <v>102.87562904385335</v>
      </c>
      <c r="M15" s="8">
        <f t="shared" si="3"/>
        <v>104.83948251078104</v>
      </c>
    </row>
    <row r="16" spans="1:13">
      <c r="A16" s="6">
        <v>1986</v>
      </c>
      <c r="B16" s="20">
        <v>23350</v>
      </c>
      <c r="C16" s="20">
        <v>41150</v>
      </c>
      <c r="D16" s="20">
        <v>54550</v>
      </c>
      <c r="E16" s="20">
        <v>69700</v>
      </c>
      <c r="F16" s="20">
        <v>104850</v>
      </c>
      <c r="H16" s="80">
        <v>1986</v>
      </c>
      <c r="I16" s="8">
        <f t="shared" si="4"/>
        <v>108.35266821345708</v>
      </c>
      <c r="J16" s="8">
        <f t="shared" si="0"/>
        <v>102.875</v>
      </c>
      <c r="K16" s="8">
        <f t="shared" si="1"/>
        <v>99.543795620437962</v>
      </c>
      <c r="L16" s="8">
        <f t="shared" si="2"/>
        <v>100.215672178289</v>
      </c>
      <c r="M16" s="8">
        <f t="shared" si="3"/>
        <v>100.47915668423575</v>
      </c>
    </row>
    <row r="17" spans="1:13">
      <c r="A17" s="6">
        <v>1987</v>
      </c>
      <c r="B17" s="20">
        <v>22550</v>
      </c>
      <c r="C17" s="20">
        <v>39200</v>
      </c>
      <c r="D17" s="20">
        <v>54050</v>
      </c>
      <c r="E17" s="20">
        <v>71500</v>
      </c>
      <c r="F17" s="20">
        <v>105250</v>
      </c>
      <c r="H17" s="80">
        <v>1987</v>
      </c>
      <c r="I17" s="8">
        <f t="shared" si="4"/>
        <v>104.64037122969839</v>
      </c>
      <c r="J17" s="8">
        <f t="shared" si="0"/>
        <v>98</v>
      </c>
      <c r="K17" s="8">
        <f t="shared" si="1"/>
        <v>98.631386861313857</v>
      </c>
      <c r="L17" s="8">
        <f t="shared" si="2"/>
        <v>102.803738317757</v>
      </c>
      <c r="M17" s="8">
        <f t="shared" si="3"/>
        <v>100.86248203162434</v>
      </c>
    </row>
    <row r="18" spans="1:13">
      <c r="A18" s="6">
        <v>1988</v>
      </c>
      <c r="B18" s="20">
        <v>24150</v>
      </c>
      <c r="C18" s="20">
        <v>41000</v>
      </c>
      <c r="D18" s="20">
        <v>54950</v>
      </c>
      <c r="E18" s="20">
        <v>71600</v>
      </c>
      <c r="F18" s="20">
        <v>106650</v>
      </c>
      <c r="H18" s="80">
        <v>1988</v>
      </c>
      <c r="I18" s="8">
        <f t="shared" si="4"/>
        <v>112.06496519721578</v>
      </c>
      <c r="J18" s="8">
        <f t="shared" si="0"/>
        <v>102.49999999999999</v>
      </c>
      <c r="K18" s="8">
        <f t="shared" si="1"/>
        <v>100.27372262773721</v>
      </c>
      <c r="L18" s="8">
        <f t="shared" si="2"/>
        <v>102.94751976994966</v>
      </c>
      <c r="M18" s="8">
        <f t="shared" si="3"/>
        <v>102.20412074748441</v>
      </c>
    </row>
    <row r="19" spans="1:13">
      <c r="A19" s="6">
        <v>1989</v>
      </c>
      <c r="B19" s="20">
        <v>24750</v>
      </c>
      <c r="C19" s="20">
        <v>42150</v>
      </c>
      <c r="D19" s="20">
        <v>56650</v>
      </c>
      <c r="E19" s="20">
        <v>72850</v>
      </c>
      <c r="F19" s="20">
        <v>111700</v>
      </c>
      <c r="H19" s="80">
        <v>1989</v>
      </c>
      <c r="I19" s="8">
        <f t="shared" si="4"/>
        <v>114.84918793503481</v>
      </c>
      <c r="J19" s="8">
        <f t="shared" si="0"/>
        <v>105.375</v>
      </c>
      <c r="K19" s="8">
        <f t="shared" si="1"/>
        <v>103.37591240875912</v>
      </c>
      <c r="L19" s="8">
        <f t="shared" si="2"/>
        <v>104.74478792235801</v>
      </c>
      <c r="M19" s="8">
        <f t="shared" si="3"/>
        <v>107.04360325826545</v>
      </c>
    </row>
    <row r="20" spans="1:13">
      <c r="A20" s="6">
        <v>1990</v>
      </c>
      <c r="B20" s="20">
        <v>24350</v>
      </c>
      <c r="C20" s="20">
        <v>40550</v>
      </c>
      <c r="D20" s="20">
        <v>55600</v>
      </c>
      <c r="E20" s="20">
        <v>71650</v>
      </c>
      <c r="F20" s="20">
        <v>107050</v>
      </c>
      <c r="H20" s="80">
        <v>1990</v>
      </c>
      <c r="I20" s="8">
        <f t="shared" si="4"/>
        <v>112.99303944315547</v>
      </c>
      <c r="J20" s="8">
        <f t="shared" si="0"/>
        <v>101.375</v>
      </c>
      <c r="K20" s="8">
        <f t="shared" si="1"/>
        <v>101.45985401459853</v>
      </c>
      <c r="L20" s="8">
        <f t="shared" si="2"/>
        <v>103.01941049604602</v>
      </c>
      <c r="M20" s="8">
        <f t="shared" si="3"/>
        <v>102.58744609487303</v>
      </c>
    </row>
    <row r="21" spans="1:13">
      <c r="A21" s="6">
        <v>1991</v>
      </c>
      <c r="B21" s="20">
        <v>23000</v>
      </c>
      <c r="C21" s="20">
        <v>38550</v>
      </c>
      <c r="D21" s="20">
        <v>52600</v>
      </c>
      <c r="E21" s="20">
        <v>70550</v>
      </c>
      <c r="F21" s="20">
        <v>106250</v>
      </c>
      <c r="H21" s="80">
        <v>1991</v>
      </c>
      <c r="I21" s="8">
        <f t="shared" si="4"/>
        <v>106.72853828306263</v>
      </c>
      <c r="J21" s="8">
        <f t="shared" si="0"/>
        <v>96.375</v>
      </c>
      <c r="K21" s="8">
        <f t="shared" si="1"/>
        <v>95.985401459854018</v>
      </c>
      <c r="L21" s="8">
        <f t="shared" si="2"/>
        <v>101.43781452192667</v>
      </c>
      <c r="M21" s="8">
        <f t="shared" si="3"/>
        <v>101.82079540009583</v>
      </c>
    </row>
    <row r="22" spans="1:13">
      <c r="A22" s="6">
        <v>1992</v>
      </c>
      <c r="B22" s="20">
        <v>23150</v>
      </c>
      <c r="C22" s="20">
        <v>39800</v>
      </c>
      <c r="D22" s="20">
        <v>53800</v>
      </c>
      <c r="E22" s="20">
        <v>71250</v>
      </c>
      <c r="F22" s="20">
        <v>108550</v>
      </c>
      <c r="H22" s="80">
        <v>1992</v>
      </c>
      <c r="I22" s="8">
        <f t="shared" si="4"/>
        <v>107.4245939675174</v>
      </c>
      <c r="J22" s="8">
        <f t="shared" si="0"/>
        <v>99.5</v>
      </c>
      <c r="K22" s="8">
        <f t="shared" si="1"/>
        <v>98.175182481751818</v>
      </c>
      <c r="L22" s="8">
        <f t="shared" si="2"/>
        <v>102.44428468727533</v>
      </c>
      <c r="M22" s="8">
        <f t="shared" si="3"/>
        <v>104.02491614758024</v>
      </c>
    </row>
    <row r="23" spans="1:13">
      <c r="A23" s="6">
        <v>1993</v>
      </c>
      <c r="B23" s="20">
        <v>22950</v>
      </c>
      <c r="C23" s="20">
        <v>39600</v>
      </c>
      <c r="D23" s="20">
        <v>53750</v>
      </c>
      <c r="E23" s="20">
        <v>69750</v>
      </c>
      <c r="F23" s="20">
        <v>104500</v>
      </c>
      <c r="H23" s="80">
        <v>1993</v>
      </c>
      <c r="I23" s="8">
        <f t="shared" si="4"/>
        <v>106.49651972157773</v>
      </c>
      <c r="J23" s="8">
        <f t="shared" si="0"/>
        <v>99</v>
      </c>
      <c r="K23" s="8">
        <f t="shared" si="1"/>
        <v>98.083941605839414</v>
      </c>
      <c r="L23" s="8">
        <f t="shared" si="2"/>
        <v>100.28756290438534</v>
      </c>
      <c r="M23" s="8">
        <f t="shared" si="3"/>
        <v>100.14374700527074</v>
      </c>
    </row>
    <row r="24" spans="1:13">
      <c r="A24" s="6">
        <v>1994</v>
      </c>
      <c r="B24" s="20">
        <v>22450</v>
      </c>
      <c r="C24" s="20">
        <v>39700</v>
      </c>
      <c r="D24" s="20">
        <v>52900</v>
      </c>
      <c r="E24" s="20">
        <v>68950</v>
      </c>
      <c r="F24" s="20">
        <v>103500</v>
      </c>
      <c r="H24" s="80">
        <v>1994</v>
      </c>
      <c r="I24" s="8">
        <f t="shared" si="4"/>
        <v>104.17633410672853</v>
      </c>
      <c r="J24" s="8">
        <f t="shared" si="0"/>
        <v>99.25</v>
      </c>
      <c r="K24" s="8">
        <f t="shared" si="1"/>
        <v>96.532846715328475</v>
      </c>
      <c r="L24" s="8">
        <f t="shared" si="2"/>
        <v>99.137311286843996</v>
      </c>
      <c r="M24" s="8">
        <f t="shared" si="3"/>
        <v>99.185433636799232</v>
      </c>
    </row>
    <row r="25" spans="1:13">
      <c r="A25" s="6">
        <v>1995</v>
      </c>
      <c r="B25" s="20">
        <v>22300</v>
      </c>
      <c r="C25" s="20">
        <v>38400</v>
      </c>
      <c r="D25" s="20">
        <v>52250</v>
      </c>
      <c r="E25" s="20">
        <v>69750</v>
      </c>
      <c r="F25" s="20">
        <v>104950</v>
      </c>
      <c r="H25" s="80">
        <v>1995</v>
      </c>
      <c r="I25" s="8">
        <f t="shared" si="4"/>
        <v>103.48027842227378</v>
      </c>
      <c r="J25" s="8">
        <f t="shared" si="0"/>
        <v>96</v>
      </c>
      <c r="K25" s="8">
        <f t="shared" si="1"/>
        <v>95.346715328467155</v>
      </c>
      <c r="L25" s="8">
        <f t="shared" si="2"/>
        <v>100.28756290438534</v>
      </c>
      <c r="M25" s="8">
        <f t="shared" si="3"/>
        <v>100.57498802108289</v>
      </c>
    </row>
    <row r="26" spans="1:13">
      <c r="A26" s="6">
        <v>1996</v>
      </c>
      <c r="B26" s="20">
        <v>22700</v>
      </c>
      <c r="C26" s="20">
        <v>38850</v>
      </c>
      <c r="D26" s="20">
        <v>52950</v>
      </c>
      <c r="E26" s="20">
        <v>69400</v>
      </c>
      <c r="F26" s="20">
        <v>107400</v>
      </c>
      <c r="H26" s="80">
        <v>1996</v>
      </c>
      <c r="I26" s="8">
        <f t="shared" si="4"/>
        <v>105.33642691415312</v>
      </c>
      <c r="J26" s="8">
        <f t="shared" si="0"/>
        <v>97.125</v>
      </c>
      <c r="K26" s="8">
        <f t="shared" si="1"/>
        <v>96.62408759124088</v>
      </c>
      <c r="L26" s="8">
        <f t="shared" si="2"/>
        <v>99.784327821710988</v>
      </c>
      <c r="M26" s="8">
        <f t="shared" si="3"/>
        <v>102.92285577383804</v>
      </c>
    </row>
    <row r="27" spans="1:13">
      <c r="A27" s="6">
        <v>1997</v>
      </c>
      <c r="B27" s="20">
        <v>22100</v>
      </c>
      <c r="C27" s="20">
        <v>38300</v>
      </c>
      <c r="D27" s="20">
        <v>52550</v>
      </c>
      <c r="E27" s="20">
        <v>68700</v>
      </c>
      <c r="F27" s="20">
        <v>105550</v>
      </c>
      <c r="H27" s="80">
        <v>1997</v>
      </c>
      <c r="I27" s="8">
        <f t="shared" si="4"/>
        <v>102.5522041763341</v>
      </c>
      <c r="J27" s="8">
        <f t="shared" si="0"/>
        <v>95.75</v>
      </c>
      <c r="K27" s="8">
        <f t="shared" si="1"/>
        <v>95.894160583941598</v>
      </c>
      <c r="L27" s="8">
        <f t="shared" si="2"/>
        <v>98.777857656362329</v>
      </c>
      <c r="M27" s="8">
        <f t="shared" si="3"/>
        <v>101.14997604216578</v>
      </c>
    </row>
    <row r="28" spans="1:13">
      <c r="A28" s="6">
        <v>1998</v>
      </c>
      <c r="B28" s="20">
        <v>22450</v>
      </c>
      <c r="C28" s="20">
        <v>39450</v>
      </c>
      <c r="D28" s="20">
        <v>54550</v>
      </c>
      <c r="E28" s="20">
        <v>72000</v>
      </c>
      <c r="F28" s="20">
        <v>113950</v>
      </c>
      <c r="H28" s="80">
        <v>1998</v>
      </c>
      <c r="I28" s="8">
        <f t="shared" si="4"/>
        <v>104.17633410672853</v>
      </c>
      <c r="J28" s="8">
        <f t="shared" si="0"/>
        <v>98.625</v>
      </c>
      <c r="K28" s="8">
        <f t="shared" si="1"/>
        <v>99.543795620437962</v>
      </c>
      <c r="L28" s="8">
        <f t="shared" si="2"/>
        <v>103.52264557872036</v>
      </c>
      <c r="M28" s="8">
        <f t="shared" si="3"/>
        <v>109.1998083373263</v>
      </c>
    </row>
    <row r="29" spans="1:13">
      <c r="A29" s="6">
        <v>1999</v>
      </c>
      <c r="B29" s="20">
        <v>24200</v>
      </c>
      <c r="C29" s="20">
        <v>41400</v>
      </c>
      <c r="D29" s="20">
        <v>57000</v>
      </c>
      <c r="E29" s="20">
        <v>74950</v>
      </c>
      <c r="F29" s="20">
        <v>114300</v>
      </c>
      <c r="H29" s="80">
        <v>1999</v>
      </c>
      <c r="I29" s="8">
        <f t="shared" si="4"/>
        <v>112.29698375870069</v>
      </c>
      <c r="J29" s="8">
        <f t="shared" si="0"/>
        <v>103.49999999999999</v>
      </c>
      <c r="K29" s="8">
        <f t="shared" si="1"/>
        <v>104.01459854014598</v>
      </c>
      <c r="L29" s="8">
        <f t="shared" si="2"/>
        <v>107.76419841840404</v>
      </c>
      <c r="M29" s="8">
        <f t="shared" si="3"/>
        <v>109.53521801629134</v>
      </c>
    </row>
    <row r="30" spans="1:13">
      <c r="A30" s="6">
        <v>2000</v>
      </c>
      <c r="B30" s="20">
        <v>25100</v>
      </c>
      <c r="C30" s="20">
        <v>42600</v>
      </c>
      <c r="D30" s="20">
        <v>57100</v>
      </c>
      <c r="E30" s="20">
        <v>76000</v>
      </c>
      <c r="F30" s="20">
        <v>122150</v>
      </c>
      <c r="H30" s="80">
        <v>2000</v>
      </c>
      <c r="I30" s="8">
        <f t="shared" si="4"/>
        <v>116.47331786542922</v>
      </c>
      <c r="J30" s="8">
        <f t="shared" si="0"/>
        <v>106.5</v>
      </c>
      <c r="K30" s="8">
        <f t="shared" si="1"/>
        <v>104.19708029197081</v>
      </c>
      <c r="L30" s="8">
        <f t="shared" si="2"/>
        <v>109.27390366642705</v>
      </c>
      <c r="M30" s="8">
        <f t="shared" si="3"/>
        <v>117.05797795879253</v>
      </c>
    </row>
    <row r="31" spans="1:13">
      <c r="A31" s="6">
        <v>2001</v>
      </c>
      <c r="B31" s="20">
        <v>25050</v>
      </c>
      <c r="C31" s="20">
        <v>43550</v>
      </c>
      <c r="D31" s="20">
        <v>59100</v>
      </c>
      <c r="E31" s="20">
        <v>77450</v>
      </c>
      <c r="F31" s="20">
        <v>124650</v>
      </c>
      <c r="H31" s="80">
        <v>2001</v>
      </c>
      <c r="I31" s="8">
        <f t="shared" si="4"/>
        <v>116.24129930394432</v>
      </c>
      <c r="J31" s="8">
        <f t="shared" si="0"/>
        <v>108.87500000000001</v>
      </c>
      <c r="K31" s="8">
        <f t="shared" si="1"/>
        <v>107.84671532846714</v>
      </c>
      <c r="L31" s="8">
        <f t="shared" si="2"/>
        <v>111.35873472322071</v>
      </c>
      <c r="M31" s="8">
        <f t="shared" si="3"/>
        <v>119.45376137997125</v>
      </c>
    </row>
    <row r="32" spans="1:13">
      <c r="A32" s="6">
        <v>2002</v>
      </c>
      <c r="B32" s="20">
        <v>24950</v>
      </c>
      <c r="C32" s="20">
        <v>42950</v>
      </c>
      <c r="D32" s="20">
        <v>59250</v>
      </c>
      <c r="E32" s="20">
        <v>77900</v>
      </c>
      <c r="F32" s="20">
        <v>124200</v>
      </c>
      <c r="H32" s="80">
        <v>2002</v>
      </c>
      <c r="I32" s="8">
        <f t="shared" si="4"/>
        <v>115.77726218097449</v>
      </c>
      <c r="J32" s="8">
        <f t="shared" si="0"/>
        <v>107.375</v>
      </c>
      <c r="K32" s="8">
        <f t="shared" si="1"/>
        <v>108.12043795620438</v>
      </c>
      <c r="L32" s="8">
        <f t="shared" si="2"/>
        <v>112.00575125808771</v>
      </c>
      <c r="M32" s="8">
        <f t="shared" si="3"/>
        <v>119.02252036415908</v>
      </c>
    </row>
    <row r="33" spans="1:13">
      <c r="A33" s="6">
        <v>2003</v>
      </c>
      <c r="B33" s="20">
        <v>24450</v>
      </c>
      <c r="C33" s="20">
        <v>43150</v>
      </c>
      <c r="D33" s="20">
        <v>58450</v>
      </c>
      <c r="E33" s="20">
        <v>77400</v>
      </c>
      <c r="F33" s="20">
        <v>126000</v>
      </c>
      <c r="H33" s="80">
        <v>2003</v>
      </c>
      <c r="I33" s="8">
        <f t="shared" si="4"/>
        <v>113.45707656612529</v>
      </c>
      <c r="J33" s="8">
        <f t="shared" si="0"/>
        <v>107.87500000000001</v>
      </c>
      <c r="K33" s="8">
        <f t="shared" si="1"/>
        <v>106.66058394160585</v>
      </c>
      <c r="L33" s="8">
        <f t="shared" si="2"/>
        <v>111.28684399712436</v>
      </c>
      <c r="M33" s="8">
        <f t="shared" si="3"/>
        <v>120.74748442740777</v>
      </c>
    </row>
    <row r="34" spans="1:13">
      <c r="A34" s="6">
        <v>2004</v>
      </c>
      <c r="B34" s="20">
        <v>25400</v>
      </c>
      <c r="C34" s="20">
        <v>43950</v>
      </c>
      <c r="D34" s="20">
        <v>59800</v>
      </c>
      <c r="E34" s="20">
        <v>79050</v>
      </c>
      <c r="F34" s="20">
        <v>128750</v>
      </c>
      <c r="H34" s="80">
        <v>2004</v>
      </c>
      <c r="I34" s="8">
        <f t="shared" si="4"/>
        <v>117.86542923433873</v>
      </c>
      <c r="J34" s="8">
        <f t="shared" si="0"/>
        <v>109.87499999999999</v>
      </c>
      <c r="K34" s="8">
        <f t="shared" si="1"/>
        <v>109.12408759124088</v>
      </c>
      <c r="L34" s="8">
        <f t="shared" si="2"/>
        <v>113.65923795830338</v>
      </c>
      <c r="M34" s="8">
        <f t="shared" si="3"/>
        <v>123.38284619070437</v>
      </c>
    </row>
    <row r="35" spans="1:13">
      <c r="A35" s="6">
        <v>2005</v>
      </c>
      <c r="B35" s="20">
        <v>25350</v>
      </c>
      <c r="C35" s="20">
        <v>43800</v>
      </c>
      <c r="D35" s="20">
        <v>58100</v>
      </c>
      <c r="E35" s="20">
        <v>77950</v>
      </c>
      <c r="F35" s="20">
        <v>126950</v>
      </c>
      <c r="H35" s="80">
        <v>2005</v>
      </c>
      <c r="I35" s="8">
        <f t="shared" si="4"/>
        <v>117.63341067285383</v>
      </c>
      <c r="J35" s="8">
        <f t="shared" si="0"/>
        <v>109.5</v>
      </c>
      <c r="K35" s="8">
        <f t="shared" si="1"/>
        <v>106.02189781021897</v>
      </c>
      <c r="L35" s="8">
        <f t="shared" si="2"/>
        <v>112.07764198418404</v>
      </c>
      <c r="M35" s="8">
        <f t="shared" si="3"/>
        <v>121.65788212745568</v>
      </c>
    </row>
    <row r="36" spans="1:13">
      <c r="A36" s="6">
        <v>2006</v>
      </c>
      <c r="B36" s="20">
        <v>28150</v>
      </c>
      <c r="C36" s="20">
        <v>45650</v>
      </c>
      <c r="D36" s="20">
        <v>61250</v>
      </c>
      <c r="E36" s="20">
        <v>80450</v>
      </c>
      <c r="F36" s="20">
        <v>131200</v>
      </c>
      <c r="H36" s="80">
        <v>2006</v>
      </c>
      <c r="I36" s="8">
        <f t="shared" si="4"/>
        <v>130.62645011600929</v>
      </c>
      <c r="J36" s="8">
        <f t="shared" si="0"/>
        <v>114.12500000000001</v>
      </c>
      <c r="K36" s="8">
        <f t="shared" si="1"/>
        <v>111.77007299270072</v>
      </c>
      <c r="L36" s="8">
        <f t="shared" si="2"/>
        <v>115.67217828900071</v>
      </c>
      <c r="M36" s="8">
        <f t="shared" si="3"/>
        <v>125.73071394345952</v>
      </c>
    </row>
    <row r="37" spans="1:13">
      <c r="A37" s="6">
        <v>2007</v>
      </c>
      <c r="B37" s="20">
        <v>28550</v>
      </c>
      <c r="C37" s="20">
        <v>47200</v>
      </c>
      <c r="D37" s="20">
        <v>63550</v>
      </c>
      <c r="E37" s="20">
        <v>84000</v>
      </c>
      <c r="F37" s="20">
        <v>135250</v>
      </c>
      <c r="H37" s="80">
        <v>2007</v>
      </c>
      <c r="I37" s="8">
        <f t="shared" si="4"/>
        <v>132.48259860788863</v>
      </c>
      <c r="J37" s="8">
        <f t="shared" si="0"/>
        <v>118</v>
      </c>
      <c r="K37" s="8">
        <f t="shared" si="1"/>
        <v>115.96715328467153</v>
      </c>
      <c r="L37" s="8">
        <f t="shared" si="2"/>
        <v>120.77641984184039</v>
      </c>
      <c r="M37" s="8">
        <f t="shared" si="3"/>
        <v>129.61188308576905</v>
      </c>
    </row>
    <row r="38" spans="1:13">
      <c r="A38" s="6">
        <v>2008</v>
      </c>
      <c r="B38" s="20">
        <v>29400</v>
      </c>
      <c r="C38" s="20">
        <v>48050</v>
      </c>
      <c r="D38" s="20">
        <v>64900</v>
      </c>
      <c r="E38" s="20">
        <v>85800</v>
      </c>
      <c r="F38" s="20">
        <v>133900</v>
      </c>
      <c r="H38" s="80">
        <v>2008</v>
      </c>
      <c r="I38" s="8">
        <f t="shared" si="4"/>
        <v>136.42691415313226</v>
      </c>
      <c r="J38" s="8">
        <f t="shared" si="0"/>
        <v>120.125</v>
      </c>
      <c r="K38" s="8">
        <f t="shared" si="1"/>
        <v>118.43065693430657</v>
      </c>
      <c r="L38" s="8">
        <f t="shared" si="2"/>
        <v>123.36448598130841</v>
      </c>
      <c r="M38" s="8">
        <f t="shared" si="3"/>
        <v>128.31816003833254</v>
      </c>
    </row>
    <row r="39" spans="1:13">
      <c r="A39" s="6">
        <v>2009</v>
      </c>
      <c r="B39" s="20">
        <v>29650</v>
      </c>
      <c r="C39" s="20">
        <v>48700</v>
      </c>
      <c r="D39" s="20">
        <v>66800</v>
      </c>
      <c r="E39" s="20">
        <v>89300</v>
      </c>
      <c r="F39" s="20">
        <v>141950</v>
      </c>
      <c r="H39" s="80">
        <v>2009</v>
      </c>
      <c r="I39" s="8">
        <f t="shared" si="4"/>
        <v>137.58700696055683</v>
      </c>
      <c r="J39" s="8">
        <f t="shared" si="0"/>
        <v>121.75</v>
      </c>
      <c r="K39" s="8">
        <f t="shared" si="1"/>
        <v>121.89781021897809</v>
      </c>
      <c r="L39" s="8">
        <f t="shared" si="2"/>
        <v>128.39683680805177</v>
      </c>
      <c r="M39" s="8">
        <f t="shared" si="3"/>
        <v>136.03258265452803</v>
      </c>
    </row>
    <row r="40" spans="1:13">
      <c r="A40" s="6">
        <v>2010</v>
      </c>
      <c r="B40" s="20">
        <v>29300</v>
      </c>
      <c r="C40" s="20">
        <v>49700</v>
      </c>
      <c r="D40" s="20">
        <v>68550</v>
      </c>
      <c r="E40" s="20">
        <v>89450</v>
      </c>
      <c r="F40" s="20">
        <v>139350</v>
      </c>
      <c r="H40" s="80">
        <v>2010</v>
      </c>
      <c r="I40" s="8">
        <f t="shared" si="4"/>
        <v>135.96287703016242</v>
      </c>
      <c r="J40" s="8">
        <f t="shared" si="0"/>
        <v>124.25</v>
      </c>
      <c r="K40" s="8">
        <f t="shared" si="1"/>
        <v>125.09124087591242</v>
      </c>
      <c r="L40" s="8">
        <f t="shared" si="2"/>
        <v>128.61250898634074</v>
      </c>
      <c r="M40" s="8">
        <f t="shared" si="3"/>
        <v>133.54096789650217</v>
      </c>
    </row>
    <row r="41" spans="1:13">
      <c r="A41" s="6">
        <v>2011</v>
      </c>
      <c r="B41" s="20">
        <v>29850</v>
      </c>
      <c r="C41" s="20">
        <v>50250</v>
      </c>
      <c r="D41" s="20">
        <v>68250</v>
      </c>
      <c r="E41" s="20">
        <v>91900</v>
      </c>
      <c r="F41" s="20">
        <v>146450</v>
      </c>
      <c r="H41" s="80">
        <v>2011</v>
      </c>
      <c r="I41" s="8">
        <f t="shared" si="4"/>
        <v>138.51508120649652</v>
      </c>
      <c r="J41" s="8">
        <f t="shared" si="0"/>
        <v>125.62500000000001</v>
      </c>
      <c r="K41" s="8">
        <f t="shared" si="1"/>
        <v>124.54379562043796</v>
      </c>
      <c r="L41" s="8">
        <f t="shared" si="2"/>
        <v>132.1351545650611</v>
      </c>
      <c r="M41" s="8">
        <f t="shared" si="3"/>
        <v>140.34499281264974</v>
      </c>
    </row>
    <row r="42" spans="1:13">
      <c r="A42" s="6">
        <v>2012</v>
      </c>
      <c r="B42" s="20">
        <v>30300</v>
      </c>
      <c r="C42" s="20">
        <v>50000</v>
      </c>
      <c r="D42" s="20">
        <v>67200</v>
      </c>
      <c r="E42" s="20">
        <v>92050</v>
      </c>
      <c r="F42" s="20">
        <v>145500</v>
      </c>
      <c r="H42" s="80">
        <v>2012</v>
      </c>
      <c r="I42" s="8">
        <f t="shared" si="4"/>
        <v>140.60324825986078</v>
      </c>
      <c r="J42" s="8">
        <f t="shared" si="0"/>
        <v>125</v>
      </c>
      <c r="K42" s="8">
        <f t="shared" si="1"/>
        <v>122.62773722627738</v>
      </c>
      <c r="L42" s="8">
        <f t="shared" si="2"/>
        <v>132.3508267433501</v>
      </c>
      <c r="M42" s="8">
        <f t="shared" si="3"/>
        <v>139.43459511260181</v>
      </c>
    </row>
    <row r="43" spans="1:13">
      <c r="A43" s="6">
        <v>2013</v>
      </c>
      <c r="B43" s="20">
        <v>29700</v>
      </c>
      <c r="C43" s="20">
        <v>50200</v>
      </c>
      <c r="D43" s="20">
        <v>68200</v>
      </c>
      <c r="E43" s="20">
        <v>91500</v>
      </c>
      <c r="F43" s="20">
        <v>144900</v>
      </c>
      <c r="H43" s="80">
        <v>2013</v>
      </c>
      <c r="I43" s="8">
        <f t="shared" si="4"/>
        <v>137.81902552204178</v>
      </c>
      <c r="J43" s="8">
        <f t="shared" si="0"/>
        <v>125.49999999999999</v>
      </c>
      <c r="K43" s="8">
        <f t="shared" si="1"/>
        <v>124.45255474452554</v>
      </c>
      <c r="L43" s="8">
        <f t="shared" si="2"/>
        <v>131.56002875629045</v>
      </c>
      <c r="M43" s="8">
        <f t="shared" si="3"/>
        <v>138.85960709151891</v>
      </c>
    </row>
    <row r="44" spans="1:13">
      <c r="A44" s="6">
        <v>2014</v>
      </c>
      <c r="B44" s="20">
        <v>30500</v>
      </c>
      <c r="C44" s="20">
        <v>51100</v>
      </c>
      <c r="D44" s="20">
        <v>70100</v>
      </c>
      <c r="E44" s="20">
        <v>91000</v>
      </c>
      <c r="F44" s="20">
        <v>138650</v>
      </c>
      <c r="H44" s="80">
        <v>2014</v>
      </c>
      <c r="I44" s="8">
        <f t="shared" si="4"/>
        <v>141.53132250580046</v>
      </c>
      <c r="J44" s="8">
        <f t="shared" si="0"/>
        <v>127.75000000000001</v>
      </c>
      <c r="K44" s="8">
        <f t="shared" si="1"/>
        <v>127.91970802919708</v>
      </c>
      <c r="L44" s="8">
        <f t="shared" si="2"/>
        <v>130.84112149532709</v>
      </c>
      <c r="M44" s="8">
        <f t="shared" si="3"/>
        <v>132.8701485385721</v>
      </c>
    </row>
    <row r="45" spans="1:13">
      <c r="A45" s="6">
        <v>2015</v>
      </c>
      <c r="B45" s="20">
        <v>30600</v>
      </c>
      <c r="C45" s="20">
        <v>53650</v>
      </c>
      <c r="D45" s="20">
        <v>71300</v>
      </c>
      <c r="E45" s="20">
        <v>92400</v>
      </c>
      <c r="F45" s="20">
        <v>138200</v>
      </c>
      <c r="H45" s="80">
        <v>2015</v>
      </c>
      <c r="I45" s="8">
        <f t="shared" si="4"/>
        <v>141.9953596287703</v>
      </c>
      <c r="J45" s="8">
        <f t="shared" si="0"/>
        <v>134.125</v>
      </c>
      <c r="K45" s="8">
        <f t="shared" si="1"/>
        <v>130.1094890510949</v>
      </c>
      <c r="L45" s="8">
        <f t="shared" si="2"/>
        <v>132.85406182602443</v>
      </c>
      <c r="M45" s="8">
        <f t="shared" si="3"/>
        <v>132.43890752275996</v>
      </c>
    </row>
    <row r="46" spans="1:13">
      <c r="A46" s="6">
        <v>2016</v>
      </c>
      <c r="B46" s="20">
        <v>33400</v>
      </c>
      <c r="C46" s="20">
        <v>53400</v>
      </c>
      <c r="D46" s="20">
        <v>70100</v>
      </c>
      <c r="E46" s="20">
        <v>93350</v>
      </c>
      <c r="F46" s="20">
        <v>147150</v>
      </c>
      <c r="H46" s="80">
        <v>2016</v>
      </c>
      <c r="I46" s="8">
        <f t="shared" si="4"/>
        <v>154.98839907192576</v>
      </c>
      <c r="J46" s="8">
        <f t="shared" si="0"/>
        <v>133.5</v>
      </c>
      <c r="K46" s="8">
        <f t="shared" si="1"/>
        <v>127.91970802919708</v>
      </c>
      <c r="L46" s="8">
        <f t="shared" si="2"/>
        <v>134.21998562185479</v>
      </c>
      <c r="M46" s="8">
        <f t="shared" si="3"/>
        <v>141.01581217057978</v>
      </c>
    </row>
    <row r="47" spans="1:13">
      <c r="A47" s="6">
        <v>2017</v>
      </c>
      <c r="B47" s="20">
        <v>32150</v>
      </c>
      <c r="C47" s="20">
        <v>54350</v>
      </c>
      <c r="D47" s="20">
        <v>72200</v>
      </c>
      <c r="E47" s="20">
        <v>96000</v>
      </c>
      <c r="F47" s="20">
        <v>150150</v>
      </c>
      <c r="H47" s="80">
        <v>2017</v>
      </c>
      <c r="I47" s="8">
        <f t="shared" si="4"/>
        <v>149.18793503480279</v>
      </c>
      <c r="J47" s="8">
        <f t="shared" si="0"/>
        <v>135.875</v>
      </c>
      <c r="K47" s="8">
        <f t="shared" si="1"/>
        <v>131.75182481751824</v>
      </c>
      <c r="L47" s="8">
        <f t="shared" si="2"/>
        <v>138.03019410496046</v>
      </c>
      <c r="M47" s="8">
        <f t="shared" si="3"/>
        <v>143.89075227599426</v>
      </c>
    </row>
    <row r="48" spans="1:13">
      <c r="A48" s="6">
        <v>2018</v>
      </c>
      <c r="B48" s="20">
        <v>34150</v>
      </c>
      <c r="C48" s="20">
        <v>55950</v>
      </c>
      <c r="D48" s="20">
        <v>72950</v>
      </c>
      <c r="E48" s="20">
        <v>95350</v>
      </c>
      <c r="F48" s="20">
        <v>156650</v>
      </c>
      <c r="H48" s="80">
        <v>2018</v>
      </c>
      <c r="I48" s="8">
        <f t="shared" si="4"/>
        <v>158.46867749419954</v>
      </c>
      <c r="J48" s="8">
        <f t="shared" si="0"/>
        <v>139.875</v>
      </c>
      <c r="K48" s="8">
        <f t="shared" si="1"/>
        <v>133.1204379562044</v>
      </c>
      <c r="L48" s="8">
        <f t="shared" si="2"/>
        <v>137.09561466570813</v>
      </c>
      <c r="M48" s="8">
        <f t="shared" si="3"/>
        <v>150.11978917105893</v>
      </c>
    </row>
    <row r="49" spans="1:13">
      <c r="A49" s="6">
        <v>2019</v>
      </c>
      <c r="B49" s="20">
        <v>33900</v>
      </c>
      <c r="C49" s="20">
        <v>56900</v>
      </c>
      <c r="D49" s="20">
        <v>72150</v>
      </c>
      <c r="E49" s="20">
        <v>94300</v>
      </c>
      <c r="F49" s="20">
        <v>152500</v>
      </c>
      <c r="H49" s="80">
        <v>2019</v>
      </c>
      <c r="I49" s="8">
        <f t="shared" si="4"/>
        <v>157.30858468677494</v>
      </c>
      <c r="J49" s="8">
        <f t="shared" si="0"/>
        <v>142.25</v>
      </c>
      <c r="K49" s="8">
        <f t="shared" si="1"/>
        <v>131.66058394160584</v>
      </c>
      <c r="L49" s="8">
        <f t="shared" si="2"/>
        <v>135.58590941768512</v>
      </c>
      <c r="M49" s="8">
        <f t="shared" si="3"/>
        <v>146.14278869190224</v>
      </c>
    </row>
    <row r="50" spans="1:13">
      <c r="A50" s="6"/>
    </row>
    <row r="51" spans="1:13">
      <c r="A51" s="6" t="s">
        <v>9</v>
      </c>
      <c r="B51" s="143">
        <f>100*((B49/B6)^(1/43)-1)</f>
        <v>1.0591492221749599</v>
      </c>
      <c r="C51" s="143">
        <f t="shared" ref="C51:F51" si="5">100*((C49/C6)^(1/43)-1)</f>
        <v>0.82293951410918886</v>
      </c>
      <c r="D51" s="143">
        <f t="shared" si="5"/>
        <v>0.64171789689400072</v>
      </c>
      <c r="E51" s="143">
        <f t="shared" si="5"/>
        <v>0.71050117021809189</v>
      </c>
      <c r="F51" s="143">
        <f t="shared" si="5"/>
        <v>0.88626230576118736</v>
      </c>
    </row>
    <row r="52" spans="1:13">
      <c r="A52" s="6" t="s">
        <v>10</v>
      </c>
      <c r="B52" s="143">
        <f>100*((B30/B6)^(1/24)-1)</f>
        <v>0.63740629930113535</v>
      </c>
      <c r="C52" s="143">
        <f t="shared" ref="C52:F52" si="6">100*((C30/C6)^(1/24)-1)</f>
        <v>0.2627395534775756</v>
      </c>
      <c r="D52" s="143">
        <f t="shared" si="6"/>
        <v>0.17145482728084804</v>
      </c>
      <c r="E52" s="143">
        <f t="shared" si="6"/>
        <v>0.37021453196248721</v>
      </c>
      <c r="F52" s="143">
        <f t="shared" si="6"/>
        <v>0.65840453292820289</v>
      </c>
    </row>
    <row r="53" spans="1:13">
      <c r="A53" s="6" t="s">
        <v>11</v>
      </c>
      <c r="B53" s="143">
        <f>100*((B49/B30)^(1/19)-1)</f>
        <v>1.594404316349185</v>
      </c>
      <c r="C53" s="143">
        <f t="shared" ref="C53:F53" si="7">100*((C49/C30)^(1/19)-1)</f>
        <v>1.535036636430509</v>
      </c>
      <c r="D53" s="143">
        <f t="shared" si="7"/>
        <v>1.2388912920369144</v>
      </c>
      <c r="E53" s="143">
        <f t="shared" si="7"/>
        <v>1.1419864396721824</v>
      </c>
      <c r="F53" s="143">
        <f t="shared" si="7"/>
        <v>1.1748200558472588</v>
      </c>
    </row>
    <row r="55" spans="1:13">
      <c r="A55" s="6" t="s">
        <v>631</v>
      </c>
    </row>
  </sheetData>
  <mergeCells count="2">
    <mergeCell ref="B4:F4"/>
    <mergeCell ref="I4:M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E2853-69E7-DE40-83FB-BB8E855C5A0C}">
  <sheetPr codeName="Sheet26"/>
  <dimension ref="A1:H55"/>
  <sheetViews>
    <sheetView zoomScale="81" workbookViewId="0"/>
  </sheetViews>
  <sheetFormatPr baseColWidth="10" defaultColWidth="11" defaultRowHeight="16"/>
  <cols>
    <col min="1" max="1" width="20.6640625" style="5" customWidth="1"/>
    <col min="2" max="2" width="14" style="5" customWidth="1"/>
    <col min="3" max="3" width="14.5" style="5" customWidth="1"/>
    <col min="4" max="4" width="15.33203125" style="5" customWidth="1"/>
    <col min="5" max="5" width="16.1640625" style="5" customWidth="1"/>
    <col min="6" max="6" width="13.5" style="5" customWidth="1"/>
    <col min="7" max="16384" width="11" style="5"/>
  </cols>
  <sheetData>
    <row r="1" spans="1:8">
      <c r="A1" s="3" t="s">
        <v>632</v>
      </c>
    </row>
    <row r="2" spans="1:8">
      <c r="A2" s="6"/>
    </row>
    <row r="3" spans="1:8">
      <c r="A3" s="6"/>
      <c r="B3" s="338" t="s">
        <v>77</v>
      </c>
      <c r="C3" s="338"/>
      <c r="D3" s="338"/>
      <c r="E3" s="338"/>
      <c r="F3" s="338"/>
    </row>
    <row r="4" spans="1:8">
      <c r="A4" s="6"/>
      <c r="B4" s="135" t="s">
        <v>103</v>
      </c>
      <c r="C4" s="135" t="s">
        <v>104</v>
      </c>
      <c r="D4" s="135" t="s">
        <v>105</v>
      </c>
      <c r="E4" s="135" t="s">
        <v>106</v>
      </c>
      <c r="F4" s="135" t="s">
        <v>107</v>
      </c>
    </row>
    <row r="5" spans="1:8">
      <c r="A5" s="6">
        <v>1976</v>
      </c>
      <c r="B5" s="8">
        <v>87.423935091277897</v>
      </c>
      <c r="C5" s="8">
        <v>83.507306889352819</v>
      </c>
      <c r="D5" s="8">
        <v>84.242890084550353</v>
      </c>
      <c r="E5" s="8">
        <v>82.600950118764843</v>
      </c>
      <c r="F5" s="8">
        <v>77.902202314296375</v>
      </c>
      <c r="H5" s="8"/>
    </row>
    <row r="6" spans="1:8">
      <c r="A6" s="6">
        <v>1977</v>
      </c>
      <c r="B6" s="8">
        <v>90.515463917525778</v>
      </c>
      <c r="C6" s="8">
        <v>83.164300202839755</v>
      </c>
      <c r="D6" s="8">
        <v>83.86363636363636</v>
      </c>
      <c r="E6" s="8">
        <v>85.630153121319196</v>
      </c>
      <c r="F6" s="8">
        <v>88.258471237194641</v>
      </c>
    </row>
    <row r="7" spans="1:8">
      <c r="A7" s="6">
        <v>1978</v>
      </c>
      <c r="B7" s="8">
        <v>81.568627450980387</v>
      </c>
      <c r="C7" s="8">
        <v>83.350050150451352</v>
      </c>
      <c r="D7" s="8">
        <v>87.237237237237238</v>
      </c>
      <c r="E7" s="8">
        <v>86.184597295708414</v>
      </c>
      <c r="F7" s="8">
        <v>78.887195121951208</v>
      </c>
    </row>
    <row r="8" spans="1:8">
      <c r="A8" s="6">
        <v>1979</v>
      </c>
      <c r="B8" s="8">
        <v>87.968441814595664</v>
      </c>
      <c r="C8" s="8">
        <v>83.772819472616632</v>
      </c>
      <c r="D8" s="8">
        <v>84.099472494348149</v>
      </c>
      <c r="E8" s="8">
        <v>83.117647058823536</v>
      </c>
      <c r="F8" s="8">
        <v>83.69397217928902</v>
      </c>
    </row>
    <row r="9" spans="1:8">
      <c r="A9" s="6">
        <v>1980</v>
      </c>
      <c r="B9" s="8">
        <v>89.733840304182507</v>
      </c>
      <c r="C9" s="8">
        <v>80.990099009901002</v>
      </c>
      <c r="D9" s="8">
        <v>80.176860722181289</v>
      </c>
      <c r="E9" s="8">
        <v>81.565217391304344</v>
      </c>
      <c r="F9" s="8">
        <v>79.209039548022602</v>
      </c>
    </row>
    <row r="10" spans="1:8">
      <c r="A10" s="6">
        <v>1981</v>
      </c>
      <c r="B10" s="8">
        <v>80.188679245283026</v>
      </c>
      <c r="C10" s="8">
        <v>78.455284552845526</v>
      </c>
      <c r="D10" s="8">
        <v>80.934438583270534</v>
      </c>
      <c r="E10" s="8">
        <v>81.738109219025247</v>
      </c>
      <c r="F10" s="8">
        <v>85.336906584992349</v>
      </c>
    </row>
    <row r="11" spans="1:8">
      <c r="A11" s="6">
        <v>1982</v>
      </c>
      <c r="B11" s="8">
        <v>83.106796116504853</v>
      </c>
      <c r="C11" s="8">
        <v>78.669482576557542</v>
      </c>
      <c r="D11" s="8">
        <v>81.796875</v>
      </c>
      <c r="E11" s="8">
        <v>85.033192516596259</v>
      </c>
      <c r="F11" s="8">
        <v>83.644133644133646</v>
      </c>
    </row>
    <row r="12" spans="1:8">
      <c r="A12" s="6">
        <v>1983</v>
      </c>
      <c r="B12" s="8">
        <v>79.435483870967744</v>
      </c>
      <c r="C12" s="8">
        <v>75.877192982456137</v>
      </c>
      <c r="D12" s="8">
        <v>80.722891566265062</v>
      </c>
      <c r="E12" s="8">
        <v>80.552147239263803</v>
      </c>
      <c r="F12" s="8">
        <v>83.607843137254903</v>
      </c>
    </row>
    <row r="13" spans="1:8">
      <c r="A13" s="6">
        <v>1984</v>
      </c>
      <c r="B13" s="8">
        <v>87.018255578093303</v>
      </c>
      <c r="C13" s="8">
        <v>83.786724700761695</v>
      </c>
      <c r="D13" s="8">
        <v>86.52931854199683</v>
      </c>
      <c r="E13" s="8">
        <v>87.262706674831605</v>
      </c>
      <c r="F13" s="8">
        <v>85.121378230227094</v>
      </c>
    </row>
    <row r="14" spans="1:8">
      <c r="A14" s="6">
        <v>1985</v>
      </c>
      <c r="B14" s="8">
        <v>88.84615384615384</v>
      </c>
      <c r="C14" s="8">
        <v>85.256410256410248</v>
      </c>
      <c r="D14" s="8">
        <v>84.84375</v>
      </c>
      <c r="E14" s="8">
        <v>86.256781193490056</v>
      </c>
      <c r="F14" s="8">
        <v>84.413580246913583</v>
      </c>
    </row>
    <row r="15" spans="1:8">
      <c r="A15" s="6">
        <v>1986</v>
      </c>
      <c r="B15" s="8">
        <v>88.446969696969703</v>
      </c>
      <c r="C15" s="8">
        <v>87.460148777895853</v>
      </c>
      <c r="D15" s="8">
        <v>85.035074045206542</v>
      </c>
      <c r="E15" s="8">
        <v>83.47305389221556</v>
      </c>
      <c r="F15" s="8">
        <v>79.977116704805496</v>
      </c>
    </row>
    <row r="16" spans="1:8">
      <c r="A16" s="6">
        <v>1987</v>
      </c>
      <c r="B16" s="8">
        <v>83.985102420856606</v>
      </c>
      <c r="C16" s="8">
        <v>83.315621679064819</v>
      </c>
      <c r="D16" s="8">
        <v>84.453125</v>
      </c>
      <c r="E16" s="8">
        <v>85.989176187612742</v>
      </c>
      <c r="F16" s="8">
        <v>80.527926549349658</v>
      </c>
    </row>
    <row r="17" spans="1:6">
      <c r="A17" s="6">
        <v>1988</v>
      </c>
      <c r="B17" s="8">
        <v>86.55913978494624</v>
      </c>
      <c r="C17" s="8">
        <v>84.102564102564102</v>
      </c>
      <c r="D17" s="8">
        <v>83.57414448669202</v>
      </c>
      <c r="E17" s="8">
        <v>84.037558685446015</v>
      </c>
      <c r="F17" s="8">
        <v>80.612244897959187</v>
      </c>
    </row>
    <row r="18" spans="1:6">
      <c r="A18" s="6">
        <v>1989</v>
      </c>
      <c r="B18" s="8">
        <v>87.921847246891645</v>
      </c>
      <c r="C18" s="8">
        <v>84.3</v>
      </c>
      <c r="D18" s="8">
        <v>84.805389221556879</v>
      </c>
      <c r="E18" s="8">
        <v>84.219653179190757</v>
      </c>
      <c r="F18" s="8">
        <v>82.648908620051799</v>
      </c>
    </row>
    <row r="19" spans="1:6">
      <c r="A19" s="6">
        <v>1990</v>
      </c>
      <c r="B19" s="8">
        <v>91.886792452830193</v>
      </c>
      <c r="C19" s="8">
        <v>85.278654048370143</v>
      </c>
      <c r="D19" s="8">
        <v>86.134779240898524</v>
      </c>
      <c r="E19" s="8">
        <v>85.044510385756681</v>
      </c>
      <c r="F19" s="8">
        <v>81.592987804878049</v>
      </c>
    </row>
    <row r="20" spans="1:6">
      <c r="A20" s="6">
        <v>1991</v>
      </c>
      <c r="B20" s="8">
        <v>88.974854932301739</v>
      </c>
      <c r="C20" s="8">
        <v>84.818481848184817</v>
      </c>
      <c r="D20" s="8">
        <v>84.838709677419359</v>
      </c>
      <c r="E20" s="8">
        <v>86.724031960663794</v>
      </c>
      <c r="F20" s="8">
        <v>82.141476613838421</v>
      </c>
    </row>
    <row r="21" spans="1:6">
      <c r="A21" s="6">
        <v>1992</v>
      </c>
      <c r="B21" s="8">
        <v>90.962671905697448</v>
      </c>
      <c r="C21" s="8">
        <v>87.376509330406151</v>
      </c>
      <c r="D21" s="8">
        <v>86.148919135308248</v>
      </c>
      <c r="E21" s="8">
        <v>86.996336996336993</v>
      </c>
      <c r="F21" s="8">
        <v>84.17991469561845</v>
      </c>
    </row>
    <row r="22" spans="1:6">
      <c r="A22" s="6">
        <v>1993</v>
      </c>
      <c r="B22" s="8">
        <v>91.8</v>
      </c>
      <c r="C22" s="8">
        <v>89.897843359818381</v>
      </c>
      <c r="D22" s="8">
        <v>88.769611890999172</v>
      </c>
      <c r="E22" s="8">
        <v>87.078651685393254</v>
      </c>
      <c r="F22" s="8">
        <v>83.834737264340148</v>
      </c>
    </row>
    <row r="23" spans="1:6">
      <c r="A23" s="6">
        <v>1994</v>
      </c>
      <c r="B23" s="8">
        <v>88.385826771653541</v>
      </c>
      <c r="C23" s="8">
        <v>88.814317673378071</v>
      </c>
      <c r="D23" s="8">
        <v>86.016260162601625</v>
      </c>
      <c r="E23" s="8">
        <v>85.545905707196042</v>
      </c>
      <c r="F23" s="8">
        <v>81.915314602295211</v>
      </c>
    </row>
    <row r="24" spans="1:6">
      <c r="A24" s="6">
        <v>1995</v>
      </c>
      <c r="B24" s="8">
        <v>86.770428015564207</v>
      </c>
      <c r="C24" s="8">
        <v>85.714285714285708</v>
      </c>
      <c r="D24" s="8">
        <v>85.655737704918039</v>
      </c>
      <c r="E24" s="8">
        <v>86.807716241443686</v>
      </c>
      <c r="F24" s="8">
        <v>82.637795275590548</v>
      </c>
    </row>
    <row r="25" spans="1:6">
      <c r="A25" s="6">
        <v>1996</v>
      </c>
      <c r="B25" s="8">
        <v>91.348088531187116</v>
      </c>
      <c r="C25" s="8">
        <v>88.195232690124854</v>
      </c>
      <c r="D25" s="8">
        <v>86.732186732186733</v>
      </c>
      <c r="E25" s="8">
        <v>85.679012345679013</v>
      </c>
      <c r="F25" s="8">
        <v>82.678983833718249</v>
      </c>
    </row>
    <row r="26" spans="1:6">
      <c r="A26" s="6">
        <v>1997</v>
      </c>
      <c r="B26" s="8">
        <v>90.020366598777997</v>
      </c>
      <c r="C26" s="8">
        <v>86.651583710407238</v>
      </c>
      <c r="D26" s="8">
        <v>85.795918367346928</v>
      </c>
      <c r="E26" s="8">
        <v>84.139620330679733</v>
      </c>
      <c r="F26" s="8">
        <v>79.690449226123064</v>
      </c>
    </row>
    <row r="27" spans="1:6">
      <c r="A27" s="6">
        <v>1998</v>
      </c>
      <c r="B27" s="8">
        <v>88.560157790927022</v>
      </c>
      <c r="C27" s="8">
        <v>86.608122941822174</v>
      </c>
      <c r="D27" s="8">
        <v>85.905511811023629</v>
      </c>
      <c r="E27" s="8">
        <v>84.556664709336459</v>
      </c>
      <c r="F27" s="8">
        <v>80.190007037297676</v>
      </c>
    </row>
    <row r="28" spans="1:6">
      <c r="A28" s="6">
        <v>1999</v>
      </c>
      <c r="B28" s="8">
        <v>91.148775894538602</v>
      </c>
      <c r="C28" s="8">
        <v>86.701570680628265</v>
      </c>
      <c r="D28" s="8">
        <v>86.956521739130437</v>
      </c>
      <c r="E28" s="8">
        <v>85.510553337136344</v>
      </c>
      <c r="F28" s="8">
        <v>78.854777509486027</v>
      </c>
    </row>
    <row r="29" spans="1:6">
      <c r="A29" s="6">
        <v>2000</v>
      </c>
      <c r="B29" s="8">
        <v>94.360902255639104</v>
      </c>
      <c r="C29" s="8">
        <v>88.198757763975152</v>
      </c>
      <c r="D29" s="8">
        <v>85.543071161048687</v>
      </c>
      <c r="E29" s="8">
        <v>84.821428571428569</v>
      </c>
      <c r="F29" s="8">
        <v>79.888816219751462</v>
      </c>
    </row>
    <row r="30" spans="1:6">
      <c r="A30" s="6">
        <v>2001</v>
      </c>
      <c r="B30" s="8">
        <v>87.74080560420316</v>
      </c>
      <c r="C30" s="8">
        <v>86.839481555334004</v>
      </c>
      <c r="D30" s="8">
        <v>85.342960288808669</v>
      </c>
      <c r="E30" s="8">
        <v>83.729729729729726</v>
      </c>
      <c r="F30" s="8">
        <v>78.224035142767491</v>
      </c>
    </row>
    <row r="31" spans="1:6">
      <c r="A31" s="6">
        <v>2002</v>
      </c>
      <c r="B31" s="8">
        <v>89.266547406082282</v>
      </c>
      <c r="C31" s="8">
        <v>85.9</v>
      </c>
      <c r="D31" s="8">
        <v>85.683297180043382</v>
      </c>
      <c r="E31" s="8">
        <v>83.538873994638081</v>
      </c>
      <c r="F31" s="8">
        <v>77.868338557993738</v>
      </c>
    </row>
    <row r="32" spans="1:6">
      <c r="A32" s="6">
        <v>2003</v>
      </c>
      <c r="B32" s="8">
        <v>86.24338624338624</v>
      </c>
      <c r="C32" s="8">
        <v>86.559679037111337</v>
      </c>
      <c r="D32" s="8">
        <v>84.465317919075147</v>
      </c>
      <c r="E32" s="8">
        <v>83.585313174946009</v>
      </c>
      <c r="F32" s="8">
        <v>80.382775119617222</v>
      </c>
    </row>
    <row r="33" spans="1:6">
      <c r="A33" s="6">
        <v>2004</v>
      </c>
      <c r="B33" s="8">
        <v>88.34782608695653</v>
      </c>
      <c r="C33" s="8">
        <v>86.857707509881422</v>
      </c>
      <c r="D33" s="8">
        <v>85.18518518518519</v>
      </c>
      <c r="E33" s="8">
        <v>83.872679045092838</v>
      </c>
      <c r="F33" s="8">
        <v>79.255155432440745</v>
      </c>
    </row>
    <row r="34" spans="1:6">
      <c r="A34" s="6">
        <v>2005</v>
      </c>
      <c r="B34" s="8">
        <v>87.413793103448285</v>
      </c>
      <c r="C34" s="8">
        <v>84.393063583815035</v>
      </c>
      <c r="D34" s="8">
        <v>81.258741258741267</v>
      </c>
      <c r="E34" s="8">
        <v>80.987012987012989</v>
      </c>
      <c r="F34" s="8">
        <v>77.907333537895056</v>
      </c>
    </row>
    <row r="35" spans="1:6">
      <c r="A35" s="6">
        <v>2006</v>
      </c>
      <c r="B35" s="8">
        <v>93.057851239669418</v>
      </c>
      <c r="C35" s="8">
        <v>85.567010309278345</v>
      </c>
      <c r="D35" s="8">
        <v>83.163611676849968</v>
      </c>
      <c r="E35" s="8">
        <v>81.303688731682669</v>
      </c>
      <c r="F35" s="8">
        <v>78.964790851640089</v>
      </c>
    </row>
    <row r="36" spans="1:6">
      <c r="A36" s="6">
        <v>2007</v>
      </c>
      <c r="B36" s="8">
        <v>90.205371248025273</v>
      </c>
      <c r="C36" s="8">
        <v>85.507246376811594</v>
      </c>
      <c r="D36" s="8">
        <v>83.39895013123359</v>
      </c>
      <c r="E36" s="8">
        <v>81.991215226939971</v>
      </c>
      <c r="F36" s="8">
        <v>78.066378066378064</v>
      </c>
    </row>
    <row r="37" spans="1:6">
      <c r="A37" s="6">
        <v>2008</v>
      </c>
      <c r="B37" s="8">
        <v>92.890995260663516</v>
      </c>
      <c r="C37" s="8">
        <v>86.420863309352512</v>
      </c>
      <c r="D37" s="8">
        <v>83.795997417688824</v>
      </c>
      <c r="E37" s="8">
        <v>82.579403272377277</v>
      </c>
      <c r="F37" s="8">
        <v>75.585661868473039</v>
      </c>
    </row>
    <row r="38" spans="1:6">
      <c r="A38" s="6">
        <v>2009</v>
      </c>
      <c r="B38" s="8">
        <v>94.42675159235668</v>
      </c>
      <c r="C38" s="8">
        <v>87.354260089686093</v>
      </c>
      <c r="D38" s="8">
        <v>86.137975499677637</v>
      </c>
      <c r="E38" s="8">
        <v>84.926295767950549</v>
      </c>
      <c r="F38" s="8">
        <v>80.197740112994353</v>
      </c>
    </row>
    <row r="39" spans="1:6">
      <c r="A39" s="6">
        <v>2010</v>
      </c>
      <c r="B39" s="8">
        <v>92.721518987341767</v>
      </c>
      <c r="C39" s="8">
        <v>89.630297565374207</v>
      </c>
      <c r="D39" s="8">
        <v>88.280746941403734</v>
      </c>
      <c r="E39" s="8">
        <v>85.19047619047619</v>
      </c>
      <c r="F39" s="8">
        <v>78.132884777123635</v>
      </c>
    </row>
    <row r="40" spans="1:6">
      <c r="A40" s="6">
        <v>2011</v>
      </c>
      <c r="B40" s="8">
        <v>91.006097560975604</v>
      </c>
      <c r="C40" s="8">
        <v>88.624338624338634</v>
      </c>
      <c r="D40" s="8">
        <v>87.053571428571431</v>
      </c>
      <c r="E40" s="8">
        <v>86.04868913857679</v>
      </c>
      <c r="F40" s="8">
        <v>81.907158836689035</v>
      </c>
    </row>
    <row r="41" spans="1:6">
      <c r="A41" s="6">
        <v>2012</v>
      </c>
      <c r="B41" s="8">
        <v>93.230769230769226</v>
      </c>
      <c r="C41" s="8">
        <v>86.058519793459553</v>
      </c>
      <c r="D41" s="8">
        <v>83.426443202979513</v>
      </c>
      <c r="E41" s="8">
        <v>84.877823881973256</v>
      </c>
      <c r="F41" s="8">
        <v>79.334787350054526</v>
      </c>
    </row>
    <row r="42" spans="1:6">
      <c r="A42" s="6">
        <v>2013</v>
      </c>
      <c r="B42" s="8">
        <v>89.728096676737152</v>
      </c>
      <c r="C42" s="8">
        <v>86.626402070750657</v>
      </c>
      <c r="D42" s="8">
        <v>84.720496894409933</v>
      </c>
      <c r="E42" s="8">
        <v>83.295402822030042</v>
      </c>
      <c r="F42" s="8">
        <v>77.486631016042779</v>
      </c>
    </row>
    <row r="43" spans="1:6">
      <c r="A43" s="6">
        <v>2014</v>
      </c>
      <c r="B43" s="8">
        <v>90.10339734121122</v>
      </c>
      <c r="C43" s="8">
        <v>85.666387259010904</v>
      </c>
      <c r="D43" s="8">
        <v>85.021224984839293</v>
      </c>
      <c r="E43" s="8">
        <v>82.055906221821459</v>
      </c>
      <c r="F43" s="8">
        <v>74.303322615219727</v>
      </c>
    </row>
    <row r="44" spans="1:6">
      <c r="A44" s="6">
        <v>2015</v>
      </c>
      <c r="B44" s="8">
        <v>90.801186943620181</v>
      </c>
      <c r="C44" s="8">
        <v>89.790794979079507</v>
      </c>
      <c r="D44" s="8">
        <v>86.007237635705664</v>
      </c>
      <c r="E44" s="8">
        <v>82.463186077643911</v>
      </c>
      <c r="F44" s="8">
        <v>72.986532875627148</v>
      </c>
    </row>
    <row r="45" spans="1:6">
      <c r="A45" s="6">
        <v>2016</v>
      </c>
      <c r="B45" s="8">
        <v>97.093023255813947</v>
      </c>
      <c r="C45" s="8">
        <v>88.630705394190869</v>
      </c>
      <c r="D45" s="8">
        <v>84.305472038484666</v>
      </c>
      <c r="E45" s="8">
        <v>83.534675615212535</v>
      </c>
      <c r="F45" s="8">
        <v>79.626623376623371</v>
      </c>
    </row>
    <row r="46" spans="1:6">
      <c r="A46" s="6">
        <v>2017</v>
      </c>
      <c r="B46" s="8">
        <v>91.465149359886198</v>
      </c>
      <c r="C46" s="8">
        <v>87.449718423169756</v>
      </c>
      <c r="D46" s="8">
        <v>85.091337654684736</v>
      </c>
      <c r="E46" s="8">
        <v>83.98950131233596</v>
      </c>
      <c r="F46" s="8">
        <v>77.858439201451901</v>
      </c>
    </row>
    <row r="47" spans="1:6">
      <c r="A47" s="6">
        <v>2018</v>
      </c>
      <c r="B47" s="8">
        <v>94.337016574585633</v>
      </c>
      <c r="C47" s="8">
        <v>88.040912667191179</v>
      </c>
      <c r="D47" s="8">
        <v>84.189267166762832</v>
      </c>
      <c r="E47" s="8">
        <v>82.198275862068968</v>
      </c>
      <c r="F47" s="8">
        <v>81.546069755335765</v>
      </c>
    </row>
    <row r="48" spans="1:6">
      <c r="A48" s="6">
        <v>2019</v>
      </c>
      <c r="B48" s="8">
        <v>92.622950819672127</v>
      </c>
      <c r="C48" s="8">
        <v>88.90625</v>
      </c>
      <c r="D48" s="8">
        <v>83.170028818443811</v>
      </c>
      <c r="E48" s="8">
        <v>80.909480909480919</v>
      </c>
      <c r="F48" s="8">
        <v>78.974624546866906</v>
      </c>
    </row>
    <row r="50" spans="1:6">
      <c r="A50" s="5" t="s">
        <v>22</v>
      </c>
      <c r="B50" s="8">
        <f>B48-B5</f>
        <v>5.1990157283942295</v>
      </c>
      <c r="C50" s="8">
        <f t="shared" ref="C50:E50" si="0">C48-C5</f>
        <v>5.3989431106471812</v>
      </c>
      <c r="D50" s="8">
        <f t="shared" si="0"/>
        <v>-1.0728612661065426</v>
      </c>
      <c r="E50" s="8">
        <f t="shared" si="0"/>
        <v>-1.6914692092839232</v>
      </c>
      <c r="F50" s="8">
        <f t="shared" ref="F50" si="1">F48-F5</f>
        <v>1.0724222325705313</v>
      </c>
    </row>
    <row r="51" spans="1:6">
      <c r="A51" s="5" t="s">
        <v>23</v>
      </c>
      <c r="B51" s="8">
        <f>B29-B5</f>
        <v>6.9369671643612065</v>
      </c>
      <c r="C51" s="8">
        <f t="shared" ref="C51:E51" si="2">C29-C5</f>
        <v>4.6914508746223333</v>
      </c>
      <c r="D51" s="8">
        <f t="shared" si="2"/>
        <v>1.3001810764983333</v>
      </c>
      <c r="E51" s="8">
        <f t="shared" si="2"/>
        <v>2.2204784526637269</v>
      </c>
      <c r="F51" s="8">
        <f t="shared" ref="F51" si="3">F29-F5</f>
        <v>1.9866139054550871</v>
      </c>
    </row>
    <row r="52" spans="1:6">
      <c r="A52" s="5" t="s">
        <v>24</v>
      </c>
      <c r="B52" s="8">
        <f>B48-B29</f>
        <v>-1.737951435966977</v>
      </c>
      <c r="C52" s="8">
        <f t="shared" ref="C52:E52" si="4">C48-C29</f>
        <v>0.7074922360248479</v>
      </c>
      <c r="D52" s="8">
        <f t="shared" si="4"/>
        <v>-2.3730423426048759</v>
      </c>
      <c r="E52" s="8">
        <f t="shared" si="4"/>
        <v>-3.9119476619476501</v>
      </c>
      <c r="F52" s="8">
        <f t="shared" ref="F52" si="5">F48-F29</f>
        <v>-0.91419167288455583</v>
      </c>
    </row>
    <row r="54" spans="1:6">
      <c r="A54" s="6"/>
    </row>
    <row r="55" spans="1:6">
      <c r="A55" s="6" t="s">
        <v>631</v>
      </c>
    </row>
  </sheetData>
  <mergeCells count="1">
    <mergeCell ref="B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AA28D-53DA-FA47-AE1D-0D380CBFDD7C}">
  <sheetPr codeName="Sheet27"/>
  <dimension ref="A1:F63"/>
  <sheetViews>
    <sheetView workbookViewId="0"/>
  </sheetViews>
  <sheetFormatPr baseColWidth="10" defaultColWidth="11" defaultRowHeight="16"/>
  <cols>
    <col min="1" max="1" width="17.33203125" style="5" customWidth="1"/>
    <col min="2" max="16384" width="11" style="5"/>
  </cols>
  <sheetData>
    <row r="1" spans="1:6">
      <c r="A1" s="19" t="s">
        <v>633</v>
      </c>
    </row>
    <row r="2" spans="1:6">
      <c r="A2" s="5" t="s">
        <v>3</v>
      </c>
    </row>
    <row r="4" spans="1:6">
      <c r="B4" s="328" t="s">
        <v>78</v>
      </c>
      <c r="C4" s="328"/>
      <c r="D4" s="328"/>
      <c r="E4" s="328"/>
      <c r="F4" s="328"/>
    </row>
    <row r="5" spans="1:6" ht="37" customHeight="1">
      <c r="B5" s="137" t="s">
        <v>103</v>
      </c>
      <c r="C5" s="137" t="s">
        <v>104</v>
      </c>
      <c r="D5" s="137" t="s">
        <v>105</v>
      </c>
      <c r="E5" s="137" t="s">
        <v>106</v>
      </c>
      <c r="F5" s="137" t="s">
        <v>107</v>
      </c>
    </row>
    <row r="6" spans="1:6">
      <c r="A6" s="5">
        <v>1977</v>
      </c>
      <c r="B6" s="20">
        <v>5650</v>
      </c>
      <c r="C6" s="20">
        <v>12450</v>
      </c>
      <c r="D6" s="20">
        <v>18200</v>
      </c>
      <c r="E6" s="20">
        <v>26950</v>
      </c>
      <c r="F6" s="20">
        <v>49200</v>
      </c>
    </row>
    <row r="7" spans="1:6">
      <c r="A7" s="5">
        <v>1978</v>
      </c>
      <c r="B7" s="20" t="s">
        <v>87</v>
      </c>
      <c r="C7" s="20" t="s">
        <v>87</v>
      </c>
      <c r="D7" s="20" t="s">
        <v>87</v>
      </c>
      <c r="E7" s="20" t="s">
        <v>87</v>
      </c>
      <c r="F7" s="20" t="s">
        <v>87</v>
      </c>
    </row>
    <row r="8" spans="1:6">
      <c r="A8" s="5">
        <v>1979</v>
      </c>
      <c r="B8" s="20">
        <v>8000</v>
      </c>
      <c r="C8" s="20">
        <v>14550</v>
      </c>
      <c r="D8" s="20">
        <v>20700</v>
      </c>
      <c r="E8" s="20">
        <v>30700</v>
      </c>
      <c r="F8" s="20">
        <v>56350</v>
      </c>
    </row>
    <row r="9" spans="1:6">
      <c r="A9" s="5">
        <v>1980</v>
      </c>
      <c r="B9" s="20" t="s">
        <v>87</v>
      </c>
      <c r="C9" s="20" t="s">
        <v>87</v>
      </c>
      <c r="D9" s="20" t="s">
        <v>87</v>
      </c>
      <c r="E9" s="20" t="s">
        <v>87</v>
      </c>
      <c r="F9" s="20" t="s">
        <v>87</v>
      </c>
    </row>
    <row r="10" spans="1:6">
      <c r="A10" s="5">
        <v>1981</v>
      </c>
      <c r="B10" s="20">
        <v>8350</v>
      </c>
      <c r="C10" s="20">
        <v>14800</v>
      </c>
      <c r="D10" s="20">
        <v>20550</v>
      </c>
      <c r="E10" s="20">
        <v>29750</v>
      </c>
      <c r="F10" s="20">
        <v>51400</v>
      </c>
    </row>
    <row r="11" spans="1:6">
      <c r="A11" s="5">
        <v>1982</v>
      </c>
      <c r="B11" s="20">
        <v>6950</v>
      </c>
      <c r="C11" s="20">
        <v>14350</v>
      </c>
      <c r="D11" s="20">
        <v>19200</v>
      </c>
      <c r="E11" s="20">
        <v>29050</v>
      </c>
      <c r="F11" s="20">
        <v>51900</v>
      </c>
    </row>
    <row r="12" spans="1:6">
      <c r="A12" s="5">
        <v>1983</v>
      </c>
      <c r="B12" s="20" t="s">
        <v>87</v>
      </c>
      <c r="C12" s="20" t="s">
        <v>87</v>
      </c>
      <c r="D12" s="20" t="s">
        <v>87</v>
      </c>
      <c r="E12" s="20" t="s">
        <v>87</v>
      </c>
      <c r="F12" s="20" t="s">
        <v>87</v>
      </c>
    </row>
    <row r="13" spans="1:6">
      <c r="A13" s="5">
        <v>1984</v>
      </c>
      <c r="B13" s="20">
        <v>7000</v>
      </c>
      <c r="C13" s="20">
        <v>14950</v>
      </c>
      <c r="D13" s="20">
        <v>20200</v>
      </c>
      <c r="E13" s="20">
        <v>30100</v>
      </c>
      <c r="F13" s="20">
        <v>57500</v>
      </c>
    </row>
    <row r="14" spans="1:6">
      <c r="A14" s="5">
        <v>1985</v>
      </c>
      <c r="B14" s="20">
        <v>7450</v>
      </c>
      <c r="C14" s="20">
        <v>16150</v>
      </c>
      <c r="D14" s="20">
        <v>21200</v>
      </c>
      <c r="E14" s="20">
        <v>31250</v>
      </c>
      <c r="F14" s="20">
        <v>55350</v>
      </c>
    </row>
    <row r="15" spans="1:6">
      <c r="A15" s="5">
        <v>1986</v>
      </c>
      <c r="B15" s="20">
        <v>8150</v>
      </c>
      <c r="C15" s="20">
        <v>16300</v>
      </c>
      <c r="D15" s="20">
        <v>21400</v>
      </c>
      <c r="E15" s="20">
        <v>31050</v>
      </c>
      <c r="F15" s="20">
        <v>58150</v>
      </c>
    </row>
    <row r="16" spans="1:6">
      <c r="A16" s="5">
        <v>1987</v>
      </c>
      <c r="B16" s="20">
        <v>7750</v>
      </c>
      <c r="C16" s="20">
        <v>15550</v>
      </c>
      <c r="D16" s="20">
        <v>19450</v>
      </c>
      <c r="E16" s="20">
        <v>27650</v>
      </c>
      <c r="F16" s="20">
        <v>46350</v>
      </c>
    </row>
    <row r="17" spans="1:6">
      <c r="A17" s="5">
        <v>1988</v>
      </c>
      <c r="B17" s="20">
        <v>9900</v>
      </c>
      <c r="C17" s="20">
        <v>16950</v>
      </c>
      <c r="D17" s="20">
        <v>22200</v>
      </c>
      <c r="E17" s="20">
        <v>30400</v>
      </c>
      <c r="F17" s="20">
        <v>53600</v>
      </c>
    </row>
    <row r="18" spans="1:6">
      <c r="A18" s="5">
        <v>1989</v>
      </c>
      <c r="B18" s="20">
        <v>10050</v>
      </c>
      <c r="C18" s="20">
        <v>17050</v>
      </c>
      <c r="D18" s="20">
        <v>21800</v>
      </c>
      <c r="E18" s="20">
        <v>32100</v>
      </c>
      <c r="F18" s="20">
        <v>52000</v>
      </c>
    </row>
    <row r="19" spans="1:6">
      <c r="A19" s="5">
        <v>1990</v>
      </c>
      <c r="B19" s="20">
        <v>8800</v>
      </c>
      <c r="C19" s="20">
        <v>16950</v>
      </c>
      <c r="D19" s="20">
        <v>21550</v>
      </c>
      <c r="E19" s="20">
        <v>31300</v>
      </c>
      <c r="F19" s="20">
        <v>52350</v>
      </c>
    </row>
    <row r="20" spans="1:6">
      <c r="A20" s="5">
        <v>1991</v>
      </c>
      <c r="B20" s="20">
        <v>8400</v>
      </c>
      <c r="C20" s="20">
        <v>16650</v>
      </c>
      <c r="D20" s="20">
        <v>21100</v>
      </c>
      <c r="E20" s="20">
        <v>30000</v>
      </c>
      <c r="F20" s="20">
        <v>53950</v>
      </c>
    </row>
    <row r="21" spans="1:6">
      <c r="A21" s="5">
        <v>1992</v>
      </c>
      <c r="B21" s="20">
        <v>8650</v>
      </c>
      <c r="C21" s="20">
        <v>15950</v>
      </c>
      <c r="D21" s="20">
        <v>20400</v>
      </c>
      <c r="E21" s="20">
        <v>28200</v>
      </c>
      <c r="F21" s="20">
        <v>47400</v>
      </c>
    </row>
    <row r="22" spans="1:6">
      <c r="A22" s="5">
        <v>1993</v>
      </c>
      <c r="B22" s="20">
        <v>8200</v>
      </c>
      <c r="C22" s="20">
        <v>15950</v>
      </c>
      <c r="D22" s="20">
        <v>20350</v>
      </c>
      <c r="E22" s="20">
        <v>28300</v>
      </c>
      <c r="F22" s="20">
        <v>51000</v>
      </c>
    </row>
    <row r="23" spans="1:6">
      <c r="A23" s="5">
        <v>1994</v>
      </c>
      <c r="B23" s="20">
        <v>8150</v>
      </c>
      <c r="C23" s="20">
        <v>16350</v>
      </c>
      <c r="D23" s="20">
        <v>21000</v>
      </c>
      <c r="E23" s="20">
        <v>28900</v>
      </c>
      <c r="F23" s="20">
        <v>50050</v>
      </c>
    </row>
    <row r="24" spans="1:6">
      <c r="A24" s="5">
        <v>1995</v>
      </c>
      <c r="B24" s="20">
        <v>8500</v>
      </c>
      <c r="C24" s="20">
        <v>17150</v>
      </c>
      <c r="D24" s="20">
        <v>21750</v>
      </c>
      <c r="E24" s="20">
        <v>30700</v>
      </c>
      <c r="F24" s="20">
        <v>52850</v>
      </c>
    </row>
    <row r="25" spans="1:6">
      <c r="A25" s="5">
        <v>1996</v>
      </c>
      <c r="B25" s="20">
        <v>8200</v>
      </c>
      <c r="C25" s="20">
        <v>16200</v>
      </c>
      <c r="D25" s="20">
        <v>21050</v>
      </c>
      <c r="E25" s="20">
        <v>28800</v>
      </c>
      <c r="F25" s="20">
        <v>49250</v>
      </c>
    </row>
    <row r="26" spans="1:6">
      <c r="A26" s="5">
        <v>1997</v>
      </c>
      <c r="B26" s="20">
        <v>7000</v>
      </c>
      <c r="C26" s="20">
        <v>14950</v>
      </c>
      <c r="D26" s="20">
        <v>20600</v>
      </c>
      <c r="E26" s="20">
        <v>29150</v>
      </c>
      <c r="F26" s="20">
        <v>53300</v>
      </c>
    </row>
    <row r="27" spans="1:6">
      <c r="A27" s="5">
        <v>1998</v>
      </c>
      <c r="B27" s="20">
        <v>8500</v>
      </c>
      <c r="C27" s="20">
        <v>16450</v>
      </c>
      <c r="D27" s="20">
        <v>21100</v>
      </c>
      <c r="E27" s="20">
        <v>30150</v>
      </c>
      <c r="F27" s="20">
        <v>52750</v>
      </c>
    </row>
    <row r="28" spans="1:6">
      <c r="A28" s="5">
        <v>1999</v>
      </c>
      <c r="B28" s="20">
        <v>7600</v>
      </c>
      <c r="C28" s="20">
        <v>17200</v>
      </c>
      <c r="D28" s="20">
        <v>22100</v>
      </c>
      <c r="E28" s="20">
        <v>32150</v>
      </c>
      <c r="F28" s="20">
        <v>52700</v>
      </c>
    </row>
    <row r="29" spans="1:6">
      <c r="A29" s="5">
        <v>2000</v>
      </c>
      <c r="B29" s="20">
        <v>7400</v>
      </c>
      <c r="C29" s="20">
        <v>16700</v>
      </c>
      <c r="D29" s="20">
        <v>21100</v>
      </c>
      <c r="E29" s="20">
        <v>30200</v>
      </c>
      <c r="F29" s="20">
        <v>52450</v>
      </c>
    </row>
    <row r="30" spans="1:6">
      <c r="A30" s="5">
        <v>2001</v>
      </c>
      <c r="B30" s="20">
        <v>7900</v>
      </c>
      <c r="C30" s="20">
        <v>16750</v>
      </c>
      <c r="D30" s="20">
        <v>22350</v>
      </c>
      <c r="E30" s="20">
        <v>31300</v>
      </c>
      <c r="F30" s="20">
        <v>62500</v>
      </c>
    </row>
    <row r="31" spans="1:6">
      <c r="A31" s="5">
        <v>2002</v>
      </c>
      <c r="B31" s="20">
        <v>7750</v>
      </c>
      <c r="C31" s="20">
        <v>17100</v>
      </c>
      <c r="D31" s="20">
        <v>21400</v>
      </c>
      <c r="E31" s="20">
        <v>29300</v>
      </c>
      <c r="F31" s="20">
        <v>51850</v>
      </c>
    </row>
    <row r="32" spans="1:6">
      <c r="A32" s="5">
        <v>2003</v>
      </c>
      <c r="B32" s="20">
        <v>7200</v>
      </c>
      <c r="C32" s="20">
        <v>17800</v>
      </c>
      <c r="D32" s="20">
        <v>22700</v>
      </c>
      <c r="E32" s="20">
        <v>30300</v>
      </c>
      <c r="F32" s="20">
        <v>51600</v>
      </c>
    </row>
    <row r="33" spans="1:6">
      <c r="A33" s="5">
        <v>2004</v>
      </c>
      <c r="B33" s="20">
        <v>8050</v>
      </c>
      <c r="C33" s="20">
        <v>17550</v>
      </c>
      <c r="D33" s="20">
        <v>22650</v>
      </c>
      <c r="E33" s="20">
        <v>30100</v>
      </c>
      <c r="F33" s="20">
        <v>49750</v>
      </c>
    </row>
    <row r="34" spans="1:6">
      <c r="A34" s="5">
        <v>2005</v>
      </c>
      <c r="B34" s="20">
        <v>7300</v>
      </c>
      <c r="C34" s="20">
        <v>16000</v>
      </c>
      <c r="D34" s="20">
        <v>22300</v>
      </c>
      <c r="E34" s="20">
        <v>31950</v>
      </c>
      <c r="F34" s="20">
        <v>54000</v>
      </c>
    </row>
    <row r="35" spans="1:6">
      <c r="A35" s="5">
        <v>2006</v>
      </c>
      <c r="B35" s="20">
        <v>7500</v>
      </c>
      <c r="C35" s="20">
        <v>17400</v>
      </c>
      <c r="D35" s="20">
        <v>23850</v>
      </c>
      <c r="E35" s="20">
        <v>33350</v>
      </c>
      <c r="F35" s="20">
        <v>54100</v>
      </c>
    </row>
    <row r="36" spans="1:6">
      <c r="A36" s="5">
        <v>2007</v>
      </c>
      <c r="B36" s="20">
        <v>9650</v>
      </c>
      <c r="C36" s="20">
        <v>19400</v>
      </c>
      <c r="D36" s="20">
        <v>24950</v>
      </c>
      <c r="E36" s="20">
        <v>35050</v>
      </c>
      <c r="F36" s="20">
        <v>59400</v>
      </c>
    </row>
    <row r="37" spans="1:6">
      <c r="A37" s="5">
        <v>2008</v>
      </c>
      <c r="B37" s="20">
        <v>7300</v>
      </c>
      <c r="C37" s="20">
        <v>17050</v>
      </c>
      <c r="D37" s="20">
        <v>24850</v>
      </c>
      <c r="E37" s="20">
        <v>35950</v>
      </c>
      <c r="F37" s="20">
        <v>62700</v>
      </c>
    </row>
    <row r="38" spans="1:6">
      <c r="A38" s="5">
        <v>2009</v>
      </c>
      <c r="B38" s="20">
        <v>7800</v>
      </c>
      <c r="C38" s="20">
        <v>18450</v>
      </c>
      <c r="D38" s="20">
        <v>25500</v>
      </c>
      <c r="E38" s="20">
        <v>36250</v>
      </c>
      <c r="F38" s="20">
        <v>62000</v>
      </c>
    </row>
    <row r="39" spans="1:6">
      <c r="A39" s="5">
        <v>2010</v>
      </c>
      <c r="B39" s="20">
        <v>8900</v>
      </c>
      <c r="C39" s="20">
        <v>19450</v>
      </c>
      <c r="D39" s="20">
        <v>25850</v>
      </c>
      <c r="E39" s="20">
        <v>36250</v>
      </c>
      <c r="F39" s="20">
        <v>60400</v>
      </c>
    </row>
    <row r="40" spans="1:6">
      <c r="A40" s="5">
        <v>2011</v>
      </c>
      <c r="B40" s="20">
        <v>9750</v>
      </c>
      <c r="C40" s="20">
        <v>20150</v>
      </c>
      <c r="D40" s="20">
        <v>26150</v>
      </c>
      <c r="E40" s="20">
        <v>36850</v>
      </c>
      <c r="F40" s="20">
        <v>60700</v>
      </c>
    </row>
    <row r="41" spans="1:6">
      <c r="A41" s="5">
        <v>2012</v>
      </c>
      <c r="B41" s="20">
        <v>7500</v>
      </c>
      <c r="C41" s="20">
        <v>19800</v>
      </c>
      <c r="D41" s="20">
        <v>26450</v>
      </c>
      <c r="E41" s="20">
        <v>36900</v>
      </c>
      <c r="F41" s="20">
        <v>64050</v>
      </c>
    </row>
    <row r="42" spans="1:6">
      <c r="A42" s="5">
        <v>2013</v>
      </c>
      <c r="B42" s="20">
        <v>8700</v>
      </c>
      <c r="C42" s="20">
        <v>21050</v>
      </c>
      <c r="D42" s="20">
        <v>27500</v>
      </c>
      <c r="E42" s="20">
        <v>38450</v>
      </c>
      <c r="F42" s="20">
        <v>63150</v>
      </c>
    </row>
    <row r="43" spans="1:6">
      <c r="A43" s="5">
        <v>2014</v>
      </c>
      <c r="B43" s="20">
        <v>10900</v>
      </c>
      <c r="C43" s="20">
        <v>21800</v>
      </c>
      <c r="D43" s="20">
        <v>28350</v>
      </c>
      <c r="E43" s="20">
        <v>38100</v>
      </c>
      <c r="F43" s="20">
        <v>71100</v>
      </c>
    </row>
    <row r="44" spans="1:6">
      <c r="A44" s="5">
        <v>2015</v>
      </c>
      <c r="B44" s="20">
        <v>7250</v>
      </c>
      <c r="C44" s="20">
        <v>19300</v>
      </c>
      <c r="D44" s="20">
        <v>25950</v>
      </c>
      <c r="E44" s="20">
        <v>35650</v>
      </c>
      <c r="F44" s="20">
        <v>64850</v>
      </c>
    </row>
    <row r="45" spans="1:6">
      <c r="A45" s="5">
        <v>2016</v>
      </c>
      <c r="B45" s="20">
        <v>9350</v>
      </c>
      <c r="C45" s="20">
        <v>19950</v>
      </c>
      <c r="D45" s="20">
        <v>26700</v>
      </c>
      <c r="E45" s="20">
        <v>37000</v>
      </c>
      <c r="F45" s="20">
        <v>57550</v>
      </c>
    </row>
    <row r="46" spans="1:6">
      <c r="A46" s="5">
        <v>2017</v>
      </c>
      <c r="B46" s="20">
        <v>10000</v>
      </c>
      <c r="C46" s="20">
        <v>21850</v>
      </c>
      <c r="D46" s="20">
        <v>28700</v>
      </c>
      <c r="E46" s="20">
        <v>38750</v>
      </c>
      <c r="F46" s="20">
        <v>66050</v>
      </c>
    </row>
    <row r="47" spans="1:6">
      <c r="A47" s="5">
        <v>2018</v>
      </c>
      <c r="B47" s="20">
        <v>9800</v>
      </c>
      <c r="C47" s="20">
        <v>21250</v>
      </c>
      <c r="D47" s="20">
        <v>27700</v>
      </c>
      <c r="E47" s="20">
        <v>38250</v>
      </c>
      <c r="F47" s="20">
        <v>65900</v>
      </c>
    </row>
    <row r="48" spans="1:6">
      <c r="A48" s="5">
        <v>2019</v>
      </c>
      <c r="B48" s="20">
        <v>12050</v>
      </c>
      <c r="C48" s="20">
        <v>22050</v>
      </c>
      <c r="D48" s="20">
        <v>28900</v>
      </c>
      <c r="E48" s="20">
        <v>38050</v>
      </c>
      <c r="F48" s="20">
        <v>65150</v>
      </c>
    </row>
    <row r="50" spans="1:6">
      <c r="A50" s="135" t="s">
        <v>132</v>
      </c>
      <c r="B50" s="143">
        <f>100*((B48/B6)^(1/42)-1)</f>
        <v>1.8197136688949067</v>
      </c>
      <c r="C50" s="143">
        <f t="shared" ref="C50:F50" si="0">100*((C48/C6)^(1/42)-1)</f>
        <v>1.3702361342587066</v>
      </c>
      <c r="D50" s="143">
        <f t="shared" si="0"/>
        <v>1.1070833127428292</v>
      </c>
      <c r="E50" s="143">
        <f t="shared" si="0"/>
        <v>0.82461419281072423</v>
      </c>
      <c r="F50" s="143">
        <f t="shared" si="0"/>
        <v>0.67080819263796165</v>
      </c>
    </row>
    <row r="51" spans="1:6">
      <c r="A51" s="135" t="s">
        <v>133</v>
      </c>
      <c r="B51" s="143">
        <f>100*((B29/B6)^(1/23)-1)</f>
        <v>1.1800581957204459</v>
      </c>
      <c r="C51" s="143">
        <f t="shared" ref="C51:F51" si="1">100*((C29/C6)^(1/23)-1)</f>
        <v>1.285092007007238</v>
      </c>
      <c r="D51" s="143">
        <f t="shared" si="1"/>
        <v>0.64490297741996994</v>
      </c>
      <c r="E51" s="143">
        <f t="shared" si="1"/>
        <v>0.49626484390414838</v>
      </c>
      <c r="F51" s="143">
        <f t="shared" si="1"/>
        <v>0.27850323798566112</v>
      </c>
    </row>
    <row r="52" spans="1:6">
      <c r="A52" s="135" t="s">
        <v>11</v>
      </c>
      <c r="B52" s="143">
        <f>100*((B48/B29)^(1/19)-1)</f>
        <v>2.5994463476130658</v>
      </c>
      <c r="C52" s="143">
        <f t="shared" ref="C52:F52" si="2">100*((C48/C29)^(1/19)-1)</f>
        <v>1.4734011109152068</v>
      </c>
      <c r="D52" s="143">
        <f t="shared" si="2"/>
        <v>1.6694053764806371</v>
      </c>
      <c r="E52" s="143">
        <f t="shared" si="2"/>
        <v>1.223525414244242</v>
      </c>
      <c r="F52" s="143">
        <f t="shared" si="2"/>
        <v>1.1477576562767489</v>
      </c>
    </row>
    <row r="54" spans="1:6">
      <c r="A54" s="5" t="s">
        <v>631</v>
      </c>
    </row>
    <row r="61" spans="1:6">
      <c r="B61" s="137"/>
      <c r="C61" s="137"/>
      <c r="D61" s="137"/>
      <c r="E61" s="137"/>
      <c r="F61" s="137"/>
    </row>
    <row r="62" spans="1:6">
      <c r="B62" s="143"/>
      <c r="C62" s="143"/>
      <c r="D62" s="143"/>
      <c r="E62" s="143"/>
      <c r="F62" s="143"/>
    </row>
    <row r="63" spans="1:6">
      <c r="B63" s="143"/>
      <c r="C63" s="143"/>
      <c r="D63" s="143"/>
      <c r="E63" s="143"/>
      <c r="F63" s="143"/>
    </row>
  </sheetData>
  <mergeCells count="1">
    <mergeCell ref="B4:F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CF138-062C-8447-A621-A8348E75B472}">
  <sheetPr codeName="Sheet28"/>
  <dimension ref="A1:H54"/>
  <sheetViews>
    <sheetView workbookViewId="0">
      <selection activeCell="R43" sqref="R43"/>
    </sheetView>
  </sheetViews>
  <sheetFormatPr baseColWidth="10" defaultColWidth="11" defaultRowHeight="16"/>
  <cols>
    <col min="1" max="1" width="20.6640625" style="5" customWidth="1"/>
    <col min="2" max="6" width="15.1640625" style="5" customWidth="1"/>
    <col min="7" max="16384" width="11" style="5"/>
  </cols>
  <sheetData>
    <row r="1" spans="1:6">
      <c r="A1" s="19" t="s">
        <v>634</v>
      </c>
    </row>
    <row r="2" spans="1:6">
      <c r="B2" s="77"/>
      <c r="C2" s="77"/>
      <c r="D2" s="77"/>
      <c r="E2" s="77"/>
      <c r="F2" s="77"/>
    </row>
    <row r="3" spans="1:6" ht="34" customHeight="1">
      <c r="B3" s="137" t="s">
        <v>103</v>
      </c>
      <c r="C3" s="137" t="s">
        <v>104</v>
      </c>
      <c r="D3" s="137" t="s">
        <v>105</v>
      </c>
      <c r="E3" s="137" t="s">
        <v>106</v>
      </c>
      <c r="F3" s="137" t="s">
        <v>107</v>
      </c>
    </row>
    <row r="4" spans="1:6">
      <c r="A4" s="5">
        <v>1977</v>
      </c>
      <c r="B4" s="8">
        <v>85.606060606060609</v>
      </c>
      <c r="C4" s="8">
        <v>87.368421052631589</v>
      </c>
      <c r="D4" s="8">
        <v>74.134419551934826</v>
      </c>
      <c r="E4" s="8">
        <v>71.296296296296291</v>
      </c>
      <c r="F4" s="8">
        <v>78.343949044585997</v>
      </c>
    </row>
    <row r="5" spans="1:6">
      <c r="A5" s="5">
        <v>1978</v>
      </c>
      <c r="B5" s="8" t="s">
        <v>87</v>
      </c>
      <c r="C5" s="8" t="s">
        <v>87</v>
      </c>
      <c r="D5" s="8" t="s">
        <v>87</v>
      </c>
      <c r="E5" s="8" t="s">
        <v>87</v>
      </c>
      <c r="F5" s="8" t="s">
        <v>87</v>
      </c>
    </row>
    <row r="6" spans="1:6">
      <c r="A6" s="5">
        <v>1979</v>
      </c>
      <c r="B6" s="8">
        <v>98.76543209876543</v>
      </c>
      <c r="C6" s="8">
        <v>91.798107255520506</v>
      </c>
      <c r="D6" s="8">
        <v>79.310344827586206</v>
      </c>
      <c r="E6" s="8">
        <v>80.052151238591918</v>
      </c>
      <c r="F6" s="8">
        <v>87.704280155642024</v>
      </c>
    </row>
    <row r="7" spans="1:6">
      <c r="A7" s="5">
        <v>1980</v>
      </c>
      <c r="B7" s="8" t="s">
        <v>87</v>
      </c>
      <c r="C7" s="8" t="s">
        <v>87</v>
      </c>
      <c r="D7" s="8" t="s">
        <v>87</v>
      </c>
      <c r="E7" s="8" t="s">
        <v>87</v>
      </c>
      <c r="F7" s="8" t="s">
        <v>87</v>
      </c>
    </row>
    <row r="8" spans="1:6">
      <c r="A8" s="5">
        <v>1981</v>
      </c>
      <c r="B8" s="8">
        <v>89.784946236559136</v>
      </c>
      <c r="C8" s="8">
        <v>85.057471264367805</v>
      </c>
      <c r="D8" s="8">
        <v>77.110694183864908</v>
      </c>
      <c r="E8" s="8">
        <v>74.937027707808568</v>
      </c>
      <c r="F8" s="8">
        <v>77.409638554216869</v>
      </c>
    </row>
    <row r="9" spans="1:6">
      <c r="A9" s="5">
        <v>1982</v>
      </c>
      <c r="B9" s="8">
        <v>76.373626373626365</v>
      </c>
      <c r="C9" s="8">
        <v>82.947976878612721</v>
      </c>
      <c r="D9" s="8">
        <v>73.846153846153854</v>
      </c>
      <c r="E9" s="8">
        <v>74.487179487179489</v>
      </c>
      <c r="F9" s="8">
        <v>78.51739788199697</v>
      </c>
    </row>
    <row r="10" spans="1:6">
      <c r="A10" s="5">
        <v>1983</v>
      </c>
      <c r="B10" s="8" t="s">
        <v>87</v>
      </c>
      <c r="C10" s="8" t="s">
        <v>87</v>
      </c>
      <c r="D10" s="8" t="s">
        <v>87</v>
      </c>
      <c r="E10" s="8" t="s">
        <v>87</v>
      </c>
      <c r="F10" s="8" t="s">
        <v>87</v>
      </c>
    </row>
    <row r="11" spans="1:6">
      <c r="A11" s="5">
        <v>1984</v>
      </c>
      <c r="B11" s="8">
        <v>80.924855491329481</v>
      </c>
      <c r="C11" s="8">
        <v>86.1671469740634</v>
      </c>
      <c r="D11" s="8">
        <v>81.287726358148888</v>
      </c>
      <c r="E11" s="8">
        <v>81.022880215343207</v>
      </c>
      <c r="F11" s="8">
        <v>91.560509554140125</v>
      </c>
    </row>
    <row r="12" spans="1:6">
      <c r="A12" s="5">
        <v>1985</v>
      </c>
      <c r="B12" s="8">
        <v>80.540540540540533</v>
      </c>
      <c r="C12" s="8">
        <v>90.22346368715084</v>
      </c>
      <c r="D12" s="8">
        <v>85.140562248995991</v>
      </c>
      <c r="E12" s="8">
        <v>84.118438761776588</v>
      </c>
      <c r="F12" s="8">
        <v>86.147859922178995</v>
      </c>
    </row>
    <row r="13" spans="1:6">
      <c r="A13" s="5">
        <v>1986</v>
      </c>
      <c r="B13" s="8">
        <v>89.071038251366119</v>
      </c>
      <c r="C13" s="8">
        <v>89.31506849315069</v>
      </c>
      <c r="D13" s="8">
        <v>85.429141716566875</v>
      </c>
      <c r="E13" s="8">
        <v>84.604904632152582</v>
      </c>
      <c r="F13" s="8">
        <v>92.301587301587304</v>
      </c>
    </row>
    <row r="14" spans="1:6">
      <c r="A14" s="5">
        <v>1987</v>
      </c>
      <c r="B14" s="8">
        <v>79.896907216494853</v>
      </c>
      <c r="C14" s="8">
        <v>84.741144414168929</v>
      </c>
      <c r="D14" s="8">
        <v>76.72583826429981</v>
      </c>
      <c r="E14" s="8">
        <v>74.528301886792448</v>
      </c>
      <c r="F14" s="8">
        <v>74.818401937046005</v>
      </c>
    </row>
    <row r="15" spans="1:6">
      <c r="A15" s="5">
        <v>1988</v>
      </c>
      <c r="B15" s="8">
        <v>100.50761421319795</v>
      </c>
      <c r="C15" s="8">
        <v>91.621621621621614</v>
      </c>
      <c r="D15" s="8">
        <v>86.71875</v>
      </c>
      <c r="E15" s="8">
        <v>81.174899866488644</v>
      </c>
      <c r="F15" s="8">
        <v>84.078431372549019</v>
      </c>
    </row>
    <row r="16" spans="1:6">
      <c r="A16" s="5">
        <v>1989</v>
      </c>
      <c r="B16" s="8">
        <v>91.363636363636374</v>
      </c>
      <c r="C16" s="8">
        <v>87.886597938144334</v>
      </c>
      <c r="D16" s="8">
        <v>81.191806331471142</v>
      </c>
      <c r="E16" s="8">
        <v>81.992337164750964</v>
      </c>
      <c r="F16" s="8">
        <v>82.670906200317958</v>
      </c>
    </row>
    <row r="17" spans="1:6">
      <c r="A17" s="5">
        <v>1990</v>
      </c>
      <c r="B17" s="8">
        <v>86.274509803921575</v>
      </c>
      <c r="C17" s="8">
        <v>90.4</v>
      </c>
      <c r="D17" s="8">
        <v>84.675834970530445</v>
      </c>
      <c r="E17" s="8">
        <v>84.253028263795429</v>
      </c>
      <c r="F17" s="8">
        <v>81.415241057542758</v>
      </c>
    </row>
    <row r="18" spans="1:6">
      <c r="A18" s="5">
        <v>1991</v>
      </c>
      <c r="B18" s="8">
        <v>91.803278688524586</v>
      </c>
      <c r="C18" s="8">
        <v>93.016759776536318</v>
      </c>
      <c r="D18" s="8">
        <v>87.733887733887741</v>
      </c>
      <c r="E18" s="8">
        <v>84.626234132581104</v>
      </c>
      <c r="F18" s="8">
        <v>90.978077571669473</v>
      </c>
    </row>
    <row r="19" spans="1:6">
      <c r="A19" s="5">
        <v>1992</v>
      </c>
      <c r="B19" s="8">
        <v>94.021739130434781</v>
      </c>
      <c r="C19" s="8">
        <v>88.365650969529085</v>
      </c>
      <c r="D19" s="8">
        <v>85.534591194968556</v>
      </c>
      <c r="E19" s="8">
        <v>79.548660084626235</v>
      </c>
      <c r="F19" s="8">
        <v>77.64127764127764</v>
      </c>
    </row>
    <row r="20" spans="1:6">
      <c r="A20" s="5">
        <v>1993</v>
      </c>
      <c r="B20" s="8">
        <v>90.607734806629836</v>
      </c>
      <c r="C20" s="8">
        <v>90.368271954674213</v>
      </c>
      <c r="D20" s="8">
        <v>85.146443514644361</v>
      </c>
      <c r="E20" s="8">
        <v>80.972818311874107</v>
      </c>
      <c r="F20" s="8">
        <v>84.08903544929926</v>
      </c>
    </row>
    <row r="21" spans="1:6">
      <c r="A21" s="5">
        <v>1994</v>
      </c>
      <c r="B21" s="8">
        <v>88.58695652173914</v>
      </c>
      <c r="C21" s="8">
        <v>91.596638655462186</v>
      </c>
      <c r="D21" s="8">
        <v>88.79492600422833</v>
      </c>
      <c r="E21" s="8">
        <v>83.526011560693647</v>
      </c>
      <c r="F21" s="8">
        <v>82.932891466445739</v>
      </c>
    </row>
    <row r="22" spans="1:6">
      <c r="A22" s="5">
        <v>1995</v>
      </c>
      <c r="B22" s="8">
        <v>96.590909090909093</v>
      </c>
      <c r="C22" s="8">
        <v>95.543175487465177</v>
      </c>
      <c r="D22" s="8">
        <v>90.062111801242239</v>
      </c>
      <c r="E22" s="8">
        <v>86.845827439886847</v>
      </c>
      <c r="F22" s="8">
        <v>86.85291700903862</v>
      </c>
    </row>
    <row r="23" spans="1:6">
      <c r="A23" s="5">
        <v>1996</v>
      </c>
      <c r="B23" s="8">
        <v>95.348837209302332</v>
      </c>
      <c r="C23" s="8">
        <v>92.045454545454547</v>
      </c>
      <c r="D23" s="8">
        <v>89.384288747346076</v>
      </c>
      <c r="E23" s="8">
        <v>83.116883116883116</v>
      </c>
      <c r="F23" s="8">
        <v>82.014987510407991</v>
      </c>
    </row>
    <row r="24" spans="1:6">
      <c r="A24" s="5">
        <v>1997</v>
      </c>
      <c r="B24" s="8">
        <v>84.337349397590373</v>
      </c>
      <c r="C24" s="8">
        <v>86.1671469740634</v>
      </c>
      <c r="D24" s="8">
        <v>87.846481876332632</v>
      </c>
      <c r="E24" s="8">
        <v>84.005763688760808</v>
      </c>
      <c r="F24" s="8">
        <v>87.377049180327873</v>
      </c>
    </row>
    <row r="25" spans="1:6">
      <c r="A25" s="5">
        <v>1998</v>
      </c>
      <c r="B25" s="8">
        <v>107.59493670886076</v>
      </c>
      <c r="C25" s="8">
        <v>94.540229885057471</v>
      </c>
      <c r="D25" s="8">
        <v>87.190082644628092</v>
      </c>
      <c r="E25" s="8">
        <v>84.69101123595506</v>
      </c>
      <c r="F25" s="8">
        <v>84.467574059247397</v>
      </c>
    </row>
    <row r="26" spans="1:6">
      <c r="A26" s="5">
        <v>1999</v>
      </c>
      <c r="B26" s="8">
        <v>99.346405228758172</v>
      </c>
      <c r="C26" s="8">
        <v>95.82172701949861</v>
      </c>
      <c r="D26" s="8">
        <v>88.047808764940243</v>
      </c>
      <c r="E26" s="8">
        <v>87.364130434782609</v>
      </c>
      <c r="F26" s="8">
        <v>77.900960827790101</v>
      </c>
    </row>
    <row r="27" spans="1:6">
      <c r="A27" s="5">
        <v>2000</v>
      </c>
      <c r="B27" s="8">
        <v>93.670886075949369</v>
      </c>
      <c r="C27" s="8">
        <v>91.758241758241752</v>
      </c>
      <c r="D27" s="8">
        <v>82.261208576998044</v>
      </c>
      <c r="E27" s="8">
        <v>80.965147453083105</v>
      </c>
      <c r="F27" s="8">
        <v>78.108711839166048</v>
      </c>
    </row>
    <row r="28" spans="1:6">
      <c r="A28" s="5">
        <v>2001</v>
      </c>
      <c r="B28" s="8">
        <v>95.180722891566262</v>
      </c>
      <c r="C28" s="8">
        <v>88.624338624338634</v>
      </c>
      <c r="D28" s="8">
        <v>82.931354359925791</v>
      </c>
      <c r="E28" s="8">
        <v>80.256410256410263</v>
      </c>
      <c r="F28" s="8">
        <v>88.589652728561305</v>
      </c>
    </row>
    <row r="29" spans="1:6">
      <c r="A29" s="5">
        <v>2002</v>
      </c>
      <c r="B29" s="8">
        <v>84.699453551912569</v>
      </c>
      <c r="C29" s="8">
        <v>87.917737789203088</v>
      </c>
      <c r="D29" s="8">
        <v>76.978417266187051</v>
      </c>
      <c r="E29" s="8">
        <v>73.710691823899367</v>
      </c>
      <c r="F29" s="8">
        <v>72.771929824561397</v>
      </c>
    </row>
    <row r="30" spans="1:6">
      <c r="A30" s="5">
        <v>2003</v>
      </c>
      <c r="B30" s="8">
        <v>81.818181818181827</v>
      </c>
      <c r="C30" s="8">
        <v>92.708333333333343</v>
      </c>
      <c r="D30" s="8">
        <v>82.998171846435099</v>
      </c>
      <c r="E30" s="8">
        <v>76.226415094339629</v>
      </c>
      <c r="F30" s="8">
        <v>69.966101694915253</v>
      </c>
    </row>
    <row r="31" spans="1:6">
      <c r="A31" s="5">
        <v>2004</v>
      </c>
      <c r="B31" s="8">
        <v>94.152046783625735</v>
      </c>
      <c r="C31" s="8">
        <v>92.125984251968504</v>
      </c>
      <c r="D31" s="8">
        <v>82.214156079854803</v>
      </c>
      <c r="E31" s="8">
        <v>74.968866749688672</v>
      </c>
      <c r="F31" s="8">
        <v>68.057455540355676</v>
      </c>
    </row>
    <row r="32" spans="1:6">
      <c r="A32" s="5">
        <v>2005</v>
      </c>
      <c r="B32" s="8">
        <v>83.428571428571431</v>
      </c>
      <c r="C32" s="8">
        <v>83.550913838120096</v>
      </c>
      <c r="D32" s="8">
        <v>80.943738656987293</v>
      </c>
      <c r="E32" s="8">
        <v>79.084158415841586</v>
      </c>
      <c r="F32" s="8">
        <v>71.287128712871279</v>
      </c>
    </row>
    <row r="33" spans="1:8">
      <c r="A33" s="5">
        <v>2006</v>
      </c>
      <c r="B33" s="8">
        <v>92.024539877300612</v>
      </c>
      <c r="C33" s="8">
        <v>91.338582677165363</v>
      </c>
      <c r="D33" s="8">
        <v>85.026737967914428</v>
      </c>
      <c r="E33" s="8">
        <v>80.458383594692393</v>
      </c>
      <c r="F33" s="8">
        <v>70.168612191958488</v>
      </c>
    </row>
    <row r="34" spans="1:8">
      <c r="A34" s="5">
        <v>2007</v>
      </c>
      <c r="B34" s="8">
        <v>107.82122905027933</v>
      </c>
      <c r="C34" s="8">
        <v>98.477157360406082</v>
      </c>
      <c r="D34" s="8">
        <v>86.183074265975819</v>
      </c>
      <c r="E34" s="8">
        <v>82.567726737338049</v>
      </c>
      <c r="F34" s="8">
        <v>76.300578034682076</v>
      </c>
    </row>
    <row r="35" spans="1:8">
      <c r="A35" s="5">
        <v>2008</v>
      </c>
      <c r="B35" s="8">
        <v>72.277227722772281</v>
      </c>
      <c r="C35" s="8">
        <v>82.566585956416461</v>
      </c>
      <c r="D35" s="8">
        <v>82.6955074875208</v>
      </c>
      <c r="E35" s="8">
        <v>81.611804767309877</v>
      </c>
      <c r="F35" s="8">
        <v>80.746941403734709</v>
      </c>
    </row>
    <row r="36" spans="1:8">
      <c r="A36" s="5">
        <v>2009</v>
      </c>
      <c r="B36" s="8">
        <v>82.10526315789474</v>
      </c>
      <c r="C36" s="8">
        <v>89.563106796116514</v>
      </c>
      <c r="D36" s="8">
        <v>84.297520661157023</v>
      </c>
      <c r="E36" s="8">
        <v>81.920903954802256</v>
      </c>
      <c r="F36" s="8">
        <v>77.694235588972433</v>
      </c>
    </row>
    <row r="37" spans="1:8">
      <c r="A37" s="5">
        <v>2010</v>
      </c>
      <c r="B37" s="8">
        <v>93.684210526315795</v>
      </c>
      <c r="C37" s="8">
        <v>93.961352657004824</v>
      </c>
      <c r="D37" s="8">
        <v>85.032894736842096</v>
      </c>
      <c r="E37" s="8">
        <v>81.552305961754783</v>
      </c>
      <c r="F37" s="8">
        <v>76.893698281349458</v>
      </c>
    </row>
    <row r="38" spans="1:8">
      <c r="A38" s="5">
        <v>2011</v>
      </c>
      <c r="B38" s="8">
        <v>109.55056179775281</v>
      </c>
      <c r="C38" s="8">
        <v>100.49875311720697</v>
      </c>
      <c r="D38" s="8">
        <v>90.017211703958694</v>
      </c>
      <c r="E38" s="8">
        <v>86.910377358490564</v>
      </c>
      <c r="F38" s="8">
        <v>80.450629555997338</v>
      </c>
    </row>
    <row r="39" spans="1:8">
      <c r="A39" s="5">
        <v>2012</v>
      </c>
      <c r="B39" s="8">
        <v>84.269662921348313</v>
      </c>
      <c r="C39" s="8">
        <v>94.510739856801905</v>
      </c>
      <c r="D39" s="8">
        <v>86.721311475409834</v>
      </c>
      <c r="E39" s="8">
        <v>85.121107266435985</v>
      </c>
      <c r="F39" s="8">
        <v>83.561643835616437</v>
      </c>
    </row>
    <row r="40" spans="1:8">
      <c r="A40" s="5">
        <v>2013</v>
      </c>
      <c r="B40" s="8">
        <v>103.57142857142858</v>
      </c>
      <c r="C40" s="8">
        <v>97.906976744186053</v>
      </c>
      <c r="D40" s="8">
        <v>87.301587301587304</v>
      </c>
      <c r="E40" s="8">
        <v>85.160575858250269</v>
      </c>
      <c r="F40" s="8">
        <v>77.67527675276753</v>
      </c>
    </row>
    <row r="41" spans="1:8">
      <c r="A41" s="5">
        <v>2014</v>
      </c>
      <c r="B41" s="8">
        <v>124.57142857142858</v>
      </c>
      <c r="C41" s="8">
        <v>102.10772833723654</v>
      </c>
      <c r="D41" s="8">
        <v>90.286624203821646</v>
      </c>
      <c r="E41" s="8">
        <v>85.234899328859058</v>
      </c>
      <c r="F41" s="8">
        <v>89.886219974715559</v>
      </c>
    </row>
    <row r="42" spans="1:8">
      <c r="A42" s="5">
        <v>2015</v>
      </c>
      <c r="B42" s="8">
        <v>84.795321637426895</v>
      </c>
      <c r="C42" s="8">
        <v>93.012048192771076</v>
      </c>
      <c r="D42" s="8">
        <v>85.221674876847288</v>
      </c>
      <c r="E42" s="8">
        <v>80.656108597285069</v>
      </c>
      <c r="F42" s="8">
        <v>80.40917544947304</v>
      </c>
    </row>
    <row r="43" spans="1:8">
      <c r="A43" s="5">
        <v>2016</v>
      </c>
      <c r="B43" s="8">
        <v>102.18579234972678</v>
      </c>
      <c r="C43" s="8">
        <v>92.79069767441861</v>
      </c>
      <c r="D43" s="8">
        <v>86.829268292682926</v>
      </c>
      <c r="E43" s="8">
        <v>84.090909090909093</v>
      </c>
      <c r="F43" s="8">
        <v>70.311545510079412</v>
      </c>
    </row>
    <row r="44" spans="1:8">
      <c r="A44" s="5">
        <v>2017</v>
      </c>
      <c r="B44" s="8">
        <v>104.16666666666667</v>
      </c>
      <c r="C44" s="8">
        <v>99.318181818181813</v>
      </c>
      <c r="D44" s="8">
        <v>91.111111111111114</v>
      </c>
      <c r="E44" s="8">
        <v>85.920177383592019</v>
      </c>
      <c r="F44" s="8">
        <v>80.012113870381583</v>
      </c>
    </row>
    <row r="45" spans="1:8">
      <c r="A45" s="5">
        <v>2018</v>
      </c>
      <c r="B45" s="8">
        <v>105.3763440860215</v>
      </c>
      <c r="C45" s="8">
        <v>96.371882086167801</v>
      </c>
      <c r="D45" s="8">
        <v>87.797147385103017</v>
      </c>
      <c r="E45" s="8">
        <v>84.811529933481154</v>
      </c>
      <c r="F45" s="8">
        <v>81.559405940594047</v>
      </c>
    </row>
    <row r="46" spans="1:8">
      <c r="A46" s="5">
        <v>2019</v>
      </c>
      <c r="B46" s="8">
        <v>118.7192118226601</v>
      </c>
      <c r="C46" s="8">
        <v>95.869565217391312</v>
      </c>
      <c r="D46" s="8">
        <v>89.060092449922962</v>
      </c>
      <c r="E46" s="8">
        <v>83.169398907103826</v>
      </c>
      <c r="F46" s="8">
        <v>79.596823457544289</v>
      </c>
    </row>
    <row r="48" spans="1:8">
      <c r="A48" s="22" t="s">
        <v>134</v>
      </c>
      <c r="B48" s="8">
        <f>B46-B4</f>
        <v>33.113151216599491</v>
      </c>
      <c r="C48" s="8">
        <f t="shared" ref="C48:F48" si="0">C46-C4</f>
        <v>8.5011441647597223</v>
      </c>
      <c r="D48" s="8">
        <f t="shared" si="0"/>
        <v>14.925672897988136</v>
      </c>
      <c r="E48" s="8">
        <f t="shared" si="0"/>
        <v>11.873102610807535</v>
      </c>
      <c r="F48" s="8">
        <f t="shared" si="0"/>
        <v>1.2528744129582918</v>
      </c>
      <c r="G48" s="135"/>
      <c r="H48" s="135"/>
    </row>
    <row r="49" spans="1:8">
      <c r="A49" s="22" t="s">
        <v>135</v>
      </c>
      <c r="B49" s="8">
        <f>B27-B4</f>
        <v>8.0648254698887598</v>
      </c>
      <c r="C49" s="8">
        <f t="shared" ref="C49:F49" si="1">C27-C4</f>
        <v>4.3898207056101626</v>
      </c>
      <c r="D49" s="8">
        <f t="shared" si="1"/>
        <v>8.1267890250632178</v>
      </c>
      <c r="E49" s="8">
        <f t="shared" si="1"/>
        <v>9.6688511567868147</v>
      </c>
      <c r="F49" s="8">
        <f t="shared" si="1"/>
        <v>-0.23523720541994919</v>
      </c>
      <c r="G49" s="135"/>
      <c r="H49" s="135"/>
    </row>
    <row r="50" spans="1:8">
      <c r="A50" s="22" t="s">
        <v>24</v>
      </c>
      <c r="B50" s="8">
        <f>B46-B27</f>
        <v>25.048325746710731</v>
      </c>
      <c r="C50" s="8">
        <f t="shared" ref="C50:F50" si="2">C46-C27</f>
        <v>4.1113234591495598</v>
      </c>
      <c r="D50" s="8">
        <f t="shared" si="2"/>
        <v>6.7988838729249181</v>
      </c>
      <c r="E50" s="8">
        <f t="shared" si="2"/>
        <v>2.2042514540207208</v>
      </c>
      <c r="F50" s="8">
        <f t="shared" si="2"/>
        <v>1.488111618378241</v>
      </c>
      <c r="G50" s="135"/>
      <c r="H50" s="135"/>
    </row>
    <row r="51" spans="1:8">
      <c r="A51" s="22"/>
      <c r="B51" s="135"/>
      <c r="C51" s="135"/>
      <c r="D51" s="135"/>
      <c r="E51" s="135"/>
      <c r="F51" s="135"/>
      <c r="G51" s="135"/>
      <c r="H51" s="135"/>
    </row>
    <row r="52" spans="1:8">
      <c r="A52" s="22" t="s">
        <v>538</v>
      </c>
      <c r="B52" s="135"/>
      <c r="C52" s="135"/>
      <c r="D52" s="135"/>
      <c r="E52" s="135"/>
      <c r="F52" s="135"/>
      <c r="G52" s="135"/>
      <c r="H52" s="135"/>
    </row>
    <row r="53" spans="1:8">
      <c r="A53" s="135"/>
      <c r="B53" s="135"/>
      <c r="C53" s="135"/>
      <c r="D53" s="135"/>
      <c r="E53" s="135"/>
      <c r="F53" s="135"/>
      <c r="G53" s="135"/>
      <c r="H53" s="135"/>
    </row>
    <row r="54" spans="1:8">
      <c r="A54" s="135"/>
      <c r="B54" s="135"/>
      <c r="C54" s="135"/>
      <c r="D54" s="135"/>
      <c r="E54" s="135"/>
      <c r="F54" s="135"/>
      <c r="G54" s="135"/>
      <c r="H54" s="13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B294E-6A97-CB46-9D24-0410FBA25A56}">
  <dimension ref="A1:AC275"/>
  <sheetViews>
    <sheetView zoomScale="72" workbookViewId="0"/>
  </sheetViews>
  <sheetFormatPr baseColWidth="10" defaultColWidth="10.83203125" defaultRowHeight="16"/>
  <cols>
    <col min="1" max="1" width="23.6640625" style="99" customWidth="1"/>
    <col min="2" max="7" width="14.83203125" style="99" customWidth="1"/>
    <col min="8" max="16384" width="10.83203125" style="99"/>
  </cols>
  <sheetData>
    <row r="1" spans="1:29">
      <c r="A1" s="103" t="s">
        <v>635</v>
      </c>
      <c r="M1" s="193"/>
      <c r="N1" s="340"/>
      <c r="O1" s="340"/>
      <c r="P1" s="340"/>
      <c r="Q1" s="340"/>
      <c r="R1" s="340"/>
      <c r="S1" s="340"/>
    </row>
    <row r="2" spans="1:29">
      <c r="M2" s="193"/>
      <c r="N2" s="194"/>
      <c r="O2" s="194"/>
      <c r="P2" s="194"/>
      <c r="Q2" s="194"/>
      <c r="R2" s="194"/>
      <c r="S2" s="194"/>
    </row>
    <row r="3" spans="1:29">
      <c r="A3" s="99" t="s">
        <v>179</v>
      </c>
      <c r="M3" s="195"/>
      <c r="N3" s="101"/>
      <c r="O3" s="78"/>
      <c r="P3" s="101"/>
      <c r="Q3" s="78"/>
      <c r="R3" s="101"/>
      <c r="S3" s="78"/>
    </row>
    <row r="4" spans="1:29">
      <c r="M4" s="195"/>
      <c r="N4" s="101"/>
      <c r="O4" s="78"/>
      <c r="P4" s="101"/>
      <c r="Q4" s="78"/>
      <c r="R4" s="101"/>
      <c r="S4" s="78"/>
    </row>
    <row r="5" spans="1:29" ht="34">
      <c r="B5" s="100" t="s">
        <v>92</v>
      </c>
      <c r="C5" s="100" t="s">
        <v>172</v>
      </c>
      <c r="D5" s="100" t="s">
        <v>173</v>
      </c>
      <c r="E5" s="100" t="s">
        <v>174</v>
      </c>
      <c r="F5" s="100" t="s">
        <v>93</v>
      </c>
      <c r="G5" s="100" t="s">
        <v>175</v>
      </c>
      <c r="H5" s="100" t="s">
        <v>176</v>
      </c>
      <c r="I5" s="100" t="s">
        <v>177</v>
      </c>
      <c r="J5" s="100" t="s">
        <v>178</v>
      </c>
      <c r="K5" s="100" t="s">
        <v>94</v>
      </c>
      <c r="M5" s="195"/>
      <c r="N5" s="101"/>
      <c r="O5" s="78"/>
      <c r="P5" s="101"/>
      <c r="Q5" s="100"/>
      <c r="R5" s="100"/>
      <c r="S5" s="100"/>
      <c r="T5" s="100"/>
      <c r="U5" s="100"/>
      <c r="V5" s="100"/>
      <c r="W5" s="100"/>
      <c r="X5" s="100"/>
      <c r="Y5" s="100"/>
      <c r="Z5" s="100"/>
      <c r="AB5" s="101"/>
    </row>
    <row r="6" spans="1:29">
      <c r="A6" s="99">
        <v>1976</v>
      </c>
      <c r="B6" s="78">
        <v>1.3</v>
      </c>
      <c r="C6" s="78">
        <v>3.6</v>
      </c>
      <c r="D6" s="78">
        <v>5.4</v>
      </c>
      <c r="E6" s="78">
        <v>6.8</v>
      </c>
      <c r="F6" s="78">
        <v>8.5</v>
      </c>
      <c r="G6" s="78">
        <v>10.199999999999999</v>
      </c>
      <c r="H6" s="78">
        <v>11.7</v>
      </c>
      <c r="I6" s="78">
        <v>13.5</v>
      </c>
      <c r="J6" s="78">
        <v>16.2</v>
      </c>
      <c r="K6" s="78">
        <v>22.8</v>
      </c>
      <c r="M6" s="196"/>
      <c r="Q6" s="278"/>
      <c r="R6" s="278"/>
      <c r="S6" s="278"/>
      <c r="T6" s="278"/>
      <c r="U6" s="278"/>
      <c r="V6" s="278"/>
      <c r="W6" s="278"/>
      <c r="X6" s="278"/>
      <c r="Y6" s="278"/>
      <c r="Z6" s="278"/>
      <c r="AB6" s="100"/>
      <c r="AC6" s="278"/>
    </row>
    <row r="7" spans="1:29">
      <c r="A7" s="99">
        <v>1977</v>
      </c>
      <c r="B7" s="78">
        <v>1.6</v>
      </c>
      <c r="C7" s="78">
        <v>3.5</v>
      </c>
      <c r="D7" s="78">
        <v>5</v>
      </c>
      <c r="E7" s="78">
        <v>6.7</v>
      </c>
      <c r="F7" s="78">
        <v>8.3000000000000007</v>
      </c>
      <c r="G7" s="78">
        <v>9.8000000000000007</v>
      </c>
      <c r="H7" s="78">
        <v>11.5</v>
      </c>
      <c r="I7" s="78">
        <v>13.5</v>
      </c>
      <c r="J7" s="78">
        <v>16.399999999999999</v>
      </c>
      <c r="K7" s="78">
        <v>23.7</v>
      </c>
      <c r="Q7" s="278"/>
      <c r="R7" s="278"/>
      <c r="S7" s="278"/>
      <c r="T7" s="278"/>
      <c r="U7" s="278"/>
      <c r="V7" s="278"/>
      <c r="W7" s="278"/>
      <c r="X7" s="278"/>
      <c r="Y7" s="278"/>
      <c r="Z7" s="278"/>
      <c r="AB7" s="100"/>
      <c r="AC7" s="278"/>
    </row>
    <row r="8" spans="1:29">
      <c r="A8" s="99">
        <v>1978</v>
      </c>
      <c r="B8" s="78">
        <v>1.6</v>
      </c>
      <c r="C8" s="78">
        <v>3.7</v>
      </c>
      <c r="D8" s="78">
        <v>5.2</v>
      </c>
      <c r="E8" s="78">
        <v>6.9</v>
      </c>
      <c r="F8" s="78">
        <v>8.6</v>
      </c>
      <c r="G8" s="78">
        <v>10.5</v>
      </c>
      <c r="H8" s="78">
        <v>11.9</v>
      </c>
      <c r="I8" s="78">
        <v>13.8</v>
      </c>
      <c r="J8" s="78">
        <v>16.100000000000001</v>
      </c>
      <c r="K8" s="78">
        <v>21.7</v>
      </c>
      <c r="AB8" s="100"/>
      <c r="AC8" s="278"/>
    </row>
    <row r="9" spans="1:29">
      <c r="A9" s="99">
        <v>1979</v>
      </c>
      <c r="B9" s="78">
        <v>2</v>
      </c>
      <c r="C9" s="78">
        <v>3.7</v>
      </c>
      <c r="D9" s="78">
        <v>5.0999999999999996</v>
      </c>
      <c r="E9" s="78">
        <v>6.9</v>
      </c>
      <c r="F9" s="78">
        <v>8.5</v>
      </c>
      <c r="G9" s="78">
        <v>10</v>
      </c>
      <c r="H9" s="78">
        <v>11.5</v>
      </c>
      <c r="I9" s="78">
        <v>13.2</v>
      </c>
      <c r="J9" s="78">
        <v>16</v>
      </c>
      <c r="K9" s="78">
        <v>23</v>
      </c>
      <c r="AB9" s="100"/>
      <c r="AC9" s="278"/>
    </row>
    <row r="10" spans="1:29">
      <c r="A10" s="99">
        <v>1980</v>
      </c>
      <c r="B10" s="78">
        <v>2</v>
      </c>
      <c r="C10" s="78">
        <v>3.7</v>
      </c>
      <c r="D10" s="78">
        <v>5.4</v>
      </c>
      <c r="E10" s="78">
        <v>7</v>
      </c>
      <c r="F10" s="78">
        <v>8.6</v>
      </c>
      <c r="G10" s="78">
        <v>9.9</v>
      </c>
      <c r="H10" s="78">
        <v>11.5</v>
      </c>
      <c r="I10" s="78">
        <v>13.3</v>
      </c>
      <c r="J10" s="78">
        <v>16</v>
      </c>
      <c r="K10" s="78">
        <v>22.6</v>
      </c>
      <c r="AB10" s="100"/>
      <c r="AC10" s="278"/>
    </row>
    <row r="11" spans="1:29">
      <c r="A11" s="99">
        <v>1981</v>
      </c>
      <c r="B11" s="78">
        <v>2</v>
      </c>
      <c r="C11" s="78">
        <v>3.7</v>
      </c>
      <c r="D11" s="78">
        <v>5.0999999999999996</v>
      </c>
      <c r="E11" s="78">
        <v>6.4</v>
      </c>
      <c r="F11" s="78">
        <v>8.1</v>
      </c>
      <c r="G11" s="78">
        <v>9.6999999999999993</v>
      </c>
      <c r="H11" s="78">
        <v>11.3</v>
      </c>
      <c r="I11" s="78">
        <v>13.2</v>
      </c>
      <c r="J11" s="78">
        <v>15.9</v>
      </c>
      <c r="K11" s="78">
        <v>24.6</v>
      </c>
      <c r="AB11" s="100"/>
      <c r="AC11" s="278"/>
    </row>
    <row r="12" spans="1:29">
      <c r="A12" s="99">
        <v>1982</v>
      </c>
      <c r="B12" s="78">
        <v>2</v>
      </c>
      <c r="C12" s="78">
        <v>3.6</v>
      </c>
      <c r="D12" s="78">
        <v>5</v>
      </c>
      <c r="E12" s="78">
        <v>6.4</v>
      </c>
      <c r="F12" s="78">
        <v>8</v>
      </c>
      <c r="G12" s="78">
        <v>9.6</v>
      </c>
      <c r="H12" s="78">
        <v>11.4</v>
      </c>
      <c r="I12" s="78">
        <v>13.6</v>
      </c>
      <c r="J12" s="78">
        <v>16.5</v>
      </c>
      <c r="K12" s="78">
        <v>23.8</v>
      </c>
      <c r="AB12" s="100"/>
      <c r="AC12" s="278"/>
    </row>
    <row r="13" spans="1:29">
      <c r="A13" s="99">
        <v>1983</v>
      </c>
      <c r="B13" s="78">
        <v>1.8</v>
      </c>
      <c r="C13" s="78">
        <v>3.5</v>
      </c>
      <c r="D13" s="78">
        <v>4.8</v>
      </c>
      <c r="E13" s="78">
        <v>6.3</v>
      </c>
      <c r="F13" s="78">
        <v>7.8</v>
      </c>
      <c r="G13" s="78">
        <v>9.6999999999999993</v>
      </c>
      <c r="H13" s="78">
        <v>11.3</v>
      </c>
      <c r="I13" s="78">
        <v>13.3</v>
      </c>
      <c r="J13" s="78">
        <v>16.3</v>
      </c>
      <c r="K13" s="78">
        <v>25.2</v>
      </c>
      <c r="AB13" s="100"/>
      <c r="AC13" s="278"/>
    </row>
    <row r="14" spans="1:29">
      <c r="A14" s="99">
        <v>1984</v>
      </c>
      <c r="B14" s="78">
        <v>1.9</v>
      </c>
      <c r="C14" s="78">
        <v>3.6</v>
      </c>
      <c r="D14" s="78">
        <v>5</v>
      </c>
      <c r="E14" s="78">
        <v>6.5</v>
      </c>
      <c r="F14" s="78">
        <v>8</v>
      </c>
      <c r="G14" s="78">
        <v>9.8000000000000007</v>
      </c>
      <c r="H14" s="78">
        <v>11.6</v>
      </c>
      <c r="I14" s="78">
        <v>13.6</v>
      </c>
      <c r="J14" s="78">
        <v>16.399999999999999</v>
      </c>
      <c r="K14" s="78">
        <v>23.6</v>
      </c>
      <c r="AB14" s="100"/>
      <c r="AC14" s="278"/>
    </row>
    <row r="15" spans="1:29">
      <c r="A15" s="99">
        <v>1985</v>
      </c>
      <c r="B15" s="78">
        <v>2</v>
      </c>
      <c r="C15" s="78">
        <v>3.8</v>
      </c>
      <c r="D15" s="78">
        <v>5.3</v>
      </c>
      <c r="E15" s="78">
        <v>6.7</v>
      </c>
      <c r="F15" s="78">
        <v>8.1</v>
      </c>
      <c r="G15" s="78">
        <v>9.6</v>
      </c>
      <c r="H15" s="78">
        <v>11.3</v>
      </c>
      <c r="I15" s="78">
        <v>13.4</v>
      </c>
      <c r="J15" s="78">
        <v>16.3</v>
      </c>
      <c r="K15" s="78">
        <v>23.5</v>
      </c>
      <c r="AB15" s="100"/>
      <c r="AC15" s="278"/>
    </row>
    <row r="16" spans="1:29">
      <c r="A16" s="99">
        <v>1986</v>
      </c>
      <c r="B16" s="78">
        <v>2.1</v>
      </c>
      <c r="C16" s="78">
        <v>3.8</v>
      </c>
      <c r="D16" s="78">
        <v>5.3</v>
      </c>
      <c r="E16" s="78">
        <v>6.9</v>
      </c>
      <c r="F16" s="78">
        <v>8.5</v>
      </c>
      <c r="G16" s="78">
        <v>9.9</v>
      </c>
      <c r="H16" s="78">
        <v>11.5</v>
      </c>
      <c r="I16" s="78">
        <v>13.3</v>
      </c>
      <c r="J16" s="78">
        <v>15.9</v>
      </c>
      <c r="K16" s="78">
        <v>22.7</v>
      </c>
    </row>
    <row r="17" spans="1:11">
      <c r="A17" s="99">
        <v>1987</v>
      </c>
      <c r="B17" s="78">
        <v>2.1</v>
      </c>
      <c r="C17" s="78">
        <v>3.7</v>
      </c>
      <c r="D17" s="78">
        <v>5</v>
      </c>
      <c r="E17" s="78">
        <v>6.5</v>
      </c>
      <c r="F17" s="78">
        <v>8.1</v>
      </c>
      <c r="G17" s="78">
        <v>9.6999999999999993</v>
      </c>
      <c r="H17" s="78">
        <v>11.6</v>
      </c>
      <c r="I17" s="78">
        <v>13.8</v>
      </c>
      <c r="J17" s="78">
        <v>16.600000000000001</v>
      </c>
      <c r="K17" s="78">
        <v>23</v>
      </c>
    </row>
    <row r="18" spans="1:11">
      <c r="A18" s="99">
        <v>1988</v>
      </c>
      <c r="B18" s="78">
        <v>2.4</v>
      </c>
      <c r="C18" s="78">
        <v>3.9</v>
      </c>
      <c r="D18" s="78">
        <v>5.3</v>
      </c>
      <c r="E18" s="78">
        <v>6.8</v>
      </c>
      <c r="F18" s="78">
        <v>8.1999999999999993</v>
      </c>
      <c r="G18" s="78">
        <v>9.8000000000000007</v>
      </c>
      <c r="H18" s="78">
        <v>11.4</v>
      </c>
      <c r="I18" s="78">
        <v>13.4</v>
      </c>
      <c r="J18" s="78">
        <v>16.100000000000001</v>
      </c>
      <c r="K18" s="78">
        <v>22.8</v>
      </c>
    </row>
    <row r="19" spans="1:11">
      <c r="A19" s="99">
        <v>1989</v>
      </c>
      <c r="B19" s="78">
        <v>2.2999999999999998</v>
      </c>
      <c r="C19" s="78">
        <v>3.8</v>
      </c>
      <c r="D19" s="78">
        <v>5.3</v>
      </c>
      <c r="E19" s="78">
        <v>6.8</v>
      </c>
      <c r="F19" s="78">
        <v>8.1999999999999993</v>
      </c>
      <c r="G19" s="78">
        <v>9.6999999999999993</v>
      </c>
      <c r="H19" s="78">
        <v>11.3</v>
      </c>
      <c r="I19" s="78">
        <v>13.2</v>
      </c>
      <c r="J19" s="78">
        <v>16.100000000000001</v>
      </c>
      <c r="K19" s="78">
        <v>23.3</v>
      </c>
    </row>
    <row r="20" spans="1:11">
      <c r="A20" s="99">
        <v>1990</v>
      </c>
      <c r="B20" s="78">
        <v>2.2999999999999998</v>
      </c>
      <c r="C20" s="78">
        <v>3.9</v>
      </c>
      <c r="D20" s="78">
        <v>5.3</v>
      </c>
      <c r="E20" s="78">
        <v>6.7</v>
      </c>
      <c r="F20" s="78">
        <v>8.1999999999999993</v>
      </c>
      <c r="G20" s="78">
        <v>9.8000000000000007</v>
      </c>
      <c r="H20" s="78">
        <v>11.5</v>
      </c>
      <c r="I20" s="78">
        <v>13.5</v>
      </c>
      <c r="J20" s="78">
        <v>16</v>
      </c>
      <c r="K20" s="78">
        <v>23</v>
      </c>
    </row>
    <row r="21" spans="1:11">
      <c r="A21" s="99">
        <v>1991</v>
      </c>
      <c r="B21" s="78">
        <v>2.2000000000000002</v>
      </c>
      <c r="C21" s="78">
        <v>3.8</v>
      </c>
      <c r="D21" s="78">
        <v>5.2</v>
      </c>
      <c r="E21" s="78">
        <v>6.5</v>
      </c>
      <c r="F21" s="78">
        <v>8</v>
      </c>
      <c r="G21" s="78">
        <v>9.6</v>
      </c>
      <c r="H21" s="78">
        <v>11.4</v>
      </c>
      <c r="I21" s="78">
        <v>13.5</v>
      </c>
      <c r="J21" s="78">
        <v>16.600000000000001</v>
      </c>
      <c r="K21" s="78">
        <v>23.3</v>
      </c>
    </row>
    <row r="22" spans="1:11">
      <c r="A22" s="99">
        <v>1992</v>
      </c>
      <c r="B22" s="78">
        <v>2.2000000000000002</v>
      </c>
      <c r="C22" s="78">
        <v>3.7</v>
      </c>
      <c r="D22" s="78">
        <v>5</v>
      </c>
      <c r="E22" s="78">
        <v>6.5</v>
      </c>
      <c r="F22" s="78">
        <v>8</v>
      </c>
      <c r="G22" s="78">
        <v>9.5</v>
      </c>
      <c r="H22" s="78">
        <v>11.3</v>
      </c>
      <c r="I22" s="78">
        <v>13.5</v>
      </c>
      <c r="J22" s="78">
        <v>16.5</v>
      </c>
      <c r="K22" s="78">
        <v>23.8</v>
      </c>
    </row>
    <row r="23" spans="1:11">
      <c r="A23" s="99">
        <v>1993</v>
      </c>
      <c r="B23" s="78">
        <v>2.1</v>
      </c>
      <c r="C23" s="78">
        <v>3.7</v>
      </c>
      <c r="D23" s="78">
        <v>5.0999999999999996</v>
      </c>
      <c r="E23" s="78">
        <v>6.7</v>
      </c>
      <c r="F23" s="78">
        <v>8.1</v>
      </c>
      <c r="G23" s="78">
        <v>9.9</v>
      </c>
      <c r="H23" s="78">
        <v>11.5</v>
      </c>
      <c r="I23" s="78">
        <v>13.5</v>
      </c>
      <c r="J23" s="78">
        <v>16.3</v>
      </c>
      <c r="K23" s="78">
        <v>23.1</v>
      </c>
    </row>
    <row r="24" spans="1:11">
      <c r="A24" s="99">
        <v>1994</v>
      </c>
      <c r="B24" s="78">
        <v>2.1</v>
      </c>
      <c r="C24" s="78">
        <v>3.8</v>
      </c>
      <c r="D24" s="78">
        <v>5.0999999999999996</v>
      </c>
      <c r="E24" s="78">
        <v>6.7</v>
      </c>
      <c r="F24" s="78">
        <v>8.3000000000000007</v>
      </c>
      <c r="G24" s="78">
        <v>9.8000000000000007</v>
      </c>
      <c r="H24" s="78">
        <v>11.4</v>
      </c>
      <c r="I24" s="78">
        <v>13.5</v>
      </c>
      <c r="J24" s="78">
        <v>16.2</v>
      </c>
      <c r="K24" s="78">
        <v>23.1</v>
      </c>
    </row>
    <row r="25" spans="1:11">
      <c r="A25" s="99">
        <v>1995</v>
      </c>
      <c r="B25" s="78">
        <v>2.2000000000000002</v>
      </c>
      <c r="C25" s="78">
        <v>3.9</v>
      </c>
      <c r="D25" s="78">
        <v>5.0999999999999996</v>
      </c>
      <c r="E25" s="78">
        <v>6.6</v>
      </c>
      <c r="F25" s="78">
        <v>8</v>
      </c>
      <c r="G25" s="78">
        <v>9.6</v>
      </c>
      <c r="H25" s="78">
        <v>11.2</v>
      </c>
      <c r="I25" s="78">
        <v>13.5</v>
      </c>
      <c r="J25" s="78">
        <v>16.3</v>
      </c>
      <c r="K25" s="78">
        <v>23.5</v>
      </c>
    </row>
    <row r="26" spans="1:11">
      <c r="A26" s="99">
        <v>1996</v>
      </c>
      <c r="B26" s="78">
        <v>2.1</v>
      </c>
      <c r="C26" s="78">
        <v>3.8</v>
      </c>
      <c r="D26" s="78">
        <v>5</v>
      </c>
      <c r="E26" s="78">
        <v>6.5</v>
      </c>
      <c r="F26" s="78">
        <v>8</v>
      </c>
      <c r="G26" s="78">
        <v>9.5</v>
      </c>
      <c r="H26" s="78">
        <v>11.4</v>
      </c>
      <c r="I26" s="78">
        <v>13.4</v>
      </c>
      <c r="J26" s="78">
        <v>16.3</v>
      </c>
      <c r="K26" s="78">
        <v>24</v>
      </c>
    </row>
    <row r="27" spans="1:11">
      <c r="A27" s="99">
        <v>1997</v>
      </c>
      <c r="B27" s="78">
        <v>1.9</v>
      </c>
      <c r="C27" s="78">
        <v>3.7</v>
      </c>
      <c r="D27" s="78">
        <v>5</v>
      </c>
      <c r="E27" s="78">
        <v>6.5</v>
      </c>
      <c r="F27" s="78">
        <v>8</v>
      </c>
      <c r="G27" s="78">
        <v>9.6</v>
      </c>
      <c r="H27" s="78">
        <v>11.4</v>
      </c>
      <c r="I27" s="78">
        <v>13.5</v>
      </c>
      <c r="J27" s="78">
        <v>16.3</v>
      </c>
      <c r="K27" s="78">
        <v>24</v>
      </c>
    </row>
    <row r="28" spans="1:11">
      <c r="A28" s="99">
        <v>1998</v>
      </c>
      <c r="B28" s="78">
        <v>2</v>
      </c>
      <c r="C28" s="78">
        <v>3.7</v>
      </c>
      <c r="D28" s="78">
        <v>4.9000000000000004</v>
      </c>
      <c r="E28" s="78">
        <v>6.4</v>
      </c>
      <c r="F28" s="78">
        <v>7.7</v>
      </c>
      <c r="G28" s="78">
        <v>9.3000000000000007</v>
      </c>
      <c r="H28" s="78">
        <v>11.3</v>
      </c>
      <c r="I28" s="78">
        <v>13.4</v>
      </c>
      <c r="J28" s="78">
        <v>16.3</v>
      </c>
      <c r="K28" s="78">
        <v>25.1</v>
      </c>
    </row>
    <row r="29" spans="1:11">
      <c r="A29" s="99">
        <v>1999</v>
      </c>
      <c r="B29" s="78">
        <v>2</v>
      </c>
      <c r="C29" s="78">
        <v>3.7</v>
      </c>
      <c r="D29" s="78">
        <v>5.0999999999999996</v>
      </c>
      <c r="E29" s="78">
        <v>6.5</v>
      </c>
      <c r="F29" s="78">
        <v>7.8</v>
      </c>
      <c r="G29" s="78">
        <v>9.6</v>
      </c>
      <c r="H29" s="78">
        <v>11.3</v>
      </c>
      <c r="I29" s="78">
        <v>13.5</v>
      </c>
      <c r="J29" s="78">
        <v>16.5</v>
      </c>
      <c r="K29" s="78">
        <v>24</v>
      </c>
    </row>
    <row r="30" spans="1:11">
      <c r="A30" s="99">
        <v>2000</v>
      </c>
      <c r="B30" s="78">
        <v>1.8</v>
      </c>
      <c r="C30" s="78">
        <v>3.6</v>
      </c>
      <c r="D30" s="78">
        <v>4.9000000000000004</v>
      </c>
      <c r="E30" s="78">
        <v>6.4</v>
      </c>
      <c r="F30" s="78">
        <v>7.8</v>
      </c>
      <c r="G30" s="78">
        <v>9.3000000000000007</v>
      </c>
      <c r="H30" s="78">
        <v>11</v>
      </c>
      <c r="I30" s="78">
        <v>13.3</v>
      </c>
      <c r="J30" s="78">
        <v>16.600000000000001</v>
      </c>
      <c r="K30" s="78">
        <v>25.2</v>
      </c>
    </row>
    <row r="31" spans="1:11">
      <c r="A31" s="99">
        <v>2001</v>
      </c>
      <c r="B31" s="78">
        <v>1.9</v>
      </c>
      <c r="C31" s="78">
        <v>3.5</v>
      </c>
      <c r="D31" s="78">
        <v>4.8</v>
      </c>
      <c r="E31" s="78">
        <v>6.3</v>
      </c>
      <c r="F31" s="78">
        <v>7.7</v>
      </c>
      <c r="G31" s="78">
        <v>9.4</v>
      </c>
      <c r="H31" s="78">
        <v>11.1</v>
      </c>
      <c r="I31" s="78">
        <v>13.2</v>
      </c>
      <c r="J31" s="78">
        <v>16.5</v>
      </c>
      <c r="K31" s="78">
        <v>25.7</v>
      </c>
    </row>
    <row r="32" spans="1:11">
      <c r="A32" s="99">
        <v>2002</v>
      </c>
      <c r="B32" s="78">
        <v>1.9</v>
      </c>
      <c r="C32" s="78">
        <v>3.5</v>
      </c>
      <c r="D32" s="78">
        <v>4.7</v>
      </c>
      <c r="E32" s="78">
        <v>6.2</v>
      </c>
      <c r="F32" s="78">
        <v>7.6</v>
      </c>
      <c r="G32" s="78">
        <v>9.4</v>
      </c>
      <c r="H32" s="78">
        <v>11.3</v>
      </c>
      <c r="I32" s="78">
        <v>13.6</v>
      </c>
      <c r="J32" s="78">
        <v>16.5</v>
      </c>
      <c r="K32" s="78">
        <v>25.4</v>
      </c>
    </row>
    <row r="33" spans="1:11">
      <c r="A33" s="99">
        <v>2003</v>
      </c>
      <c r="B33" s="78">
        <v>1.8</v>
      </c>
      <c r="C33" s="78">
        <v>3.6</v>
      </c>
      <c r="D33" s="78">
        <v>4.8</v>
      </c>
      <c r="E33" s="78">
        <v>6.2</v>
      </c>
      <c r="F33" s="78">
        <v>7.7</v>
      </c>
      <c r="G33" s="78">
        <v>9.3000000000000007</v>
      </c>
      <c r="H33" s="78">
        <v>11.1</v>
      </c>
      <c r="I33" s="78">
        <v>13.4</v>
      </c>
      <c r="J33" s="78">
        <v>16.3</v>
      </c>
      <c r="K33" s="78">
        <v>25.9</v>
      </c>
    </row>
    <row r="34" spans="1:11">
      <c r="A34" s="99">
        <v>2004</v>
      </c>
      <c r="B34" s="78">
        <v>1.9</v>
      </c>
      <c r="C34" s="78">
        <v>3.6</v>
      </c>
      <c r="D34" s="78">
        <v>4.8</v>
      </c>
      <c r="E34" s="78">
        <v>6.2</v>
      </c>
      <c r="F34" s="78">
        <v>7.7</v>
      </c>
      <c r="G34" s="78">
        <v>9.1999999999999993</v>
      </c>
      <c r="H34" s="78">
        <v>11.1</v>
      </c>
      <c r="I34" s="78">
        <v>13.3</v>
      </c>
      <c r="J34" s="78">
        <v>16.399999999999999</v>
      </c>
      <c r="K34" s="78">
        <v>25.8</v>
      </c>
    </row>
    <row r="35" spans="1:11">
      <c r="A35" s="99">
        <v>2005</v>
      </c>
      <c r="B35" s="78">
        <v>1.7</v>
      </c>
      <c r="C35" s="78">
        <v>3.5</v>
      </c>
      <c r="D35" s="78">
        <v>4.9000000000000004</v>
      </c>
      <c r="E35" s="78">
        <v>6.4</v>
      </c>
      <c r="F35" s="78">
        <v>7.9</v>
      </c>
      <c r="G35" s="78">
        <v>9.3000000000000007</v>
      </c>
      <c r="H35" s="78">
        <v>10.9</v>
      </c>
      <c r="I35" s="78">
        <v>13.2</v>
      </c>
      <c r="J35" s="78">
        <v>16.5</v>
      </c>
      <c r="K35" s="78">
        <v>25.6</v>
      </c>
    </row>
    <row r="36" spans="1:11">
      <c r="A36" s="99">
        <v>2006</v>
      </c>
      <c r="B36" s="78">
        <v>1.8</v>
      </c>
      <c r="C36" s="78">
        <v>3.6</v>
      </c>
      <c r="D36" s="78">
        <v>5</v>
      </c>
      <c r="E36" s="78">
        <v>6.4</v>
      </c>
      <c r="F36" s="78">
        <v>7.8</v>
      </c>
      <c r="G36" s="78">
        <v>9.3000000000000007</v>
      </c>
      <c r="H36" s="78">
        <v>11</v>
      </c>
      <c r="I36" s="78">
        <v>13.1</v>
      </c>
      <c r="J36" s="78">
        <v>16.399999999999999</v>
      </c>
      <c r="K36" s="78">
        <v>25.6</v>
      </c>
    </row>
    <row r="37" spans="1:11">
      <c r="A37" s="99">
        <v>2007</v>
      </c>
      <c r="B37" s="78">
        <v>2</v>
      </c>
      <c r="C37" s="78">
        <v>3.7</v>
      </c>
      <c r="D37" s="78">
        <v>5</v>
      </c>
      <c r="E37" s="78">
        <v>6.3</v>
      </c>
      <c r="F37" s="78">
        <v>7.7</v>
      </c>
      <c r="G37" s="78">
        <v>9.3000000000000007</v>
      </c>
      <c r="H37" s="78">
        <v>11</v>
      </c>
      <c r="I37" s="78">
        <v>13.3</v>
      </c>
      <c r="J37" s="78">
        <v>16.399999999999999</v>
      </c>
      <c r="K37" s="78">
        <v>25.3</v>
      </c>
    </row>
    <row r="38" spans="1:11">
      <c r="A38" s="99">
        <v>2008</v>
      </c>
      <c r="B38" s="78">
        <v>1.6</v>
      </c>
      <c r="C38" s="78">
        <v>3.5</v>
      </c>
      <c r="D38" s="78">
        <v>5.2</v>
      </c>
      <c r="E38" s="78">
        <v>6.4</v>
      </c>
      <c r="F38" s="78">
        <v>7.7</v>
      </c>
      <c r="G38" s="78">
        <v>9.3000000000000007</v>
      </c>
      <c r="H38" s="78">
        <v>11.1</v>
      </c>
      <c r="I38" s="78">
        <v>13.4</v>
      </c>
      <c r="J38" s="78">
        <v>16.7</v>
      </c>
      <c r="K38" s="78">
        <v>25.1</v>
      </c>
    </row>
    <row r="39" spans="1:11">
      <c r="A39" s="99">
        <v>2009</v>
      </c>
      <c r="B39" s="78">
        <v>1.6</v>
      </c>
      <c r="C39" s="78">
        <v>3.5</v>
      </c>
      <c r="D39" s="78">
        <v>5.0999999999999996</v>
      </c>
      <c r="E39" s="78">
        <v>6.3</v>
      </c>
      <c r="F39" s="78">
        <v>7.5</v>
      </c>
      <c r="G39" s="78">
        <v>9.1999999999999993</v>
      </c>
      <c r="H39" s="78">
        <v>11.1</v>
      </c>
      <c r="I39" s="78">
        <v>13.3</v>
      </c>
      <c r="J39" s="78">
        <v>16.8</v>
      </c>
      <c r="K39" s="78">
        <v>25.6</v>
      </c>
    </row>
    <row r="40" spans="1:11">
      <c r="A40" s="99">
        <v>2010</v>
      </c>
      <c r="B40" s="78">
        <v>1.8</v>
      </c>
      <c r="C40" s="78">
        <v>3.6</v>
      </c>
      <c r="D40" s="78">
        <v>4.9000000000000004</v>
      </c>
      <c r="E40" s="78">
        <v>6.2</v>
      </c>
      <c r="F40" s="78">
        <v>7.6</v>
      </c>
      <c r="G40" s="78">
        <v>9.4</v>
      </c>
      <c r="H40" s="78">
        <v>11.4</v>
      </c>
      <c r="I40" s="78">
        <v>13.5</v>
      </c>
      <c r="J40" s="78">
        <v>16.7</v>
      </c>
      <c r="K40" s="78">
        <v>24.9</v>
      </c>
    </row>
    <row r="41" spans="1:11">
      <c r="A41" s="99">
        <v>2011</v>
      </c>
      <c r="B41" s="78">
        <v>1.9</v>
      </c>
      <c r="C41" s="78">
        <v>3.6</v>
      </c>
      <c r="D41" s="78">
        <v>4.9000000000000004</v>
      </c>
      <c r="E41" s="78">
        <v>6.2</v>
      </c>
      <c r="F41" s="78">
        <v>7.5</v>
      </c>
      <c r="G41" s="78">
        <v>9.1999999999999993</v>
      </c>
      <c r="H41" s="78">
        <v>11</v>
      </c>
      <c r="I41" s="78">
        <v>13.3</v>
      </c>
      <c r="J41" s="78">
        <v>17</v>
      </c>
      <c r="K41" s="78">
        <v>25.5</v>
      </c>
    </row>
    <row r="42" spans="1:11">
      <c r="A42" s="99">
        <v>2012</v>
      </c>
      <c r="B42" s="78">
        <v>1.7</v>
      </c>
      <c r="C42" s="78">
        <v>3.5</v>
      </c>
      <c r="D42" s="78">
        <v>5</v>
      </c>
      <c r="E42" s="78">
        <v>6.2</v>
      </c>
      <c r="F42" s="78">
        <v>7.6</v>
      </c>
      <c r="G42" s="78">
        <v>9.1</v>
      </c>
      <c r="H42" s="78">
        <v>10.9</v>
      </c>
      <c r="I42" s="78">
        <v>13.5</v>
      </c>
      <c r="J42" s="78">
        <v>17.2</v>
      </c>
      <c r="K42" s="78">
        <v>25.2</v>
      </c>
    </row>
    <row r="43" spans="1:11">
      <c r="A43" s="99">
        <v>2013</v>
      </c>
      <c r="B43" s="78">
        <v>1.7</v>
      </c>
      <c r="C43" s="78">
        <v>3.7</v>
      </c>
      <c r="D43" s="78">
        <v>5</v>
      </c>
      <c r="E43" s="78">
        <v>6.3</v>
      </c>
      <c r="F43" s="78">
        <v>7.7</v>
      </c>
      <c r="G43" s="78">
        <v>9.1999999999999993</v>
      </c>
      <c r="H43" s="78">
        <v>11</v>
      </c>
      <c r="I43" s="78">
        <v>13.5</v>
      </c>
      <c r="J43" s="78">
        <v>16.7</v>
      </c>
      <c r="K43" s="78">
        <v>25.2</v>
      </c>
    </row>
    <row r="44" spans="1:11">
      <c r="A44" s="99">
        <v>2014</v>
      </c>
      <c r="B44" s="78">
        <v>2</v>
      </c>
      <c r="C44" s="78">
        <v>3.7</v>
      </c>
      <c r="D44" s="78">
        <v>5.0999999999999996</v>
      </c>
      <c r="E44" s="78">
        <v>6.3</v>
      </c>
      <c r="F44" s="78">
        <v>7.7</v>
      </c>
      <c r="G44" s="78">
        <v>9.5</v>
      </c>
      <c r="H44" s="78">
        <v>11.4</v>
      </c>
      <c r="I44" s="78">
        <v>13.5</v>
      </c>
      <c r="J44" s="78">
        <v>16.600000000000001</v>
      </c>
      <c r="K44" s="78">
        <v>24.3</v>
      </c>
    </row>
    <row r="45" spans="1:11">
      <c r="A45" s="99">
        <v>2015</v>
      </c>
      <c r="B45" s="78">
        <v>1.6</v>
      </c>
      <c r="C45" s="78">
        <v>3.5</v>
      </c>
      <c r="D45" s="78">
        <v>4.8</v>
      </c>
      <c r="E45" s="78">
        <v>6.3</v>
      </c>
      <c r="F45" s="78">
        <v>8</v>
      </c>
      <c r="G45" s="78">
        <v>9.6999999999999993</v>
      </c>
      <c r="H45" s="78">
        <v>11.6</v>
      </c>
      <c r="I45" s="78">
        <v>13.7</v>
      </c>
      <c r="J45" s="78">
        <v>16.8</v>
      </c>
      <c r="K45" s="78">
        <v>24.1</v>
      </c>
    </row>
    <row r="46" spans="1:11">
      <c r="A46" s="99">
        <v>2016</v>
      </c>
      <c r="B46" s="78">
        <v>1.9</v>
      </c>
      <c r="C46" s="78">
        <v>3.7</v>
      </c>
      <c r="D46" s="78">
        <v>5</v>
      </c>
      <c r="E46" s="78">
        <v>6.3</v>
      </c>
      <c r="F46" s="78">
        <v>7.7</v>
      </c>
      <c r="G46" s="78">
        <v>9.1999999999999993</v>
      </c>
      <c r="H46" s="78">
        <v>10.9</v>
      </c>
      <c r="I46" s="78">
        <v>13.4</v>
      </c>
      <c r="J46" s="78">
        <v>16.5</v>
      </c>
      <c r="K46" s="78">
        <v>25.3</v>
      </c>
    </row>
    <row r="47" spans="1:11">
      <c r="A47" s="99">
        <v>2017</v>
      </c>
      <c r="B47" s="78">
        <v>1.9</v>
      </c>
      <c r="C47" s="78">
        <v>3.7</v>
      </c>
      <c r="D47" s="78">
        <v>4.9000000000000004</v>
      </c>
      <c r="E47" s="78">
        <v>6.2</v>
      </c>
      <c r="F47" s="78">
        <v>7.8</v>
      </c>
      <c r="G47" s="78">
        <v>9.4</v>
      </c>
      <c r="H47" s="78">
        <v>11.1</v>
      </c>
      <c r="I47" s="78">
        <v>13.3</v>
      </c>
      <c r="J47" s="78">
        <v>16.8</v>
      </c>
      <c r="K47" s="78">
        <v>24.9</v>
      </c>
    </row>
    <row r="48" spans="1:11">
      <c r="A48" s="99">
        <v>2018</v>
      </c>
      <c r="B48" s="78">
        <v>1.8</v>
      </c>
      <c r="C48" s="78">
        <v>3.6</v>
      </c>
      <c r="D48" s="78">
        <v>4.9000000000000004</v>
      </c>
      <c r="E48" s="78">
        <v>6.3</v>
      </c>
      <c r="F48" s="78">
        <v>7.7</v>
      </c>
      <c r="G48" s="78">
        <v>9.3000000000000007</v>
      </c>
      <c r="H48" s="78">
        <v>11</v>
      </c>
      <c r="I48" s="78">
        <v>13.2</v>
      </c>
      <c r="J48" s="78">
        <v>16.399999999999999</v>
      </c>
      <c r="K48" s="78">
        <v>25.9</v>
      </c>
    </row>
    <row r="49" spans="1:11">
      <c r="A49" s="99">
        <v>2019</v>
      </c>
      <c r="B49" s="78">
        <v>1.9</v>
      </c>
      <c r="C49" s="78">
        <v>3.8</v>
      </c>
      <c r="D49" s="78">
        <v>5.0999999999999996</v>
      </c>
      <c r="E49" s="78">
        <v>6.4</v>
      </c>
      <c r="F49" s="78">
        <v>7.9</v>
      </c>
      <c r="G49" s="78">
        <v>9.4</v>
      </c>
      <c r="H49" s="78">
        <v>10.9</v>
      </c>
      <c r="I49" s="78">
        <v>12.9</v>
      </c>
      <c r="J49" s="78">
        <v>16.8</v>
      </c>
      <c r="K49" s="78">
        <v>25.1</v>
      </c>
    </row>
    <row r="51" spans="1:11">
      <c r="A51" s="196" t="s">
        <v>22</v>
      </c>
      <c r="B51" s="78">
        <f>B49-B6</f>
        <v>0.59999999999999987</v>
      </c>
      <c r="C51" s="78">
        <f t="shared" ref="C51:K51" si="0">C49-C6</f>
        <v>0.19999999999999973</v>
      </c>
      <c r="D51" s="78">
        <f t="shared" si="0"/>
        <v>-0.30000000000000071</v>
      </c>
      <c r="E51" s="78">
        <f t="shared" si="0"/>
        <v>-0.39999999999999947</v>
      </c>
      <c r="F51" s="78">
        <f t="shared" si="0"/>
        <v>-0.59999999999999964</v>
      </c>
      <c r="G51" s="78">
        <f t="shared" si="0"/>
        <v>-0.79999999999999893</v>
      </c>
      <c r="H51" s="78">
        <f t="shared" si="0"/>
        <v>-0.79999999999999893</v>
      </c>
      <c r="I51" s="78">
        <f t="shared" si="0"/>
        <v>-0.59999999999999964</v>
      </c>
      <c r="J51" s="78">
        <f t="shared" si="0"/>
        <v>0.60000000000000142</v>
      </c>
      <c r="K51" s="78">
        <f t="shared" si="0"/>
        <v>2.3000000000000007</v>
      </c>
    </row>
    <row r="52" spans="1:11">
      <c r="A52" s="196" t="s">
        <v>23</v>
      </c>
      <c r="B52" s="78">
        <f>B30-B6</f>
        <v>0.5</v>
      </c>
      <c r="C52" s="78">
        <f t="shared" ref="C52:K52" si="1">C30-C6</f>
        <v>0</v>
      </c>
      <c r="D52" s="78">
        <f t="shared" si="1"/>
        <v>-0.5</v>
      </c>
      <c r="E52" s="78">
        <f t="shared" si="1"/>
        <v>-0.39999999999999947</v>
      </c>
      <c r="F52" s="78">
        <f t="shared" si="1"/>
        <v>-0.70000000000000018</v>
      </c>
      <c r="G52" s="78">
        <f t="shared" si="1"/>
        <v>-0.89999999999999858</v>
      </c>
      <c r="H52" s="78">
        <f t="shared" si="1"/>
        <v>-0.69999999999999929</v>
      </c>
      <c r="I52" s="78">
        <f t="shared" si="1"/>
        <v>-0.19999999999999929</v>
      </c>
      <c r="J52" s="78">
        <f t="shared" si="1"/>
        <v>0.40000000000000213</v>
      </c>
      <c r="K52" s="78">
        <f t="shared" si="1"/>
        <v>2.3999999999999986</v>
      </c>
    </row>
    <row r="53" spans="1:11">
      <c r="A53" s="196" t="s">
        <v>24</v>
      </c>
      <c r="B53" s="78">
        <f>B49-B30</f>
        <v>9.9999999999999867E-2</v>
      </c>
      <c r="C53" s="78">
        <f t="shared" ref="C53:K53" si="2">C49-C30</f>
        <v>0.19999999999999973</v>
      </c>
      <c r="D53" s="78">
        <f t="shared" si="2"/>
        <v>0.19999999999999929</v>
      </c>
      <c r="E53" s="78">
        <f t="shared" si="2"/>
        <v>0</v>
      </c>
      <c r="F53" s="78">
        <f t="shared" si="2"/>
        <v>0.10000000000000053</v>
      </c>
      <c r="G53" s="78">
        <f t="shared" si="2"/>
        <v>9.9999999999999645E-2</v>
      </c>
      <c r="H53" s="78">
        <f t="shared" si="2"/>
        <v>-9.9999999999999645E-2</v>
      </c>
      <c r="I53" s="78">
        <f t="shared" si="2"/>
        <v>-0.40000000000000036</v>
      </c>
      <c r="J53" s="78">
        <f t="shared" si="2"/>
        <v>0.19999999999999929</v>
      </c>
      <c r="K53" s="78">
        <f t="shared" si="2"/>
        <v>-9.9999999999997868E-2</v>
      </c>
    </row>
    <row r="54" spans="1:11">
      <c r="A54" s="196" t="s">
        <v>369</v>
      </c>
      <c r="B54" s="78">
        <f>100*(B49-B6)/B6</f>
        <v>46.153846153846139</v>
      </c>
      <c r="C54" s="78">
        <f t="shared" ref="C54:J54" si="3">100*(C49-C6)/C6</f>
        <v>5.5555555555555474</v>
      </c>
      <c r="D54" s="78">
        <f t="shared" si="3"/>
        <v>-5.5555555555555687</v>
      </c>
      <c r="E54" s="78">
        <f t="shared" si="3"/>
        <v>-5.8823529411764621</v>
      </c>
      <c r="F54" s="78">
        <f t="shared" si="3"/>
        <v>-7.0588235294117609</v>
      </c>
      <c r="G54" s="78">
        <f t="shared" si="3"/>
        <v>-7.8431372549019498</v>
      </c>
      <c r="H54" s="78">
        <f t="shared" si="3"/>
        <v>-6.8376068376068284</v>
      </c>
      <c r="I54" s="78">
        <f t="shared" si="3"/>
        <v>-4.444444444444442</v>
      </c>
      <c r="J54" s="78">
        <f t="shared" si="3"/>
        <v>3.7037037037037126</v>
      </c>
      <c r="K54" s="78">
        <f>100*(K49-K6)/K6</f>
        <v>10.087719298245617</v>
      </c>
    </row>
    <row r="55" spans="1:11">
      <c r="A55" s="196" t="s">
        <v>370</v>
      </c>
      <c r="B55" s="78">
        <f>100*(B30-B6)/B6</f>
        <v>38.46153846153846</v>
      </c>
      <c r="C55" s="78">
        <f t="shared" ref="C55:J55" si="4">100*(C30-C6)/C6</f>
        <v>0</v>
      </c>
      <c r="D55" s="78">
        <f t="shared" si="4"/>
        <v>-9.2592592592592595</v>
      </c>
      <c r="E55" s="78">
        <f t="shared" si="4"/>
        <v>-5.8823529411764621</v>
      </c>
      <c r="F55" s="78">
        <f t="shared" si="4"/>
        <v>-8.2352941176470598</v>
      </c>
      <c r="G55" s="78">
        <f t="shared" si="4"/>
        <v>-8.8235294117646923</v>
      </c>
      <c r="H55" s="78">
        <f t="shared" si="4"/>
        <v>-5.9829059829059776</v>
      </c>
      <c r="I55" s="78">
        <f t="shared" si="4"/>
        <v>-1.4814814814814763</v>
      </c>
      <c r="J55" s="78">
        <f t="shared" si="4"/>
        <v>2.469135802469149</v>
      </c>
      <c r="K55" s="78">
        <f>100*(K30-K6)/K6</f>
        <v>10.526315789473678</v>
      </c>
    </row>
    <row r="56" spans="1:11">
      <c r="A56" s="196" t="s">
        <v>234</v>
      </c>
      <c r="B56" s="78">
        <f>100*(B49-B30)/B30</f>
        <v>5.5555555555555474</v>
      </c>
      <c r="C56" s="78">
        <f t="shared" ref="C56:J56" si="5">100*(C49-C30)/C30</f>
        <v>5.5555555555555474</v>
      </c>
      <c r="D56" s="78">
        <f t="shared" si="5"/>
        <v>4.0816326530612095</v>
      </c>
      <c r="E56" s="78">
        <f t="shared" si="5"/>
        <v>0</v>
      </c>
      <c r="F56" s="78">
        <f t="shared" si="5"/>
        <v>1.2820512820512888</v>
      </c>
      <c r="G56" s="78">
        <f t="shared" si="5"/>
        <v>1.0752688172042972</v>
      </c>
      <c r="H56" s="78">
        <f t="shared" si="5"/>
        <v>-0.90909090909090584</v>
      </c>
      <c r="I56" s="78">
        <f t="shared" si="5"/>
        <v>-3.0075187969924837</v>
      </c>
      <c r="J56" s="78">
        <f t="shared" si="5"/>
        <v>1.2048192771084294</v>
      </c>
      <c r="K56" s="78">
        <f>100*(K49-K30)/K30</f>
        <v>-0.39682539682538837</v>
      </c>
    </row>
    <row r="57" spans="1:11">
      <c r="A57" s="196"/>
      <c r="B57" s="78"/>
      <c r="C57" s="78"/>
      <c r="D57" s="78"/>
      <c r="E57" s="78"/>
      <c r="F57" s="78"/>
      <c r="G57" s="78"/>
      <c r="H57" s="78"/>
      <c r="I57" s="78"/>
      <c r="J57" s="78"/>
      <c r="K57" s="78"/>
    </row>
    <row r="58" spans="1:11">
      <c r="A58" s="196"/>
      <c r="B58" s="78"/>
      <c r="C58" s="78"/>
      <c r="D58" s="78"/>
      <c r="E58" s="78"/>
      <c r="F58" s="78"/>
      <c r="G58" s="78"/>
      <c r="H58" s="78"/>
      <c r="I58" s="78"/>
      <c r="J58" s="78"/>
      <c r="K58" s="78"/>
    </row>
    <row r="59" spans="1:11">
      <c r="A59" s="196"/>
      <c r="B59" s="271"/>
      <c r="C59" s="271"/>
      <c r="D59" s="271"/>
      <c r="E59" s="271"/>
      <c r="F59" s="271"/>
      <c r="G59" s="271"/>
      <c r="H59" s="271"/>
      <c r="I59" s="271"/>
      <c r="J59" s="271"/>
      <c r="K59" s="271"/>
    </row>
    <row r="60" spans="1:11">
      <c r="A60" s="196"/>
      <c r="B60" s="271"/>
      <c r="C60" s="271"/>
      <c r="D60" s="271"/>
      <c r="E60" s="271"/>
      <c r="F60" s="271"/>
      <c r="G60" s="271"/>
      <c r="H60" s="271"/>
      <c r="I60" s="271"/>
      <c r="J60" s="271"/>
      <c r="K60" s="271"/>
    </row>
    <row r="61" spans="1:11">
      <c r="A61" s="196" t="s">
        <v>180</v>
      </c>
      <c r="B61" s="271"/>
      <c r="C61" s="271"/>
      <c r="D61" s="271"/>
      <c r="E61" s="271"/>
      <c r="F61" s="271"/>
      <c r="G61" s="271"/>
      <c r="H61" s="271"/>
      <c r="I61" s="271"/>
      <c r="J61" s="271"/>
      <c r="K61" s="271"/>
    </row>
    <row r="62" spans="1:11">
      <c r="A62" s="196"/>
      <c r="B62" s="271"/>
      <c r="C62" s="271"/>
      <c r="D62" s="271"/>
      <c r="E62" s="271"/>
      <c r="F62" s="271"/>
      <c r="G62" s="271"/>
      <c r="H62" s="271"/>
      <c r="I62" s="271"/>
      <c r="J62" s="271"/>
      <c r="K62" s="271"/>
    </row>
    <row r="63" spans="1:11" ht="31" customHeight="1">
      <c r="A63" s="196"/>
      <c r="B63" s="100" t="s">
        <v>103</v>
      </c>
      <c r="C63" s="100" t="s">
        <v>104</v>
      </c>
      <c r="D63" s="100" t="s">
        <v>105</v>
      </c>
      <c r="E63" s="100" t="s">
        <v>106</v>
      </c>
      <c r="F63" s="100" t="s">
        <v>107</v>
      </c>
      <c r="G63" s="271"/>
      <c r="H63" s="271"/>
      <c r="I63" s="271"/>
      <c r="J63" s="271"/>
      <c r="K63" s="271"/>
    </row>
    <row r="64" spans="1:11">
      <c r="A64" s="196">
        <v>1976</v>
      </c>
      <c r="B64" s="78">
        <f t="shared" ref="B64:B107" si="6">B6+C6</f>
        <v>4.9000000000000004</v>
      </c>
      <c r="C64" s="78">
        <f t="shared" ref="C64:C107" si="7">D6+E6</f>
        <v>12.2</v>
      </c>
      <c r="D64" s="78">
        <f t="shared" ref="D64:D107" si="8">F6+G6</f>
        <v>18.7</v>
      </c>
      <c r="E64" s="78">
        <f t="shared" ref="E64:E107" si="9">H6+I6</f>
        <v>25.2</v>
      </c>
      <c r="F64" s="78">
        <f t="shared" ref="F64:F107" si="10">J6+K6</f>
        <v>39</v>
      </c>
      <c r="G64" s="271"/>
      <c r="H64" s="78"/>
      <c r="I64" s="271"/>
      <c r="J64" s="271"/>
      <c r="K64" s="271"/>
    </row>
    <row r="65" spans="1:11">
      <c r="A65" s="196">
        <v>1977</v>
      </c>
      <c r="B65" s="78">
        <f t="shared" si="6"/>
        <v>5.0999999999999996</v>
      </c>
      <c r="C65" s="78">
        <f t="shared" si="7"/>
        <v>11.7</v>
      </c>
      <c r="D65" s="78">
        <f t="shared" si="8"/>
        <v>18.100000000000001</v>
      </c>
      <c r="E65" s="78">
        <f t="shared" si="9"/>
        <v>25</v>
      </c>
      <c r="F65" s="78">
        <f t="shared" si="10"/>
        <v>40.099999999999994</v>
      </c>
      <c r="G65" s="271"/>
      <c r="H65" s="78"/>
      <c r="I65" s="271"/>
      <c r="J65" s="271"/>
      <c r="K65" s="271"/>
    </row>
    <row r="66" spans="1:11">
      <c r="A66" s="196">
        <v>1978</v>
      </c>
      <c r="B66" s="78">
        <f t="shared" si="6"/>
        <v>5.3000000000000007</v>
      </c>
      <c r="C66" s="78">
        <f t="shared" si="7"/>
        <v>12.100000000000001</v>
      </c>
      <c r="D66" s="78">
        <f t="shared" si="8"/>
        <v>19.100000000000001</v>
      </c>
      <c r="E66" s="78">
        <f t="shared" si="9"/>
        <v>25.700000000000003</v>
      </c>
      <c r="F66" s="78">
        <f t="shared" si="10"/>
        <v>37.799999999999997</v>
      </c>
      <c r="G66" s="271"/>
      <c r="H66" s="78"/>
      <c r="I66" s="271"/>
      <c r="J66" s="271"/>
      <c r="K66" s="271"/>
    </row>
    <row r="67" spans="1:11">
      <c r="A67" s="196">
        <v>1979</v>
      </c>
      <c r="B67" s="78">
        <f t="shared" si="6"/>
        <v>5.7</v>
      </c>
      <c r="C67" s="78">
        <f t="shared" si="7"/>
        <v>12</v>
      </c>
      <c r="D67" s="78">
        <f t="shared" si="8"/>
        <v>18.5</v>
      </c>
      <c r="E67" s="78">
        <f t="shared" si="9"/>
        <v>24.7</v>
      </c>
      <c r="F67" s="78">
        <f t="shared" si="10"/>
        <v>39</v>
      </c>
      <c r="G67" s="271"/>
      <c r="H67" s="78"/>
      <c r="I67" s="271"/>
      <c r="J67" s="271"/>
      <c r="K67" s="271"/>
    </row>
    <row r="68" spans="1:11">
      <c r="A68" s="196">
        <v>1980</v>
      </c>
      <c r="B68" s="78">
        <f t="shared" si="6"/>
        <v>5.7</v>
      </c>
      <c r="C68" s="78">
        <f t="shared" si="7"/>
        <v>12.4</v>
      </c>
      <c r="D68" s="78">
        <f t="shared" si="8"/>
        <v>18.5</v>
      </c>
      <c r="E68" s="78">
        <f t="shared" si="9"/>
        <v>24.8</v>
      </c>
      <c r="F68" s="78">
        <f t="shared" si="10"/>
        <v>38.6</v>
      </c>
      <c r="G68" s="271"/>
      <c r="H68" s="78"/>
      <c r="I68" s="271"/>
      <c r="J68" s="271"/>
      <c r="K68" s="271"/>
    </row>
    <row r="69" spans="1:11">
      <c r="A69" s="196">
        <v>1981</v>
      </c>
      <c r="B69" s="78">
        <f t="shared" si="6"/>
        <v>5.7</v>
      </c>
      <c r="C69" s="78">
        <f t="shared" si="7"/>
        <v>11.5</v>
      </c>
      <c r="D69" s="78">
        <f t="shared" si="8"/>
        <v>17.799999999999997</v>
      </c>
      <c r="E69" s="78">
        <f t="shared" si="9"/>
        <v>24.5</v>
      </c>
      <c r="F69" s="78">
        <f t="shared" si="10"/>
        <v>40.5</v>
      </c>
      <c r="G69" s="271"/>
      <c r="H69" s="78"/>
      <c r="I69" s="271"/>
      <c r="J69" s="271"/>
      <c r="K69" s="271"/>
    </row>
    <row r="70" spans="1:11">
      <c r="A70" s="196">
        <v>1982</v>
      </c>
      <c r="B70" s="78">
        <f t="shared" si="6"/>
        <v>5.6</v>
      </c>
      <c r="C70" s="78">
        <f t="shared" si="7"/>
        <v>11.4</v>
      </c>
      <c r="D70" s="78">
        <f t="shared" si="8"/>
        <v>17.600000000000001</v>
      </c>
      <c r="E70" s="78">
        <f t="shared" si="9"/>
        <v>25</v>
      </c>
      <c r="F70" s="78">
        <f t="shared" si="10"/>
        <v>40.299999999999997</v>
      </c>
      <c r="G70" s="271"/>
      <c r="H70" s="78"/>
      <c r="I70" s="271"/>
      <c r="J70" s="271"/>
      <c r="K70" s="271"/>
    </row>
    <row r="71" spans="1:11">
      <c r="A71" s="196">
        <v>1983</v>
      </c>
      <c r="B71" s="78">
        <f t="shared" si="6"/>
        <v>5.3</v>
      </c>
      <c r="C71" s="78">
        <f t="shared" si="7"/>
        <v>11.1</v>
      </c>
      <c r="D71" s="78">
        <f t="shared" si="8"/>
        <v>17.5</v>
      </c>
      <c r="E71" s="78">
        <f t="shared" si="9"/>
        <v>24.6</v>
      </c>
      <c r="F71" s="78">
        <f t="shared" si="10"/>
        <v>41.5</v>
      </c>
      <c r="G71" s="271"/>
      <c r="H71" s="78"/>
      <c r="I71" s="271"/>
      <c r="J71" s="271"/>
      <c r="K71" s="271"/>
    </row>
    <row r="72" spans="1:11">
      <c r="A72" s="196">
        <v>1984</v>
      </c>
      <c r="B72" s="78">
        <f t="shared" si="6"/>
        <v>5.5</v>
      </c>
      <c r="C72" s="78">
        <f t="shared" si="7"/>
        <v>11.5</v>
      </c>
      <c r="D72" s="78">
        <f t="shared" si="8"/>
        <v>17.8</v>
      </c>
      <c r="E72" s="78">
        <f t="shared" si="9"/>
        <v>25.2</v>
      </c>
      <c r="F72" s="78">
        <f t="shared" si="10"/>
        <v>40</v>
      </c>
      <c r="G72" s="271"/>
      <c r="H72" s="78"/>
      <c r="I72" s="271"/>
      <c r="J72" s="271"/>
      <c r="K72" s="271"/>
    </row>
    <row r="73" spans="1:11">
      <c r="A73" s="196">
        <v>1985</v>
      </c>
      <c r="B73" s="78">
        <f t="shared" si="6"/>
        <v>5.8</v>
      </c>
      <c r="C73" s="78">
        <f t="shared" si="7"/>
        <v>12</v>
      </c>
      <c r="D73" s="78">
        <f t="shared" si="8"/>
        <v>17.7</v>
      </c>
      <c r="E73" s="78">
        <f t="shared" si="9"/>
        <v>24.700000000000003</v>
      </c>
      <c r="F73" s="78">
        <f t="shared" si="10"/>
        <v>39.799999999999997</v>
      </c>
      <c r="G73" s="271"/>
      <c r="H73" s="78"/>
      <c r="I73" s="271"/>
      <c r="J73" s="271"/>
      <c r="K73" s="271"/>
    </row>
    <row r="74" spans="1:11">
      <c r="A74" s="196">
        <v>1986</v>
      </c>
      <c r="B74" s="78">
        <f t="shared" si="6"/>
        <v>5.9</v>
      </c>
      <c r="C74" s="78">
        <f t="shared" si="7"/>
        <v>12.2</v>
      </c>
      <c r="D74" s="78">
        <f t="shared" si="8"/>
        <v>18.399999999999999</v>
      </c>
      <c r="E74" s="78">
        <f t="shared" si="9"/>
        <v>24.8</v>
      </c>
      <c r="F74" s="78">
        <f t="shared" si="10"/>
        <v>38.6</v>
      </c>
      <c r="G74" s="271"/>
      <c r="H74" s="78"/>
      <c r="I74" s="271"/>
      <c r="J74" s="271"/>
      <c r="K74" s="271"/>
    </row>
    <row r="75" spans="1:11">
      <c r="A75" s="196">
        <v>1987</v>
      </c>
      <c r="B75" s="78">
        <f t="shared" si="6"/>
        <v>5.8000000000000007</v>
      </c>
      <c r="C75" s="78">
        <f t="shared" si="7"/>
        <v>11.5</v>
      </c>
      <c r="D75" s="78">
        <f t="shared" si="8"/>
        <v>17.799999999999997</v>
      </c>
      <c r="E75" s="78">
        <f t="shared" si="9"/>
        <v>25.4</v>
      </c>
      <c r="F75" s="78">
        <f t="shared" si="10"/>
        <v>39.6</v>
      </c>
      <c r="G75" s="271"/>
      <c r="H75" s="78"/>
      <c r="I75" s="271"/>
      <c r="J75" s="271"/>
      <c r="K75" s="271"/>
    </row>
    <row r="76" spans="1:11">
      <c r="A76" s="196">
        <v>1988</v>
      </c>
      <c r="B76" s="78">
        <f t="shared" si="6"/>
        <v>6.3</v>
      </c>
      <c r="C76" s="78">
        <f t="shared" si="7"/>
        <v>12.1</v>
      </c>
      <c r="D76" s="78">
        <f t="shared" si="8"/>
        <v>18</v>
      </c>
      <c r="E76" s="78">
        <f t="shared" si="9"/>
        <v>24.8</v>
      </c>
      <c r="F76" s="78">
        <f t="shared" si="10"/>
        <v>38.900000000000006</v>
      </c>
      <c r="G76" s="271"/>
      <c r="H76" s="78"/>
      <c r="I76" s="271"/>
      <c r="J76" s="271"/>
      <c r="K76" s="271"/>
    </row>
    <row r="77" spans="1:11">
      <c r="A77" s="196">
        <v>1989</v>
      </c>
      <c r="B77" s="78">
        <f t="shared" si="6"/>
        <v>6.1</v>
      </c>
      <c r="C77" s="78">
        <f t="shared" si="7"/>
        <v>12.1</v>
      </c>
      <c r="D77" s="78">
        <f t="shared" si="8"/>
        <v>17.899999999999999</v>
      </c>
      <c r="E77" s="78">
        <f t="shared" si="9"/>
        <v>24.5</v>
      </c>
      <c r="F77" s="78">
        <f t="shared" si="10"/>
        <v>39.400000000000006</v>
      </c>
      <c r="G77" s="271"/>
      <c r="H77" s="78"/>
      <c r="I77" s="271"/>
      <c r="J77" s="271"/>
      <c r="K77" s="271"/>
    </row>
    <row r="78" spans="1:11">
      <c r="A78" s="196">
        <v>1990</v>
      </c>
      <c r="B78" s="78">
        <f t="shared" si="6"/>
        <v>6.1999999999999993</v>
      </c>
      <c r="C78" s="78">
        <f t="shared" si="7"/>
        <v>12</v>
      </c>
      <c r="D78" s="78">
        <f t="shared" si="8"/>
        <v>18</v>
      </c>
      <c r="E78" s="78">
        <f t="shared" si="9"/>
        <v>25</v>
      </c>
      <c r="F78" s="78">
        <f t="shared" si="10"/>
        <v>39</v>
      </c>
      <c r="G78" s="271"/>
      <c r="H78" s="78"/>
      <c r="I78" s="271"/>
      <c r="J78" s="271"/>
      <c r="K78" s="271"/>
    </row>
    <row r="79" spans="1:11">
      <c r="A79" s="196">
        <v>1991</v>
      </c>
      <c r="B79" s="78">
        <f t="shared" si="6"/>
        <v>6</v>
      </c>
      <c r="C79" s="78">
        <f t="shared" si="7"/>
        <v>11.7</v>
      </c>
      <c r="D79" s="78">
        <f t="shared" si="8"/>
        <v>17.600000000000001</v>
      </c>
      <c r="E79" s="78">
        <f t="shared" si="9"/>
        <v>24.9</v>
      </c>
      <c r="F79" s="78">
        <f t="shared" si="10"/>
        <v>39.900000000000006</v>
      </c>
      <c r="G79" s="271"/>
      <c r="H79" s="78"/>
      <c r="I79" s="271"/>
      <c r="J79" s="271"/>
      <c r="K79" s="271"/>
    </row>
    <row r="80" spans="1:11">
      <c r="A80" s="196">
        <v>1992</v>
      </c>
      <c r="B80" s="78">
        <f t="shared" si="6"/>
        <v>5.9</v>
      </c>
      <c r="C80" s="78">
        <f t="shared" si="7"/>
        <v>11.5</v>
      </c>
      <c r="D80" s="78">
        <f t="shared" si="8"/>
        <v>17.5</v>
      </c>
      <c r="E80" s="78">
        <f t="shared" si="9"/>
        <v>24.8</v>
      </c>
      <c r="F80" s="78">
        <f t="shared" si="10"/>
        <v>40.299999999999997</v>
      </c>
      <c r="G80" s="271"/>
      <c r="H80" s="78"/>
      <c r="I80" s="271"/>
      <c r="J80" s="271"/>
      <c r="K80" s="271"/>
    </row>
    <row r="81" spans="1:11">
      <c r="A81" s="196">
        <v>1993</v>
      </c>
      <c r="B81" s="78">
        <f t="shared" si="6"/>
        <v>5.8000000000000007</v>
      </c>
      <c r="C81" s="78">
        <f t="shared" si="7"/>
        <v>11.8</v>
      </c>
      <c r="D81" s="78">
        <f t="shared" si="8"/>
        <v>18</v>
      </c>
      <c r="E81" s="78">
        <f t="shared" si="9"/>
        <v>25</v>
      </c>
      <c r="F81" s="78">
        <f t="shared" si="10"/>
        <v>39.400000000000006</v>
      </c>
      <c r="G81" s="271"/>
      <c r="H81" s="78"/>
      <c r="I81" s="271"/>
      <c r="J81" s="271"/>
      <c r="K81" s="271"/>
    </row>
    <row r="82" spans="1:11">
      <c r="A82" s="196">
        <v>1994</v>
      </c>
      <c r="B82" s="78">
        <f t="shared" si="6"/>
        <v>5.9</v>
      </c>
      <c r="C82" s="78">
        <f t="shared" si="7"/>
        <v>11.8</v>
      </c>
      <c r="D82" s="78">
        <f t="shared" si="8"/>
        <v>18.100000000000001</v>
      </c>
      <c r="E82" s="78">
        <f t="shared" si="9"/>
        <v>24.9</v>
      </c>
      <c r="F82" s="78">
        <f t="shared" si="10"/>
        <v>39.299999999999997</v>
      </c>
      <c r="G82" s="271"/>
      <c r="H82" s="78"/>
      <c r="I82" s="271"/>
      <c r="J82" s="271"/>
      <c r="K82" s="271"/>
    </row>
    <row r="83" spans="1:11">
      <c r="A83" s="196">
        <v>1995</v>
      </c>
      <c r="B83" s="78">
        <f t="shared" si="6"/>
        <v>6.1</v>
      </c>
      <c r="C83" s="78">
        <f t="shared" si="7"/>
        <v>11.7</v>
      </c>
      <c r="D83" s="78">
        <f t="shared" si="8"/>
        <v>17.600000000000001</v>
      </c>
      <c r="E83" s="78">
        <f t="shared" si="9"/>
        <v>24.7</v>
      </c>
      <c r="F83" s="78">
        <f t="shared" si="10"/>
        <v>39.799999999999997</v>
      </c>
      <c r="G83" s="271"/>
      <c r="H83" s="78"/>
      <c r="I83" s="271"/>
      <c r="J83" s="271"/>
      <c r="K83" s="271"/>
    </row>
    <row r="84" spans="1:11">
      <c r="A84" s="196">
        <v>1996</v>
      </c>
      <c r="B84" s="78">
        <f t="shared" si="6"/>
        <v>5.9</v>
      </c>
      <c r="C84" s="78">
        <f t="shared" si="7"/>
        <v>11.5</v>
      </c>
      <c r="D84" s="78">
        <f t="shared" si="8"/>
        <v>17.5</v>
      </c>
      <c r="E84" s="78">
        <f t="shared" si="9"/>
        <v>24.8</v>
      </c>
      <c r="F84" s="78">
        <f t="shared" si="10"/>
        <v>40.299999999999997</v>
      </c>
      <c r="G84" s="271"/>
      <c r="H84" s="78"/>
      <c r="I84" s="271"/>
      <c r="J84" s="271"/>
      <c r="K84" s="271"/>
    </row>
    <row r="85" spans="1:11">
      <c r="A85" s="196">
        <v>1997</v>
      </c>
      <c r="B85" s="78">
        <f t="shared" si="6"/>
        <v>5.6</v>
      </c>
      <c r="C85" s="78">
        <f t="shared" si="7"/>
        <v>11.5</v>
      </c>
      <c r="D85" s="78">
        <f t="shared" si="8"/>
        <v>17.600000000000001</v>
      </c>
      <c r="E85" s="78">
        <f t="shared" si="9"/>
        <v>24.9</v>
      </c>
      <c r="F85" s="78">
        <f t="shared" si="10"/>
        <v>40.299999999999997</v>
      </c>
      <c r="G85" s="271"/>
      <c r="H85" s="78"/>
      <c r="I85" s="271"/>
      <c r="J85" s="271"/>
      <c r="K85" s="271"/>
    </row>
    <row r="86" spans="1:11">
      <c r="A86" s="196">
        <v>1998</v>
      </c>
      <c r="B86" s="78">
        <f t="shared" si="6"/>
        <v>5.7</v>
      </c>
      <c r="C86" s="78">
        <f t="shared" si="7"/>
        <v>11.3</v>
      </c>
      <c r="D86" s="78">
        <f t="shared" si="8"/>
        <v>17</v>
      </c>
      <c r="E86" s="78">
        <f t="shared" si="9"/>
        <v>24.700000000000003</v>
      </c>
      <c r="F86" s="78">
        <f t="shared" si="10"/>
        <v>41.400000000000006</v>
      </c>
      <c r="G86" s="271"/>
      <c r="H86" s="78"/>
      <c r="I86" s="271"/>
      <c r="J86" s="271"/>
      <c r="K86" s="271"/>
    </row>
    <row r="87" spans="1:11">
      <c r="A87" s="196">
        <v>1999</v>
      </c>
      <c r="B87" s="78">
        <f t="shared" si="6"/>
        <v>5.7</v>
      </c>
      <c r="C87" s="78">
        <f t="shared" si="7"/>
        <v>11.6</v>
      </c>
      <c r="D87" s="78">
        <f t="shared" si="8"/>
        <v>17.399999999999999</v>
      </c>
      <c r="E87" s="78">
        <f t="shared" si="9"/>
        <v>24.8</v>
      </c>
      <c r="F87" s="78">
        <f t="shared" si="10"/>
        <v>40.5</v>
      </c>
      <c r="G87" s="271"/>
      <c r="H87" s="78"/>
      <c r="I87" s="271"/>
      <c r="J87" s="271"/>
      <c r="K87" s="271"/>
    </row>
    <row r="88" spans="1:11">
      <c r="A88" s="196">
        <v>2000</v>
      </c>
      <c r="B88" s="78">
        <f t="shared" si="6"/>
        <v>5.4</v>
      </c>
      <c r="C88" s="78">
        <f t="shared" si="7"/>
        <v>11.3</v>
      </c>
      <c r="D88" s="78">
        <f t="shared" si="8"/>
        <v>17.100000000000001</v>
      </c>
      <c r="E88" s="78">
        <f t="shared" si="9"/>
        <v>24.3</v>
      </c>
      <c r="F88" s="78">
        <f t="shared" si="10"/>
        <v>41.8</v>
      </c>
      <c r="G88" s="271"/>
      <c r="H88" s="78"/>
      <c r="I88" s="271"/>
      <c r="J88" s="271"/>
      <c r="K88" s="271"/>
    </row>
    <row r="89" spans="1:11">
      <c r="A89" s="196">
        <v>2001</v>
      </c>
      <c r="B89" s="78">
        <f t="shared" si="6"/>
        <v>5.4</v>
      </c>
      <c r="C89" s="78">
        <f t="shared" si="7"/>
        <v>11.1</v>
      </c>
      <c r="D89" s="78">
        <f t="shared" si="8"/>
        <v>17.100000000000001</v>
      </c>
      <c r="E89" s="78">
        <f t="shared" si="9"/>
        <v>24.299999999999997</v>
      </c>
      <c r="F89" s="78">
        <f t="shared" si="10"/>
        <v>42.2</v>
      </c>
      <c r="G89" s="271"/>
      <c r="H89" s="78"/>
      <c r="I89" s="271"/>
      <c r="J89" s="271"/>
      <c r="K89" s="271"/>
    </row>
    <row r="90" spans="1:11">
      <c r="A90" s="196">
        <v>2002</v>
      </c>
      <c r="B90" s="78">
        <f t="shared" si="6"/>
        <v>5.4</v>
      </c>
      <c r="C90" s="78">
        <f t="shared" si="7"/>
        <v>10.9</v>
      </c>
      <c r="D90" s="78">
        <f t="shared" si="8"/>
        <v>17</v>
      </c>
      <c r="E90" s="78">
        <f t="shared" si="9"/>
        <v>24.9</v>
      </c>
      <c r="F90" s="78">
        <f t="shared" si="10"/>
        <v>41.9</v>
      </c>
      <c r="G90" s="271"/>
      <c r="H90" s="78"/>
      <c r="I90" s="271"/>
      <c r="J90" s="271"/>
      <c r="K90" s="271"/>
    </row>
    <row r="91" spans="1:11">
      <c r="A91" s="196">
        <v>2003</v>
      </c>
      <c r="B91" s="78">
        <f t="shared" si="6"/>
        <v>5.4</v>
      </c>
      <c r="C91" s="78">
        <f t="shared" si="7"/>
        <v>11</v>
      </c>
      <c r="D91" s="78">
        <f t="shared" si="8"/>
        <v>17</v>
      </c>
      <c r="E91" s="78">
        <f t="shared" si="9"/>
        <v>24.5</v>
      </c>
      <c r="F91" s="78">
        <f t="shared" si="10"/>
        <v>42.2</v>
      </c>
      <c r="G91" s="271"/>
      <c r="H91" s="78"/>
      <c r="I91" s="271"/>
      <c r="J91" s="271"/>
      <c r="K91" s="271"/>
    </row>
    <row r="92" spans="1:11">
      <c r="A92" s="196">
        <v>2004</v>
      </c>
      <c r="B92" s="78">
        <f t="shared" si="6"/>
        <v>5.5</v>
      </c>
      <c r="C92" s="78">
        <f t="shared" si="7"/>
        <v>11</v>
      </c>
      <c r="D92" s="78">
        <f t="shared" si="8"/>
        <v>16.899999999999999</v>
      </c>
      <c r="E92" s="78">
        <f t="shared" si="9"/>
        <v>24.4</v>
      </c>
      <c r="F92" s="78">
        <f t="shared" si="10"/>
        <v>42.2</v>
      </c>
      <c r="G92" s="271"/>
      <c r="H92" s="78"/>
      <c r="I92" s="271"/>
      <c r="J92" s="271"/>
      <c r="K92" s="271"/>
    </row>
    <row r="93" spans="1:11">
      <c r="A93" s="196">
        <v>2005</v>
      </c>
      <c r="B93" s="78">
        <f t="shared" si="6"/>
        <v>5.2</v>
      </c>
      <c r="C93" s="78">
        <f t="shared" si="7"/>
        <v>11.3</v>
      </c>
      <c r="D93" s="78">
        <f t="shared" si="8"/>
        <v>17.200000000000003</v>
      </c>
      <c r="E93" s="78">
        <f t="shared" si="9"/>
        <v>24.1</v>
      </c>
      <c r="F93" s="78">
        <f t="shared" si="10"/>
        <v>42.1</v>
      </c>
      <c r="G93" s="271"/>
      <c r="H93" s="78"/>
      <c r="I93" s="271"/>
      <c r="J93" s="271"/>
      <c r="K93" s="271"/>
    </row>
    <row r="94" spans="1:11">
      <c r="A94" s="196">
        <v>2006</v>
      </c>
      <c r="B94" s="78">
        <f t="shared" si="6"/>
        <v>5.4</v>
      </c>
      <c r="C94" s="78">
        <f t="shared" si="7"/>
        <v>11.4</v>
      </c>
      <c r="D94" s="78">
        <f t="shared" si="8"/>
        <v>17.100000000000001</v>
      </c>
      <c r="E94" s="78">
        <f t="shared" si="9"/>
        <v>24.1</v>
      </c>
      <c r="F94" s="78">
        <f t="shared" si="10"/>
        <v>42</v>
      </c>
      <c r="G94" s="271"/>
      <c r="H94" s="78"/>
      <c r="I94" s="271"/>
      <c r="J94" s="271"/>
      <c r="K94" s="271"/>
    </row>
    <row r="95" spans="1:11">
      <c r="A95" s="196">
        <v>2007</v>
      </c>
      <c r="B95" s="78">
        <f t="shared" si="6"/>
        <v>5.7</v>
      </c>
      <c r="C95" s="78">
        <f t="shared" si="7"/>
        <v>11.3</v>
      </c>
      <c r="D95" s="78">
        <f t="shared" si="8"/>
        <v>17</v>
      </c>
      <c r="E95" s="78">
        <f t="shared" si="9"/>
        <v>24.3</v>
      </c>
      <c r="F95" s="78">
        <f t="shared" si="10"/>
        <v>41.7</v>
      </c>
      <c r="G95" s="271"/>
      <c r="H95" s="78"/>
      <c r="I95" s="271"/>
      <c r="J95" s="271"/>
      <c r="K95" s="271"/>
    </row>
    <row r="96" spans="1:11">
      <c r="A96" s="196">
        <v>2008</v>
      </c>
      <c r="B96" s="78">
        <f t="shared" si="6"/>
        <v>5.0999999999999996</v>
      </c>
      <c r="C96" s="78">
        <f t="shared" si="7"/>
        <v>11.600000000000001</v>
      </c>
      <c r="D96" s="78">
        <f t="shared" si="8"/>
        <v>17</v>
      </c>
      <c r="E96" s="78">
        <f t="shared" si="9"/>
        <v>24.5</v>
      </c>
      <c r="F96" s="78">
        <f t="shared" si="10"/>
        <v>41.8</v>
      </c>
      <c r="G96" s="271"/>
      <c r="H96" s="78"/>
      <c r="I96" s="271"/>
      <c r="J96" s="271"/>
      <c r="K96" s="271"/>
    </row>
    <row r="97" spans="1:11">
      <c r="A97" s="196">
        <v>2009</v>
      </c>
      <c r="B97" s="78">
        <f t="shared" si="6"/>
        <v>5.0999999999999996</v>
      </c>
      <c r="C97" s="78">
        <f t="shared" si="7"/>
        <v>11.399999999999999</v>
      </c>
      <c r="D97" s="78">
        <f t="shared" si="8"/>
        <v>16.7</v>
      </c>
      <c r="E97" s="78">
        <f t="shared" si="9"/>
        <v>24.4</v>
      </c>
      <c r="F97" s="78">
        <f t="shared" si="10"/>
        <v>42.400000000000006</v>
      </c>
      <c r="G97" s="271"/>
      <c r="H97" s="78"/>
      <c r="I97" s="271"/>
      <c r="J97" s="271"/>
      <c r="K97" s="271"/>
    </row>
    <row r="98" spans="1:11">
      <c r="A98" s="196">
        <v>2010</v>
      </c>
      <c r="B98" s="78">
        <f t="shared" si="6"/>
        <v>5.4</v>
      </c>
      <c r="C98" s="78">
        <f t="shared" si="7"/>
        <v>11.100000000000001</v>
      </c>
      <c r="D98" s="78">
        <f t="shared" si="8"/>
        <v>17</v>
      </c>
      <c r="E98" s="78">
        <f t="shared" si="9"/>
        <v>24.9</v>
      </c>
      <c r="F98" s="78">
        <f t="shared" si="10"/>
        <v>41.599999999999994</v>
      </c>
      <c r="G98" s="271"/>
      <c r="H98" s="78"/>
      <c r="I98" s="271"/>
      <c r="J98" s="271"/>
      <c r="K98" s="271"/>
    </row>
    <row r="99" spans="1:11">
      <c r="A99" s="196">
        <v>2011</v>
      </c>
      <c r="B99" s="78">
        <f t="shared" si="6"/>
        <v>5.5</v>
      </c>
      <c r="C99" s="78">
        <f t="shared" si="7"/>
        <v>11.100000000000001</v>
      </c>
      <c r="D99" s="78">
        <f t="shared" si="8"/>
        <v>16.7</v>
      </c>
      <c r="E99" s="78">
        <f t="shared" si="9"/>
        <v>24.3</v>
      </c>
      <c r="F99" s="78">
        <f t="shared" si="10"/>
        <v>42.5</v>
      </c>
      <c r="G99" s="271"/>
      <c r="H99" s="78"/>
      <c r="I99" s="271"/>
      <c r="J99" s="271"/>
      <c r="K99" s="271"/>
    </row>
    <row r="100" spans="1:11">
      <c r="A100" s="196">
        <v>2012</v>
      </c>
      <c r="B100" s="78">
        <f t="shared" si="6"/>
        <v>5.2</v>
      </c>
      <c r="C100" s="78">
        <f t="shared" si="7"/>
        <v>11.2</v>
      </c>
      <c r="D100" s="78">
        <f t="shared" si="8"/>
        <v>16.7</v>
      </c>
      <c r="E100" s="78">
        <f t="shared" si="9"/>
        <v>24.4</v>
      </c>
      <c r="F100" s="78">
        <f t="shared" si="10"/>
        <v>42.4</v>
      </c>
      <c r="G100" s="271"/>
      <c r="H100" s="78"/>
      <c r="I100" s="271"/>
      <c r="J100" s="271"/>
      <c r="K100" s="271"/>
    </row>
    <row r="101" spans="1:11">
      <c r="A101" s="196">
        <v>2013</v>
      </c>
      <c r="B101" s="78">
        <f t="shared" si="6"/>
        <v>5.4</v>
      </c>
      <c r="C101" s="78">
        <f t="shared" si="7"/>
        <v>11.3</v>
      </c>
      <c r="D101" s="78">
        <f t="shared" si="8"/>
        <v>16.899999999999999</v>
      </c>
      <c r="E101" s="78">
        <f t="shared" si="9"/>
        <v>24.5</v>
      </c>
      <c r="F101" s="78">
        <f t="shared" si="10"/>
        <v>41.9</v>
      </c>
      <c r="G101" s="271"/>
      <c r="H101" s="78"/>
      <c r="I101" s="271"/>
      <c r="J101" s="271"/>
      <c r="K101" s="271"/>
    </row>
    <row r="102" spans="1:11">
      <c r="A102" s="196">
        <v>2014</v>
      </c>
      <c r="B102" s="78">
        <f t="shared" si="6"/>
        <v>5.7</v>
      </c>
      <c r="C102" s="78">
        <f t="shared" si="7"/>
        <v>11.399999999999999</v>
      </c>
      <c r="D102" s="78">
        <f t="shared" si="8"/>
        <v>17.2</v>
      </c>
      <c r="E102" s="78">
        <f t="shared" si="9"/>
        <v>24.9</v>
      </c>
      <c r="F102" s="78">
        <f t="shared" si="10"/>
        <v>40.900000000000006</v>
      </c>
      <c r="G102" s="271"/>
      <c r="H102" s="78"/>
      <c r="I102" s="271"/>
      <c r="J102" s="271"/>
      <c r="K102" s="271"/>
    </row>
    <row r="103" spans="1:11">
      <c r="A103" s="196">
        <v>2015</v>
      </c>
      <c r="B103" s="78">
        <f t="shared" si="6"/>
        <v>5.0999999999999996</v>
      </c>
      <c r="C103" s="78">
        <f t="shared" si="7"/>
        <v>11.1</v>
      </c>
      <c r="D103" s="78">
        <f t="shared" si="8"/>
        <v>17.7</v>
      </c>
      <c r="E103" s="78">
        <f t="shared" si="9"/>
        <v>25.299999999999997</v>
      </c>
      <c r="F103" s="78">
        <f t="shared" si="10"/>
        <v>40.900000000000006</v>
      </c>
      <c r="G103" s="271"/>
      <c r="H103" s="78"/>
      <c r="I103" s="271"/>
      <c r="J103" s="271"/>
      <c r="K103" s="271"/>
    </row>
    <row r="104" spans="1:11">
      <c r="A104" s="196">
        <v>2016</v>
      </c>
      <c r="B104" s="78">
        <f t="shared" si="6"/>
        <v>5.6</v>
      </c>
      <c r="C104" s="78">
        <f t="shared" si="7"/>
        <v>11.3</v>
      </c>
      <c r="D104" s="78">
        <f t="shared" si="8"/>
        <v>16.899999999999999</v>
      </c>
      <c r="E104" s="78">
        <f t="shared" si="9"/>
        <v>24.3</v>
      </c>
      <c r="F104" s="78">
        <f t="shared" si="10"/>
        <v>41.8</v>
      </c>
      <c r="G104" s="271"/>
      <c r="H104" s="78"/>
      <c r="I104" s="271"/>
      <c r="J104" s="271"/>
      <c r="K104" s="271"/>
    </row>
    <row r="105" spans="1:11">
      <c r="A105" s="196">
        <v>2017</v>
      </c>
      <c r="B105" s="78">
        <f t="shared" si="6"/>
        <v>5.6</v>
      </c>
      <c r="C105" s="78">
        <f t="shared" si="7"/>
        <v>11.100000000000001</v>
      </c>
      <c r="D105" s="78">
        <f t="shared" si="8"/>
        <v>17.2</v>
      </c>
      <c r="E105" s="78">
        <f t="shared" si="9"/>
        <v>24.4</v>
      </c>
      <c r="F105" s="78">
        <f t="shared" si="10"/>
        <v>41.7</v>
      </c>
      <c r="G105" s="271"/>
      <c r="H105" s="78"/>
      <c r="I105" s="271"/>
      <c r="J105" s="271"/>
      <c r="K105" s="271"/>
    </row>
    <row r="106" spans="1:11">
      <c r="A106" s="196">
        <v>2018</v>
      </c>
      <c r="B106" s="78">
        <f t="shared" si="6"/>
        <v>5.4</v>
      </c>
      <c r="C106" s="78">
        <f t="shared" si="7"/>
        <v>11.2</v>
      </c>
      <c r="D106" s="78">
        <f t="shared" si="8"/>
        <v>17</v>
      </c>
      <c r="E106" s="78">
        <f t="shared" si="9"/>
        <v>24.2</v>
      </c>
      <c r="F106" s="78">
        <f t="shared" si="10"/>
        <v>42.3</v>
      </c>
      <c r="G106" s="271"/>
      <c r="H106" s="78"/>
      <c r="I106" s="271"/>
      <c r="J106" s="271"/>
      <c r="K106" s="271"/>
    </row>
    <row r="107" spans="1:11">
      <c r="A107" s="196">
        <v>2019</v>
      </c>
      <c r="B107" s="78">
        <f t="shared" si="6"/>
        <v>5.6999999999999993</v>
      </c>
      <c r="C107" s="78">
        <f t="shared" si="7"/>
        <v>11.5</v>
      </c>
      <c r="D107" s="78">
        <f t="shared" si="8"/>
        <v>17.3</v>
      </c>
      <c r="E107" s="78">
        <f t="shared" si="9"/>
        <v>23.8</v>
      </c>
      <c r="F107" s="78">
        <f t="shared" si="10"/>
        <v>41.900000000000006</v>
      </c>
      <c r="G107" s="271"/>
      <c r="H107" s="78"/>
      <c r="I107" s="271"/>
      <c r="J107" s="271"/>
      <c r="K107" s="271"/>
    </row>
    <row r="108" spans="1:11">
      <c r="A108" s="196"/>
      <c r="B108" s="271"/>
      <c r="C108" s="271"/>
      <c r="D108" s="271"/>
      <c r="E108" s="271"/>
      <c r="F108" s="271"/>
      <c r="G108" s="271"/>
      <c r="H108" s="271"/>
      <c r="I108" s="271"/>
      <c r="J108" s="271"/>
      <c r="K108" s="271"/>
    </row>
    <row r="109" spans="1:11">
      <c r="A109" s="196" t="s">
        <v>22</v>
      </c>
      <c r="B109" s="78">
        <f t="shared" ref="B109:F109" si="11">B107-B64</f>
        <v>0.79999999999999893</v>
      </c>
      <c r="C109" s="78">
        <f t="shared" si="11"/>
        <v>-0.69999999999999929</v>
      </c>
      <c r="D109" s="78">
        <f t="shared" si="11"/>
        <v>-1.3999999999999986</v>
      </c>
      <c r="E109" s="78">
        <f t="shared" si="11"/>
        <v>-1.3999999999999986</v>
      </c>
      <c r="F109" s="78">
        <f t="shared" si="11"/>
        <v>2.9000000000000057</v>
      </c>
      <c r="G109" s="271"/>
      <c r="H109" s="271"/>
      <c r="I109" s="271"/>
      <c r="J109" s="271"/>
      <c r="K109" s="271"/>
    </row>
    <row r="110" spans="1:11">
      <c r="A110" s="196" t="s">
        <v>23</v>
      </c>
      <c r="B110" s="78">
        <f t="shared" ref="B110:F110" si="12">B88-B64</f>
        <v>0.5</v>
      </c>
      <c r="C110" s="78">
        <f t="shared" si="12"/>
        <v>-0.89999999999999858</v>
      </c>
      <c r="D110" s="78">
        <f t="shared" si="12"/>
        <v>-1.5999999999999979</v>
      </c>
      <c r="E110" s="78">
        <f t="shared" si="12"/>
        <v>-0.89999999999999858</v>
      </c>
      <c r="F110" s="78">
        <f t="shared" si="12"/>
        <v>2.7999999999999972</v>
      </c>
      <c r="G110" s="271"/>
      <c r="H110" s="271"/>
      <c r="I110" s="271"/>
      <c r="J110" s="271"/>
      <c r="K110" s="271"/>
    </row>
    <row r="111" spans="1:11">
      <c r="A111" s="196" t="s">
        <v>24</v>
      </c>
      <c r="B111" s="78">
        <f t="shared" ref="B111:F111" si="13">B107-B88</f>
        <v>0.29999999999999893</v>
      </c>
      <c r="C111" s="78">
        <f t="shared" si="13"/>
        <v>0.19999999999999929</v>
      </c>
      <c r="D111" s="78">
        <f t="shared" si="13"/>
        <v>0.19999999999999929</v>
      </c>
      <c r="E111" s="78">
        <f t="shared" si="13"/>
        <v>-0.5</v>
      </c>
      <c r="F111" s="78">
        <f t="shared" si="13"/>
        <v>0.10000000000000853</v>
      </c>
      <c r="G111" s="271"/>
      <c r="H111" s="271"/>
      <c r="I111" s="271"/>
      <c r="J111" s="271"/>
      <c r="K111" s="271"/>
    </row>
    <row r="112" spans="1:11">
      <c r="A112" s="196"/>
    </row>
    <row r="113" spans="1:11">
      <c r="A113" s="196"/>
    </row>
    <row r="114" spans="1:11">
      <c r="A114" s="196" t="s">
        <v>181</v>
      </c>
    </row>
    <row r="115" spans="1:11">
      <c r="A115" s="196"/>
    </row>
    <row r="116" spans="1:11" ht="16" customHeight="1">
      <c r="A116" s="339" t="s">
        <v>166</v>
      </c>
      <c r="B116" s="341" t="s">
        <v>103</v>
      </c>
      <c r="C116" s="341"/>
      <c r="D116" s="341" t="s">
        <v>104</v>
      </c>
      <c r="E116" s="341"/>
      <c r="F116" s="341" t="s">
        <v>105</v>
      </c>
      <c r="G116" s="341"/>
      <c r="H116" s="341" t="s">
        <v>106</v>
      </c>
      <c r="I116" s="341"/>
      <c r="J116" s="341" t="s">
        <v>107</v>
      </c>
      <c r="K116" s="341"/>
    </row>
    <row r="117" spans="1:11" ht="16" customHeight="1">
      <c r="A117" s="339"/>
      <c r="B117" s="271" t="s">
        <v>43</v>
      </c>
      <c r="C117" s="271" t="s">
        <v>44</v>
      </c>
      <c r="D117" s="271" t="s">
        <v>43</v>
      </c>
      <c r="E117" s="271" t="s">
        <v>44</v>
      </c>
      <c r="F117" s="271" t="s">
        <v>43</v>
      </c>
      <c r="G117" s="271" t="s">
        <v>44</v>
      </c>
      <c r="H117" s="271" t="s">
        <v>43</v>
      </c>
      <c r="I117" s="271" t="s">
        <v>44</v>
      </c>
      <c r="J117" s="271" t="s">
        <v>43</v>
      </c>
      <c r="K117" s="271" t="s">
        <v>44</v>
      </c>
    </row>
    <row r="118" spans="1:11">
      <c r="A118" s="196" t="s">
        <v>69</v>
      </c>
      <c r="B118" s="78">
        <v>-0.10000000000000053</v>
      </c>
      <c r="C118" s="78">
        <v>0.79999999999999893</v>
      </c>
      <c r="D118" s="78">
        <v>-1.0999999999999996</v>
      </c>
      <c r="E118" s="78">
        <v>-0.69999999999999929</v>
      </c>
      <c r="F118" s="78">
        <v>-1.5</v>
      </c>
      <c r="G118" s="78">
        <v>-1.3999999999999986</v>
      </c>
      <c r="H118" s="78">
        <v>-0.5</v>
      </c>
      <c r="I118" s="78">
        <v>-1.3999999999999986</v>
      </c>
      <c r="J118" s="78">
        <v>3.0999999999999943</v>
      </c>
      <c r="K118" s="78">
        <v>2.9000000000000057</v>
      </c>
    </row>
    <row r="119" spans="1:11">
      <c r="A119" s="196" t="s">
        <v>46</v>
      </c>
      <c r="B119" s="78">
        <v>-0.30000000000000071</v>
      </c>
      <c r="C119" s="78">
        <v>0.5</v>
      </c>
      <c r="D119" s="78">
        <v>-0.90000000000000036</v>
      </c>
      <c r="E119" s="78">
        <v>-0.89999999999999858</v>
      </c>
      <c r="F119" s="78">
        <v>-1.3999999999999986</v>
      </c>
      <c r="G119" s="78">
        <v>-1.5999999999999979</v>
      </c>
      <c r="H119" s="78">
        <v>-0.69999999999999929</v>
      </c>
      <c r="I119" s="78">
        <v>-0.89999999999999858</v>
      </c>
      <c r="J119" s="78">
        <v>2.8999999999999986</v>
      </c>
      <c r="K119" s="78">
        <v>2.7999999999999972</v>
      </c>
    </row>
    <row r="120" spans="1:11">
      <c r="A120" s="196" t="s">
        <v>47</v>
      </c>
      <c r="B120" s="78">
        <v>0.20000000000000018</v>
      </c>
      <c r="C120" s="78">
        <v>0.29999999999999893</v>
      </c>
      <c r="D120" s="78">
        <v>-0.19999999999999929</v>
      </c>
      <c r="E120" s="78">
        <v>0.19999999999999929</v>
      </c>
      <c r="F120" s="78">
        <v>-0.10000000000000142</v>
      </c>
      <c r="G120" s="78">
        <v>0.19999999999999929</v>
      </c>
      <c r="H120" s="78">
        <v>0.19999999999999929</v>
      </c>
      <c r="I120" s="78">
        <v>-0.5</v>
      </c>
      <c r="J120" s="78">
        <v>0.19999999999999574</v>
      </c>
      <c r="K120" s="78">
        <v>0.10000000000000853</v>
      </c>
    </row>
    <row r="121" spans="1:11">
      <c r="A121" s="196"/>
    </row>
    <row r="122" spans="1:11">
      <c r="A122" s="196"/>
    </row>
    <row r="123" spans="1:11">
      <c r="A123" s="99" t="s">
        <v>538</v>
      </c>
      <c r="B123" s="278"/>
      <c r="C123" s="278"/>
      <c r="D123" s="278"/>
      <c r="E123" s="278"/>
      <c r="F123" s="278"/>
    </row>
    <row r="124" spans="1:11">
      <c r="B124" s="278"/>
      <c r="C124" s="278"/>
      <c r="D124" s="278"/>
      <c r="E124" s="278"/>
      <c r="F124" s="278"/>
    </row>
    <row r="125" spans="1:11">
      <c r="B125" s="278"/>
      <c r="C125" s="278"/>
      <c r="D125" s="278"/>
      <c r="E125" s="278"/>
      <c r="F125" s="278"/>
    </row>
    <row r="126" spans="1:11">
      <c r="A126" s="99" t="s">
        <v>182</v>
      </c>
      <c r="B126" s="278"/>
      <c r="C126" s="278"/>
      <c r="D126" s="278"/>
      <c r="E126" s="278"/>
      <c r="F126" s="278"/>
    </row>
    <row r="127" spans="1:11">
      <c r="B127" s="278"/>
      <c r="C127" s="278"/>
      <c r="D127" s="278"/>
      <c r="E127" s="278"/>
      <c r="F127" s="278"/>
    </row>
    <row r="128" spans="1:11">
      <c r="A128" s="196"/>
      <c r="B128" s="340">
        <v>1976</v>
      </c>
      <c r="C128" s="340"/>
      <c r="D128" s="340">
        <v>2000</v>
      </c>
      <c r="E128" s="340"/>
      <c r="F128" s="340">
        <v>2019</v>
      </c>
      <c r="G128" s="340"/>
    </row>
    <row r="129" spans="1:8" ht="34" customHeight="1">
      <c r="A129" s="196"/>
      <c r="B129" s="194" t="s">
        <v>144</v>
      </c>
      <c r="C129" s="194" t="s">
        <v>183</v>
      </c>
      <c r="D129" s="194" t="s">
        <v>144</v>
      </c>
      <c r="E129" s="194" t="s">
        <v>183</v>
      </c>
      <c r="F129" s="194" t="s">
        <v>144</v>
      </c>
      <c r="G129" s="194" t="s">
        <v>183</v>
      </c>
    </row>
    <row r="130" spans="1:8" ht="17">
      <c r="A130" s="195" t="s">
        <v>103</v>
      </c>
      <c r="B130" s="101">
        <v>12300</v>
      </c>
      <c r="C130" s="78">
        <v>4.9000000000000004</v>
      </c>
      <c r="D130" s="101">
        <v>14500</v>
      </c>
      <c r="E130" s="78">
        <v>5.4</v>
      </c>
      <c r="F130" s="101">
        <v>18350</v>
      </c>
      <c r="G130" s="78">
        <v>5.6999999999999993</v>
      </c>
    </row>
    <row r="131" spans="1:8" ht="16" customHeight="1">
      <c r="A131" s="195" t="s">
        <v>104</v>
      </c>
      <c r="B131" s="101">
        <v>30800</v>
      </c>
      <c r="C131" s="78">
        <v>12.2</v>
      </c>
      <c r="D131" s="101">
        <v>30200</v>
      </c>
      <c r="E131" s="78">
        <v>11.3</v>
      </c>
      <c r="F131" s="101">
        <v>37400</v>
      </c>
      <c r="G131" s="78">
        <v>11.5</v>
      </c>
    </row>
    <row r="132" spans="1:8" ht="16" customHeight="1">
      <c r="A132" s="195" t="s">
        <v>105</v>
      </c>
      <c r="B132" s="101">
        <v>47400</v>
      </c>
      <c r="C132" s="78">
        <v>18.7</v>
      </c>
      <c r="D132" s="101">
        <v>45650</v>
      </c>
      <c r="E132" s="78">
        <v>17.100000000000001</v>
      </c>
      <c r="F132" s="101">
        <v>56350</v>
      </c>
      <c r="G132" s="78">
        <v>17.3</v>
      </c>
    </row>
    <row r="133" spans="1:8" ht="16" customHeight="1">
      <c r="A133" s="195" t="s">
        <v>106</v>
      </c>
      <c r="B133" s="101">
        <v>63850</v>
      </c>
      <c r="C133" s="78">
        <v>25.2</v>
      </c>
      <c r="D133" s="101">
        <v>65000</v>
      </c>
      <c r="E133" s="78">
        <v>24.3</v>
      </c>
      <c r="F133" s="101">
        <v>77900</v>
      </c>
      <c r="G133" s="78">
        <v>23.8</v>
      </c>
    </row>
    <row r="134" spans="1:8" ht="16" customHeight="1">
      <c r="A134" s="195" t="s">
        <v>107</v>
      </c>
      <c r="B134" s="101">
        <v>98800</v>
      </c>
      <c r="C134" s="78">
        <v>39</v>
      </c>
      <c r="D134" s="101">
        <v>111650</v>
      </c>
      <c r="E134" s="78">
        <v>41.8</v>
      </c>
      <c r="F134" s="101">
        <v>136900</v>
      </c>
      <c r="G134" s="78">
        <v>41.900000000000006</v>
      </c>
    </row>
    <row r="135" spans="1:8" ht="16" customHeight="1">
      <c r="A135" s="193"/>
    </row>
    <row r="136" spans="1:8" ht="16" customHeight="1">
      <c r="A136" s="193"/>
    </row>
    <row r="137" spans="1:8" ht="16" customHeight="1">
      <c r="A137" s="99" t="s">
        <v>184</v>
      </c>
    </row>
    <row r="138" spans="1:8" ht="16" customHeight="1">
      <c r="A138" s="193"/>
    </row>
    <row r="139" spans="1:8" ht="16" customHeight="1">
      <c r="A139" s="339" t="s">
        <v>185</v>
      </c>
      <c r="B139" s="340">
        <v>1976</v>
      </c>
      <c r="C139" s="340"/>
      <c r="D139" s="340">
        <v>2000</v>
      </c>
      <c r="E139" s="340"/>
      <c r="F139" s="340">
        <v>2019</v>
      </c>
      <c r="G139" s="340"/>
      <c r="H139" s="279"/>
    </row>
    <row r="140" spans="1:8" ht="16" customHeight="1">
      <c r="A140" s="339"/>
      <c r="B140" s="194" t="s">
        <v>144</v>
      </c>
      <c r="C140" s="194" t="s">
        <v>183</v>
      </c>
      <c r="D140" s="194" t="s">
        <v>144</v>
      </c>
      <c r="E140" s="194" t="s">
        <v>183</v>
      </c>
      <c r="F140" s="194" t="s">
        <v>144</v>
      </c>
      <c r="G140" s="194" t="s">
        <v>183</v>
      </c>
      <c r="H140" s="194"/>
    </row>
    <row r="141" spans="1:8" ht="17">
      <c r="A141" s="195" t="s">
        <v>92</v>
      </c>
      <c r="B141" s="101">
        <v>6600</v>
      </c>
      <c r="C141" s="78">
        <v>1.3</v>
      </c>
      <c r="D141" s="101">
        <v>9800</v>
      </c>
      <c r="E141" s="78">
        <v>1.8</v>
      </c>
      <c r="F141" s="101">
        <v>12100</v>
      </c>
      <c r="G141" s="78">
        <v>1.9</v>
      </c>
      <c r="H141" s="78"/>
    </row>
    <row r="142" spans="1:8" ht="17">
      <c r="A142" s="195" t="s">
        <v>93</v>
      </c>
      <c r="B142" s="101">
        <v>42900</v>
      </c>
      <c r="C142" s="78">
        <v>8.5</v>
      </c>
      <c r="D142" s="101">
        <v>41600</v>
      </c>
      <c r="E142" s="78">
        <v>7.8</v>
      </c>
      <c r="F142" s="101">
        <v>51400</v>
      </c>
      <c r="G142" s="78">
        <v>9.4</v>
      </c>
      <c r="H142" s="78"/>
    </row>
    <row r="143" spans="1:8" ht="17">
      <c r="A143" s="195" t="s">
        <v>94</v>
      </c>
      <c r="B143" s="101">
        <v>115400</v>
      </c>
      <c r="C143" s="78">
        <v>22.8</v>
      </c>
      <c r="D143" s="101">
        <v>134800</v>
      </c>
      <c r="E143" s="78">
        <v>25.2</v>
      </c>
      <c r="F143" s="101">
        <v>163900</v>
      </c>
      <c r="G143" s="78">
        <v>25.1</v>
      </c>
      <c r="H143" s="78"/>
    </row>
    <row r="144" spans="1:8">
      <c r="A144" s="196"/>
    </row>
    <row r="145" spans="1:1">
      <c r="A145" s="196"/>
    </row>
    <row r="146" spans="1:1">
      <c r="A146" s="196"/>
    </row>
    <row r="147" spans="1:1">
      <c r="A147" s="280" t="s">
        <v>636</v>
      </c>
    </row>
    <row r="148" spans="1:1">
      <c r="A148" s="196"/>
    </row>
    <row r="149" spans="1:1">
      <c r="A149" s="196"/>
    </row>
    <row r="150" spans="1:1">
      <c r="A150" s="196"/>
    </row>
    <row r="151" spans="1:1">
      <c r="A151" s="196"/>
    </row>
    <row r="152" spans="1:1">
      <c r="A152" s="196"/>
    </row>
    <row r="153" spans="1:1">
      <c r="A153" s="196"/>
    </row>
    <row r="154" spans="1:1">
      <c r="A154" s="196"/>
    </row>
    <row r="155" spans="1:1">
      <c r="A155" s="196"/>
    </row>
    <row r="156" spans="1:1">
      <c r="A156" s="196"/>
    </row>
    <row r="157" spans="1:1">
      <c r="A157" s="196"/>
    </row>
    <row r="158" spans="1:1">
      <c r="A158" s="196"/>
    </row>
    <row r="159" spans="1:1">
      <c r="A159" s="196"/>
    </row>
    <row r="160" spans="1:1">
      <c r="A160" s="196"/>
    </row>
    <row r="161" spans="1:1">
      <c r="A161" s="196"/>
    </row>
    <row r="162" spans="1:1">
      <c r="A162" s="196"/>
    </row>
    <row r="163" spans="1:1">
      <c r="A163" s="196"/>
    </row>
    <row r="164" spans="1:1">
      <c r="A164" s="196"/>
    </row>
    <row r="165" spans="1:1">
      <c r="A165" s="196"/>
    </row>
    <row r="166" spans="1:1">
      <c r="A166" s="196"/>
    </row>
    <row r="167" spans="1:1">
      <c r="A167" s="196"/>
    </row>
    <row r="168" spans="1:1">
      <c r="A168" s="196"/>
    </row>
    <row r="169" spans="1:1">
      <c r="A169" s="196"/>
    </row>
    <row r="170" spans="1:1">
      <c r="A170" s="196"/>
    </row>
    <row r="171" spans="1:1">
      <c r="A171" s="196"/>
    </row>
    <row r="172" spans="1:1">
      <c r="A172" s="196"/>
    </row>
    <row r="173" spans="1:1">
      <c r="A173" s="196"/>
    </row>
    <row r="174" spans="1:1">
      <c r="A174" s="196"/>
    </row>
    <row r="175" spans="1:1">
      <c r="A175" s="196"/>
    </row>
    <row r="176" spans="1:1">
      <c r="A176" s="196"/>
    </row>
    <row r="177" spans="1:1">
      <c r="A177" s="196"/>
    </row>
    <row r="178" spans="1:1">
      <c r="A178" s="196"/>
    </row>
    <row r="179" spans="1:1">
      <c r="A179" s="196"/>
    </row>
    <row r="180" spans="1:1">
      <c r="A180" s="196"/>
    </row>
    <row r="181" spans="1:1">
      <c r="A181" s="196"/>
    </row>
    <row r="182" spans="1:1">
      <c r="A182" s="196"/>
    </row>
    <row r="183" spans="1:1">
      <c r="A183" s="196"/>
    </row>
    <row r="184" spans="1:1">
      <c r="A184" s="196"/>
    </row>
    <row r="185" spans="1:1">
      <c r="A185" s="196"/>
    </row>
    <row r="186" spans="1:1">
      <c r="A186" s="196"/>
    </row>
    <row r="187" spans="1:1">
      <c r="A187" s="196"/>
    </row>
    <row r="188" spans="1:1">
      <c r="A188" s="196"/>
    </row>
    <row r="189" spans="1:1">
      <c r="A189" s="196"/>
    </row>
    <row r="190" spans="1:1">
      <c r="A190" s="196"/>
    </row>
    <row r="191" spans="1:1">
      <c r="A191" s="196"/>
    </row>
    <row r="192" spans="1:1">
      <c r="A192" s="196"/>
    </row>
    <row r="193" spans="1:1">
      <c r="A193" s="196"/>
    </row>
    <row r="194" spans="1:1">
      <c r="A194" s="196"/>
    </row>
    <row r="195" spans="1:1">
      <c r="A195" s="196"/>
    </row>
    <row r="196" spans="1:1">
      <c r="A196" s="196"/>
    </row>
    <row r="197" spans="1:1">
      <c r="A197" s="196"/>
    </row>
    <row r="198" spans="1:1">
      <c r="A198" s="196"/>
    </row>
    <row r="199" spans="1:1">
      <c r="A199" s="196"/>
    </row>
    <row r="200" spans="1:1">
      <c r="A200" s="196"/>
    </row>
    <row r="201" spans="1:1">
      <c r="A201" s="196"/>
    </row>
    <row r="202" spans="1:1">
      <c r="A202" s="196"/>
    </row>
    <row r="203" spans="1:1">
      <c r="A203" s="196"/>
    </row>
    <row r="204" spans="1:1">
      <c r="A204" s="196"/>
    </row>
    <row r="205" spans="1:1">
      <c r="A205" s="196"/>
    </row>
    <row r="206" spans="1:1">
      <c r="A206" s="196"/>
    </row>
    <row r="207" spans="1:1">
      <c r="A207" s="196"/>
    </row>
    <row r="208" spans="1:1">
      <c r="A208" s="196"/>
    </row>
    <row r="209" spans="1:1">
      <c r="A209" s="196"/>
    </row>
    <row r="210" spans="1:1">
      <c r="A210" s="196"/>
    </row>
    <row r="211" spans="1:1">
      <c r="A211" s="196"/>
    </row>
    <row r="212" spans="1:1">
      <c r="A212" s="196"/>
    </row>
    <row r="213" spans="1:1">
      <c r="A213" s="196"/>
    </row>
    <row r="214" spans="1:1">
      <c r="A214" s="196"/>
    </row>
    <row r="215" spans="1:1">
      <c r="A215" s="196"/>
    </row>
    <row r="216" spans="1:1">
      <c r="A216" s="196"/>
    </row>
    <row r="217" spans="1:1">
      <c r="A217" s="196"/>
    </row>
    <row r="218" spans="1:1">
      <c r="A218" s="196"/>
    </row>
    <row r="219" spans="1:1">
      <c r="A219" s="196"/>
    </row>
    <row r="220" spans="1:1">
      <c r="A220" s="196"/>
    </row>
    <row r="221" spans="1:1">
      <c r="A221" s="196"/>
    </row>
    <row r="222" spans="1:1">
      <c r="A222" s="196"/>
    </row>
    <row r="223" spans="1:1">
      <c r="A223" s="196"/>
    </row>
    <row r="224" spans="1:1">
      <c r="A224" s="196"/>
    </row>
    <row r="225" spans="1:1">
      <c r="A225" s="196"/>
    </row>
    <row r="226" spans="1:1">
      <c r="A226" s="196"/>
    </row>
    <row r="227" spans="1:1">
      <c r="A227" s="196"/>
    </row>
    <row r="228" spans="1:1">
      <c r="A228" s="196"/>
    </row>
    <row r="229" spans="1:1">
      <c r="A229" s="196"/>
    </row>
    <row r="230" spans="1:1">
      <c r="A230" s="196"/>
    </row>
    <row r="231" spans="1:1">
      <c r="A231" s="196"/>
    </row>
    <row r="232" spans="1:1">
      <c r="A232" s="196"/>
    </row>
    <row r="233" spans="1:1">
      <c r="A233" s="196"/>
    </row>
    <row r="234" spans="1:1">
      <c r="A234" s="196"/>
    </row>
    <row r="235" spans="1:1">
      <c r="A235" s="196"/>
    </row>
    <row r="236" spans="1:1">
      <c r="A236" s="196"/>
    </row>
    <row r="237" spans="1:1">
      <c r="A237" s="196"/>
    </row>
    <row r="238" spans="1:1">
      <c r="A238" s="196"/>
    </row>
    <row r="239" spans="1:1">
      <c r="A239" s="196"/>
    </row>
    <row r="240" spans="1:1">
      <c r="A240" s="196"/>
    </row>
    <row r="241" spans="1:1">
      <c r="A241" s="196"/>
    </row>
    <row r="242" spans="1:1">
      <c r="A242" s="196"/>
    </row>
    <row r="243" spans="1:1">
      <c r="A243" s="196"/>
    </row>
    <row r="244" spans="1:1">
      <c r="A244" s="196"/>
    </row>
    <row r="245" spans="1:1">
      <c r="A245" s="196"/>
    </row>
    <row r="246" spans="1:1">
      <c r="A246" s="196"/>
    </row>
    <row r="247" spans="1:1">
      <c r="A247" s="196"/>
    </row>
    <row r="248" spans="1:1">
      <c r="A248" s="196"/>
    </row>
    <row r="249" spans="1:1">
      <c r="A249" s="196"/>
    </row>
    <row r="250" spans="1:1">
      <c r="A250" s="196"/>
    </row>
    <row r="251" spans="1:1">
      <c r="A251" s="196"/>
    </row>
    <row r="252" spans="1:1">
      <c r="A252" s="196"/>
    </row>
    <row r="253" spans="1:1">
      <c r="A253" s="196"/>
    </row>
    <row r="254" spans="1:1">
      <c r="A254" s="196"/>
    </row>
    <row r="255" spans="1:1">
      <c r="A255" s="196"/>
    </row>
    <row r="256" spans="1:1">
      <c r="A256" s="196"/>
    </row>
    <row r="257" spans="1:1">
      <c r="A257" s="196"/>
    </row>
    <row r="258" spans="1:1">
      <c r="A258" s="196"/>
    </row>
    <row r="259" spans="1:1">
      <c r="A259" s="196"/>
    </row>
    <row r="260" spans="1:1">
      <c r="A260" s="196"/>
    </row>
    <row r="261" spans="1:1">
      <c r="A261" s="196"/>
    </row>
    <row r="262" spans="1:1">
      <c r="A262" s="196"/>
    </row>
    <row r="263" spans="1:1">
      <c r="A263" s="196"/>
    </row>
    <row r="264" spans="1:1">
      <c r="A264" s="196"/>
    </row>
    <row r="265" spans="1:1">
      <c r="A265" s="196"/>
    </row>
    <row r="266" spans="1:1">
      <c r="A266" s="196"/>
    </row>
    <row r="267" spans="1:1">
      <c r="A267" s="196"/>
    </row>
    <row r="268" spans="1:1">
      <c r="A268" s="196"/>
    </row>
    <row r="269" spans="1:1">
      <c r="A269" s="196"/>
    </row>
    <row r="270" spans="1:1">
      <c r="A270" s="196"/>
    </row>
    <row r="271" spans="1:1">
      <c r="A271" s="196"/>
    </row>
    <row r="272" spans="1:1">
      <c r="A272" s="196"/>
    </row>
    <row r="273" spans="1:1">
      <c r="A273" s="196"/>
    </row>
    <row r="274" spans="1:1">
      <c r="A274" s="196"/>
    </row>
    <row r="275" spans="1:1">
      <c r="A275" s="196"/>
    </row>
  </sheetData>
  <sortState xmlns:xlrd2="http://schemas.microsoft.com/office/spreadsheetml/2017/richdata2" ref="AB6:AC15">
    <sortCondition descending="1" ref="AC6:AC15"/>
  </sortState>
  <mergeCells count="16">
    <mergeCell ref="A139:A140"/>
    <mergeCell ref="N1:O1"/>
    <mergeCell ref="P1:Q1"/>
    <mergeCell ref="R1:S1"/>
    <mergeCell ref="B139:C139"/>
    <mergeCell ref="D139:E139"/>
    <mergeCell ref="F139:G139"/>
    <mergeCell ref="H116:I116"/>
    <mergeCell ref="J116:K116"/>
    <mergeCell ref="A116:A117"/>
    <mergeCell ref="D128:E128"/>
    <mergeCell ref="F128:G128"/>
    <mergeCell ref="B128:C128"/>
    <mergeCell ref="B116:C116"/>
    <mergeCell ref="D116:E116"/>
    <mergeCell ref="F116:G1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A819A-47D6-F747-91DE-8F975E650931}">
  <dimension ref="A1:K140"/>
  <sheetViews>
    <sheetView zoomScale="75" zoomScaleNormal="96" workbookViewId="0"/>
  </sheetViews>
  <sheetFormatPr baseColWidth="10" defaultColWidth="10.83203125" defaultRowHeight="16"/>
  <cols>
    <col min="1" max="1" width="23.5" style="99" customWidth="1"/>
    <col min="2" max="16384" width="10.83203125" style="99"/>
  </cols>
  <sheetData>
    <row r="1" spans="1:11">
      <c r="A1" s="103" t="s">
        <v>637</v>
      </c>
    </row>
    <row r="3" spans="1:11">
      <c r="A3" s="99" t="s">
        <v>179</v>
      </c>
    </row>
    <row r="5" spans="1:11" ht="34">
      <c r="B5" s="100" t="s">
        <v>92</v>
      </c>
      <c r="C5" s="100" t="s">
        <v>172</v>
      </c>
      <c r="D5" s="100" t="s">
        <v>173</v>
      </c>
      <c r="E5" s="100" t="s">
        <v>174</v>
      </c>
      <c r="F5" s="100" t="s">
        <v>93</v>
      </c>
      <c r="G5" s="100" t="s">
        <v>175</v>
      </c>
      <c r="H5" s="100" t="s">
        <v>176</v>
      </c>
      <c r="I5" s="100" t="s">
        <v>177</v>
      </c>
      <c r="J5" s="100" t="s">
        <v>178</v>
      </c>
      <c r="K5" s="100" t="s">
        <v>94</v>
      </c>
    </row>
    <row r="6" spans="1:11">
      <c r="A6" s="99">
        <v>1976</v>
      </c>
      <c r="B6" s="78">
        <v>2.6</v>
      </c>
      <c r="C6" s="78">
        <v>4.8</v>
      </c>
      <c r="D6" s="78">
        <v>6.1</v>
      </c>
      <c r="E6" s="78">
        <v>7.6</v>
      </c>
      <c r="F6" s="78">
        <v>8.9</v>
      </c>
      <c r="G6" s="78">
        <v>10</v>
      </c>
      <c r="H6" s="78">
        <v>11.2</v>
      </c>
      <c r="I6" s="78">
        <v>12.8</v>
      </c>
      <c r="J6" s="78">
        <v>15.1</v>
      </c>
      <c r="K6" s="78">
        <v>20.8</v>
      </c>
    </row>
    <row r="7" spans="1:11">
      <c r="A7" s="99">
        <v>1977</v>
      </c>
      <c r="B7" s="78">
        <v>2.6</v>
      </c>
      <c r="C7" s="78">
        <v>4.5999999999999996</v>
      </c>
      <c r="D7" s="78">
        <v>6.1</v>
      </c>
      <c r="E7" s="78">
        <v>7.4</v>
      </c>
      <c r="F7" s="78">
        <v>8.5</v>
      </c>
      <c r="G7" s="78">
        <v>9.6999999999999993</v>
      </c>
      <c r="H7" s="78">
        <v>11.1</v>
      </c>
      <c r="I7" s="78">
        <v>12.9</v>
      </c>
      <c r="J7" s="78">
        <v>15.3</v>
      </c>
      <c r="K7" s="78">
        <v>21.7</v>
      </c>
    </row>
    <row r="8" spans="1:11">
      <c r="A8" s="99">
        <v>1978</v>
      </c>
      <c r="B8" s="78">
        <v>2.5</v>
      </c>
      <c r="C8" s="78">
        <v>4.5</v>
      </c>
      <c r="D8" s="78">
        <v>6.2</v>
      </c>
      <c r="E8" s="78">
        <v>7.8</v>
      </c>
      <c r="F8" s="78">
        <v>9.1999999999999993</v>
      </c>
      <c r="G8" s="78">
        <v>10.3</v>
      </c>
      <c r="H8" s="78">
        <v>11.6</v>
      </c>
      <c r="I8" s="78">
        <v>13.1</v>
      </c>
      <c r="J8" s="78">
        <v>15</v>
      </c>
      <c r="K8" s="78">
        <v>19.8</v>
      </c>
    </row>
    <row r="9" spans="1:11">
      <c r="A9" s="99">
        <v>1979</v>
      </c>
      <c r="B9" s="78">
        <v>2.8</v>
      </c>
      <c r="C9" s="78">
        <v>4.7</v>
      </c>
      <c r="D9" s="78">
        <v>6.2</v>
      </c>
      <c r="E9" s="78">
        <v>7.6</v>
      </c>
      <c r="F9" s="78">
        <v>8.8000000000000007</v>
      </c>
      <c r="G9" s="78">
        <v>9.9</v>
      </c>
      <c r="H9" s="78">
        <v>11</v>
      </c>
      <c r="I9" s="78">
        <v>12.7</v>
      </c>
      <c r="J9" s="78">
        <v>15</v>
      </c>
      <c r="K9" s="78">
        <v>21.3</v>
      </c>
    </row>
    <row r="10" spans="1:11">
      <c r="A10" s="99">
        <v>1980</v>
      </c>
      <c r="B10" s="78">
        <v>3</v>
      </c>
      <c r="C10" s="78">
        <v>5</v>
      </c>
      <c r="D10" s="78">
        <v>6.3</v>
      </c>
      <c r="E10" s="78">
        <v>7.6</v>
      </c>
      <c r="F10" s="78">
        <v>8.6999999999999993</v>
      </c>
      <c r="G10" s="78">
        <v>9.8000000000000007</v>
      </c>
      <c r="H10" s="78">
        <v>11.1</v>
      </c>
      <c r="I10" s="78">
        <v>12.8</v>
      </c>
      <c r="J10" s="78">
        <v>14.9</v>
      </c>
      <c r="K10" s="78">
        <v>20.8</v>
      </c>
    </row>
    <row r="11" spans="1:11">
      <c r="A11" s="99">
        <v>1981</v>
      </c>
      <c r="B11" s="78">
        <v>2.7</v>
      </c>
      <c r="C11" s="78">
        <v>4.5</v>
      </c>
      <c r="D11" s="78">
        <v>5.8</v>
      </c>
      <c r="E11" s="78">
        <v>7.3</v>
      </c>
      <c r="F11" s="78">
        <v>8.5</v>
      </c>
      <c r="G11" s="78">
        <v>9.8000000000000007</v>
      </c>
      <c r="H11" s="78">
        <v>11</v>
      </c>
      <c r="I11" s="78">
        <v>12.6</v>
      </c>
      <c r="J11" s="78">
        <v>15</v>
      </c>
      <c r="K11" s="78">
        <v>22.8</v>
      </c>
    </row>
    <row r="12" spans="1:11">
      <c r="A12" s="99">
        <v>1982</v>
      </c>
      <c r="B12" s="78">
        <v>2.8</v>
      </c>
      <c r="C12" s="78">
        <v>4.5999999999999996</v>
      </c>
      <c r="D12" s="78">
        <v>5.8</v>
      </c>
      <c r="E12" s="78">
        <v>7.1</v>
      </c>
      <c r="F12" s="78">
        <v>8.4</v>
      </c>
      <c r="G12" s="78">
        <v>9.6999999999999993</v>
      </c>
      <c r="H12" s="78">
        <v>11.3</v>
      </c>
      <c r="I12" s="78">
        <v>13.1</v>
      </c>
      <c r="J12" s="78">
        <v>15.5</v>
      </c>
      <c r="K12" s="78">
        <v>21.7</v>
      </c>
    </row>
    <row r="13" spans="1:11">
      <c r="A13" s="99">
        <v>1983</v>
      </c>
      <c r="B13" s="78">
        <v>2.7</v>
      </c>
      <c r="C13" s="78">
        <v>4.4000000000000004</v>
      </c>
      <c r="D13" s="78">
        <v>5.6</v>
      </c>
      <c r="E13" s="78">
        <v>6.9</v>
      </c>
      <c r="F13" s="78">
        <v>8.4</v>
      </c>
      <c r="G13" s="78">
        <v>9.6999999999999993</v>
      </c>
      <c r="H13" s="78">
        <v>10.9</v>
      </c>
      <c r="I13" s="78">
        <v>12.8</v>
      </c>
      <c r="J13" s="78">
        <v>15.2</v>
      </c>
      <c r="K13" s="78">
        <v>23.3</v>
      </c>
    </row>
    <row r="14" spans="1:11">
      <c r="A14" s="99">
        <v>1984</v>
      </c>
      <c r="B14" s="78">
        <v>2.7</v>
      </c>
      <c r="C14" s="78">
        <v>4.5</v>
      </c>
      <c r="D14" s="78">
        <v>5.9</v>
      </c>
      <c r="E14" s="78">
        <v>7.2</v>
      </c>
      <c r="F14" s="78">
        <v>8.6</v>
      </c>
      <c r="G14" s="78">
        <v>10</v>
      </c>
      <c r="H14" s="78">
        <v>11.3</v>
      </c>
      <c r="I14" s="78">
        <v>12.9</v>
      </c>
      <c r="J14" s="78">
        <v>15.2</v>
      </c>
      <c r="K14" s="78">
        <v>21.7</v>
      </c>
    </row>
    <row r="15" spans="1:11">
      <c r="A15" s="99">
        <v>1985</v>
      </c>
      <c r="B15" s="78">
        <v>2.9</v>
      </c>
      <c r="C15" s="78">
        <v>4.8</v>
      </c>
      <c r="D15" s="78">
        <v>6.1</v>
      </c>
      <c r="E15" s="78">
        <v>7.3</v>
      </c>
      <c r="F15" s="78">
        <v>8.5</v>
      </c>
      <c r="G15" s="78">
        <v>9.6999999999999993</v>
      </c>
      <c r="H15" s="78">
        <v>11.1</v>
      </c>
      <c r="I15" s="78">
        <v>12.8</v>
      </c>
      <c r="J15" s="78">
        <v>15.3</v>
      </c>
      <c r="K15" s="78">
        <v>21.4</v>
      </c>
    </row>
    <row r="16" spans="1:11">
      <c r="A16" s="99">
        <v>1986</v>
      </c>
      <c r="B16" s="78">
        <v>2.9</v>
      </c>
      <c r="C16" s="78">
        <v>5</v>
      </c>
      <c r="D16" s="78">
        <v>6.4</v>
      </c>
      <c r="E16" s="78">
        <v>7.7</v>
      </c>
      <c r="F16" s="78">
        <v>8.6999999999999993</v>
      </c>
      <c r="G16" s="78">
        <v>9.9</v>
      </c>
      <c r="H16" s="78">
        <v>11.1</v>
      </c>
      <c r="I16" s="78">
        <v>12.6</v>
      </c>
      <c r="J16" s="78">
        <v>14.8</v>
      </c>
      <c r="K16" s="78">
        <v>20.9</v>
      </c>
    </row>
    <row r="17" spans="1:11">
      <c r="A17" s="99">
        <v>1987</v>
      </c>
      <c r="B17" s="78">
        <v>3</v>
      </c>
      <c r="C17" s="78">
        <v>4.8</v>
      </c>
      <c r="D17" s="78">
        <v>6.1</v>
      </c>
      <c r="E17" s="78">
        <v>7.3</v>
      </c>
      <c r="F17" s="78">
        <v>8.6</v>
      </c>
      <c r="G17" s="78">
        <v>9.9</v>
      </c>
      <c r="H17" s="78">
        <v>11.4</v>
      </c>
      <c r="I17" s="78">
        <v>13.1</v>
      </c>
      <c r="J17" s="78">
        <v>15.2</v>
      </c>
      <c r="K17" s="78">
        <v>20.8</v>
      </c>
    </row>
    <row r="18" spans="1:11">
      <c r="A18" s="99">
        <v>1988</v>
      </c>
      <c r="B18" s="78">
        <v>3.1</v>
      </c>
      <c r="C18" s="78">
        <v>5</v>
      </c>
      <c r="D18" s="78">
        <v>6.3</v>
      </c>
      <c r="E18" s="78">
        <v>7.5</v>
      </c>
      <c r="F18" s="78">
        <v>8.6</v>
      </c>
      <c r="G18" s="78">
        <v>9.8000000000000007</v>
      </c>
      <c r="H18" s="78">
        <v>11.2</v>
      </c>
      <c r="I18" s="78">
        <v>12.8</v>
      </c>
      <c r="J18" s="78">
        <v>15.1</v>
      </c>
      <c r="K18" s="78">
        <v>20.7</v>
      </c>
    </row>
    <row r="19" spans="1:11">
      <c r="A19" s="99">
        <v>1989</v>
      </c>
      <c r="B19" s="78">
        <v>3.1</v>
      </c>
      <c r="C19" s="78">
        <v>5</v>
      </c>
      <c r="D19" s="78">
        <v>6.3</v>
      </c>
      <c r="E19" s="78">
        <v>7.4</v>
      </c>
      <c r="F19" s="78">
        <v>8.6</v>
      </c>
      <c r="G19" s="78">
        <v>9.8000000000000007</v>
      </c>
      <c r="H19" s="78">
        <v>11</v>
      </c>
      <c r="I19" s="78">
        <v>12.6</v>
      </c>
      <c r="J19" s="78">
        <v>15.1</v>
      </c>
      <c r="K19" s="78">
        <v>21.2</v>
      </c>
    </row>
    <row r="20" spans="1:11">
      <c r="A20" s="99">
        <v>1990</v>
      </c>
      <c r="B20" s="78">
        <v>3.2</v>
      </c>
      <c r="C20" s="78">
        <v>5</v>
      </c>
      <c r="D20" s="78">
        <v>6.1</v>
      </c>
      <c r="E20" s="78">
        <v>7.4</v>
      </c>
      <c r="F20" s="78">
        <v>8.6999999999999993</v>
      </c>
      <c r="G20" s="78">
        <v>9.9</v>
      </c>
      <c r="H20" s="78">
        <v>11.2</v>
      </c>
      <c r="I20" s="78">
        <v>12.8</v>
      </c>
      <c r="J20" s="78">
        <v>14.8</v>
      </c>
      <c r="K20" s="78">
        <v>21</v>
      </c>
    </row>
    <row r="21" spans="1:11">
      <c r="A21" s="99">
        <v>1991</v>
      </c>
      <c r="B21" s="78">
        <v>3</v>
      </c>
      <c r="C21" s="78">
        <v>4.9000000000000004</v>
      </c>
      <c r="D21" s="78">
        <v>6</v>
      </c>
      <c r="E21" s="78">
        <v>7.2</v>
      </c>
      <c r="F21" s="78">
        <v>8.4</v>
      </c>
      <c r="G21" s="78">
        <v>9.6999999999999993</v>
      </c>
      <c r="H21" s="78">
        <v>11.2</v>
      </c>
      <c r="I21" s="78">
        <v>13.1</v>
      </c>
      <c r="J21" s="78">
        <v>15.4</v>
      </c>
      <c r="K21" s="78">
        <v>21.2</v>
      </c>
    </row>
    <row r="22" spans="1:11">
      <c r="A22" s="99">
        <v>1992</v>
      </c>
      <c r="B22" s="78">
        <v>3</v>
      </c>
      <c r="C22" s="78">
        <v>4.8</v>
      </c>
      <c r="D22" s="78">
        <v>6</v>
      </c>
      <c r="E22" s="78">
        <v>7.4</v>
      </c>
      <c r="F22" s="78">
        <v>8.4</v>
      </c>
      <c r="G22" s="78">
        <v>9.6999999999999993</v>
      </c>
      <c r="H22" s="78">
        <v>11.2</v>
      </c>
      <c r="I22" s="78">
        <v>12.9</v>
      </c>
      <c r="J22" s="78">
        <v>15.2</v>
      </c>
      <c r="K22" s="78">
        <v>21.4</v>
      </c>
    </row>
    <row r="23" spans="1:11">
      <c r="A23" s="99">
        <v>1993</v>
      </c>
      <c r="B23" s="78">
        <v>2.9</v>
      </c>
      <c r="C23" s="78">
        <v>5</v>
      </c>
      <c r="D23" s="78">
        <v>6.2</v>
      </c>
      <c r="E23" s="78">
        <v>7.4</v>
      </c>
      <c r="F23" s="78">
        <v>8.6999999999999993</v>
      </c>
      <c r="G23" s="78">
        <v>9.8000000000000007</v>
      </c>
      <c r="H23" s="78">
        <v>11.2</v>
      </c>
      <c r="I23" s="78">
        <v>12.8</v>
      </c>
      <c r="J23" s="78">
        <v>15.1</v>
      </c>
      <c r="K23" s="78">
        <v>20.8</v>
      </c>
    </row>
    <row r="24" spans="1:11">
      <c r="A24" s="99">
        <v>1994</v>
      </c>
      <c r="B24" s="78">
        <v>2.8</v>
      </c>
      <c r="C24" s="78">
        <v>5</v>
      </c>
      <c r="D24" s="78">
        <v>6.3</v>
      </c>
      <c r="E24" s="78">
        <v>7.5</v>
      </c>
      <c r="F24" s="78">
        <v>8.6</v>
      </c>
      <c r="G24" s="78">
        <v>9.8000000000000007</v>
      </c>
      <c r="H24" s="78">
        <v>11.2</v>
      </c>
      <c r="I24" s="78">
        <v>12.8</v>
      </c>
      <c r="J24" s="78">
        <v>15.2</v>
      </c>
      <c r="K24" s="78">
        <v>20.8</v>
      </c>
    </row>
    <row r="25" spans="1:11">
      <c r="A25" s="99">
        <v>1995</v>
      </c>
      <c r="B25" s="78">
        <v>3</v>
      </c>
      <c r="C25" s="78">
        <v>4.8</v>
      </c>
      <c r="D25" s="78">
        <v>6.1</v>
      </c>
      <c r="E25" s="78">
        <v>7.3</v>
      </c>
      <c r="F25" s="78">
        <v>8.5</v>
      </c>
      <c r="G25" s="78">
        <v>9.6999999999999993</v>
      </c>
      <c r="H25" s="78">
        <v>11.3</v>
      </c>
      <c r="I25" s="78">
        <v>13</v>
      </c>
      <c r="J25" s="78">
        <v>15.2</v>
      </c>
      <c r="K25" s="78">
        <v>21.3</v>
      </c>
    </row>
    <row r="26" spans="1:11">
      <c r="A26" s="99">
        <v>1996</v>
      </c>
      <c r="B26" s="78">
        <v>2.9</v>
      </c>
      <c r="C26" s="78">
        <v>4.9000000000000004</v>
      </c>
      <c r="D26" s="78">
        <v>6.1</v>
      </c>
      <c r="E26" s="78">
        <v>7.2</v>
      </c>
      <c r="F26" s="78">
        <v>8.4</v>
      </c>
      <c r="G26" s="78">
        <v>9.8000000000000007</v>
      </c>
      <c r="H26" s="78">
        <v>11.1</v>
      </c>
      <c r="I26" s="78">
        <v>12.7</v>
      </c>
      <c r="J26" s="78">
        <v>15.2</v>
      </c>
      <c r="K26" s="78">
        <v>21.7</v>
      </c>
    </row>
    <row r="27" spans="1:11">
      <c r="A27" s="99">
        <v>1997</v>
      </c>
      <c r="B27" s="78">
        <v>2.8</v>
      </c>
      <c r="C27" s="78">
        <v>4.8</v>
      </c>
      <c r="D27" s="78">
        <v>6.1</v>
      </c>
      <c r="E27" s="78">
        <v>7.3</v>
      </c>
      <c r="F27" s="78">
        <v>8.5</v>
      </c>
      <c r="G27" s="78">
        <v>9.8000000000000007</v>
      </c>
      <c r="H27" s="78">
        <v>11.2</v>
      </c>
      <c r="I27" s="78">
        <v>12.7</v>
      </c>
      <c r="J27" s="78">
        <v>15.1</v>
      </c>
      <c r="K27" s="78">
        <v>21.6</v>
      </c>
    </row>
    <row r="28" spans="1:11">
      <c r="A28" s="99">
        <v>1998</v>
      </c>
      <c r="B28" s="78">
        <v>2.7</v>
      </c>
      <c r="C28" s="78">
        <v>4.7</v>
      </c>
      <c r="D28" s="78">
        <v>5.9</v>
      </c>
      <c r="E28" s="78">
        <v>7.1</v>
      </c>
      <c r="F28" s="78">
        <v>8.4</v>
      </c>
      <c r="G28" s="78">
        <v>9.6999999999999993</v>
      </c>
      <c r="H28" s="78">
        <v>11.1</v>
      </c>
      <c r="I28" s="78">
        <v>12.7</v>
      </c>
      <c r="J28" s="78">
        <v>14.9</v>
      </c>
      <c r="K28" s="78">
        <v>22.7</v>
      </c>
    </row>
    <row r="29" spans="1:11">
      <c r="A29" s="99">
        <v>1999</v>
      </c>
      <c r="B29" s="78">
        <v>2.9</v>
      </c>
      <c r="C29" s="78">
        <v>4.8</v>
      </c>
      <c r="D29" s="78">
        <v>6</v>
      </c>
      <c r="E29" s="78">
        <v>7.3</v>
      </c>
      <c r="F29" s="78">
        <v>8.6</v>
      </c>
      <c r="G29" s="78">
        <v>9.6999999999999993</v>
      </c>
      <c r="H29" s="78">
        <v>11.2</v>
      </c>
      <c r="I29" s="78">
        <v>12.9</v>
      </c>
      <c r="J29" s="78">
        <v>15.1</v>
      </c>
      <c r="K29" s="78">
        <v>21.6</v>
      </c>
    </row>
    <row r="30" spans="1:11">
      <c r="A30" s="99">
        <v>2000</v>
      </c>
      <c r="B30" s="78">
        <v>2.9</v>
      </c>
      <c r="C30" s="78">
        <v>4.8</v>
      </c>
      <c r="D30" s="78">
        <v>6</v>
      </c>
      <c r="E30" s="78">
        <v>7.2</v>
      </c>
      <c r="F30" s="78">
        <v>8.1999999999999993</v>
      </c>
      <c r="G30" s="78">
        <v>9.5</v>
      </c>
      <c r="H30" s="78">
        <v>10.9</v>
      </c>
      <c r="I30" s="78">
        <v>12.7</v>
      </c>
      <c r="J30" s="78">
        <v>15.2</v>
      </c>
      <c r="K30" s="78">
        <v>22.6</v>
      </c>
    </row>
    <row r="31" spans="1:11">
      <c r="A31" s="99">
        <v>2001</v>
      </c>
      <c r="B31" s="78">
        <v>2.8</v>
      </c>
      <c r="C31" s="78">
        <v>4.8</v>
      </c>
      <c r="D31" s="78">
        <v>6</v>
      </c>
      <c r="E31" s="78">
        <v>7.2</v>
      </c>
      <c r="F31" s="78">
        <v>8.4</v>
      </c>
      <c r="G31" s="78">
        <v>9.5</v>
      </c>
      <c r="H31" s="78">
        <v>10.8</v>
      </c>
      <c r="I31" s="78">
        <v>12.6</v>
      </c>
      <c r="J31" s="78">
        <v>15.3</v>
      </c>
      <c r="K31" s="78">
        <v>22.6</v>
      </c>
    </row>
    <row r="32" spans="1:11">
      <c r="A32" s="99">
        <v>2002</v>
      </c>
      <c r="B32" s="78">
        <v>2.8</v>
      </c>
      <c r="C32" s="78">
        <v>4.8</v>
      </c>
      <c r="D32" s="78">
        <v>5.9</v>
      </c>
      <c r="E32" s="78">
        <v>7.2</v>
      </c>
      <c r="F32" s="78">
        <v>8.4</v>
      </c>
      <c r="G32" s="78">
        <v>9.6</v>
      </c>
      <c r="H32" s="78">
        <v>11.1</v>
      </c>
      <c r="I32" s="78">
        <v>12.6</v>
      </c>
      <c r="J32" s="78">
        <v>15.1</v>
      </c>
      <c r="K32" s="78">
        <v>22.6</v>
      </c>
    </row>
    <row r="33" spans="1:11">
      <c r="A33" s="99">
        <v>2003</v>
      </c>
      <c r="B33" s="78">
        <v>2.7</v>
      </c>
      <c r="C33" s="78">
        <v>4.8</v>
      </c>
      <c r="D33" s="78">
        <v>6</v>
      </c>
      <c r="E33" s="78">
        <v>7.1</v>
      </c>
      <c r="F33" s="78">
        <v>8.1999999999999993</v>
      </c>
      <c r="G33" s="78">
        <v>9.5</v>
      </c>
      <c r="H33" s="78">
        <v>10.9</v>
      </c>
      <c r="I33" s="78">
        <v>12.6</v>
      </c>
      <c r="J33" s="78">
        <v>14.9</v>
      </c>
      <c r="K33" s="78">
        <v>23.3</v>
      </c>
    </row>
    <row r="34" spans="1:11">
      <c r="A34" s="99">
        <v>2004</v>
      </c>
      <c r="B34" s="78">
        <v>2.7</v>
      </c>
      <c r="C34" s="78">
        <v>4.8</v>
      </c>
      <c r="D34" s="78">
        <v>6</v>
      </c>
      <c r="E34" s="78">
        <v>7.1</v>
      </c>
      <c r="F34" s="78">
        <v>8.3000000000000007</v>
      </c>
      <c r="G34" s="78">
        <v>9.4</v>
      </c>
      <c r="H34" s="78">
        <v>10.9</v>
      </c>
      <c r="I34" s="78">
        <v>12.6</v>
      </c>
      <c r="J34" s="78">
        <v>14.9</v>
      </c>
      <c r="K34" s="78">
        <v>23.3</v>
      </c>
    </row>
    <row r="35" spans="1:11">
      <c r="A35" s="99">
        <v>2005</v>
      </c>
      <c r="B35" s="78">
        <v>2.8</v>
      </c>
      <c r="C35" s="78">
        <v>4.9000000000000004</v>
      </c>
      <c r="D35" s="78">
        <v>6</v>
      </c>
      <c r="E35" s="78">
        <v>7.2</v>
      </c>
      <c r="F35" s="78">
        <v>8.1999999999999993</v>
      </c>
      <c r="G35" s="78">
        <v>9.3000000000000007</v>
      </c>
      <c r="H35" s="78">
        <v>10.8</v>
      </c>
      <c r="I35" s="78">
        <v>12.7</v>
      </c>
      <c r="J35" s="78">
        <v>15.3</v>
      </c>
      <c r="K35" s="78">
        <v>22.9</v>
      </c>
    </row>
    <row r="36" spans="1:11">
      <c r="A36" s="99">
        <v>2006</v>
      </c>
      <c r="B36" s="78">
        <v>3.2</v>
      </c>
      <c r="C36" s="78">
        <v>4.9000000000000004</v>
      </c>
      <c r="D36" s="78">
        <v>6.1</v>
      </c>
      <c r="E36" s="78">
        <v>7.1</v>
      </c>
      <c r="F36" s="78">
        <v>8.3000000000000007</v>
      </c>
      <c r="G36" s="78">
        <v>9.4</v>
      </c>
      <c r="H36" s="78">
        <v>10.7</v>
      </c>
      <c r="I36" s="78">
        <v>12.5</v>
      </c>
      <c r="J36" s="78">
        <v>15.1</v>
      </c>
      <c r="K36" s="78">
        <v>22.8</v>
      </c>
    </row>
    <row r="37" spans="1:11">
      <c r="A37" s="99">
        <v>2007</v>
      </c>
      <c r="B37" s="78">
        <v>3</v>
      </c>
      <c r="C37" s="78">
        <v>4.9000000000000004</v>
      </c>
      <c r="D37" s="78">
        <v>6</v>
      </c>
      <c r="E37" s="78">
        <v>7.2</v>
      </c>
      <c r="F37" s="78">
        <v>8.3000000000000007</v>
      </c>
      <c r="G37" s="78">
        <v>9.5</v>
      </c>
      <c r="H37" s="78">
        <v>10.9</v>
      </c>
      <c r="I37" s="78">
        <v>12.5</v>
      </c>
      <c r="J37" s="78">
        <v>15.2</v>
      </c>
      <c r="K37" s="78">
        <v>22.5</v>
      </c>
    </row>
    <row r="38" spans="1:11">
      <c r="A38" s="99">
        <v>2008</v>
      </c>
      <c r="B38" s="78">
        <v>3.2</v>
      </c>
      <c r="C38" s="78">
        <v>4.9000000000000004</v>
      </c>
      <c r="D38" s="78">
        <v>6</v>
      </c>
      <c r="E38" s="78">
        <v>7.2</v>
      </c>
      <c r="F38" s="78">
        <v>8.4</v>
      </c>
      <c r="G38" s="78">
        <v>9.6</v>
      </c>
      <c r="H38" s="78">
        <v>10.9</v>
      </c>
      <c r="I38" s="78">
        <v>12.8</v>
      </c>
      <c r="J38" s="78">
        <v>15.2</v>
      </c>
      <c r="K38" s="78">
        <v>21.8</v>
      </c>
    </row>
    <row r="39" spans="1:11">
      <c r="A39" s="99">
        <v>2009</v>
      </c>
      <c r="B39" s="78">
        <v>3</v>
      </c>
      <c r="C39" s="78">
        <v>4.9000000000000004</v>
      </c>
      <c r="D39" s="78">
        <v>5.9</v>
      </c>
      <c r="E39" s="78">
        <v>7</v>
      </c>
      <c r="F39" s="78">
        <v>8.1999999999999993</v>
      </c>
      <c r="G39" s="78">
        <v>9.5</v>
      </c>
      <c r="H39" s="78">
        <v>10.9</v>
      </c>
      <c r="I39" s="78">
        <v>12.8</v>
      </c>
      <c r="J39" s="78">
        <v>15.5</v>
      </c>
      <c r="K39" s="78">
        <v>22.2</v>
      </c>
    </row>
    <row r="40" spans="1:11">
      <c r="A40" s="99">
        <v>2010</v>
      </c>
      <c r="B40" s="78">
        <v>3</v>
      </c>
      <c r="C40" s="78">
        <v>4.8</v>
      </c>
      <c r="D40" s="78">
        <v>6</v>
      </c>
      <c r="E40" s="78">
        <v>7.2</v>
      </c>
      <c r="F40" s="78">
        <v>8.5</v>
      </c>
      <c r="G40" s="78">
        <v>9.6999999999999993</v>
      </c>
      <c r="H40" s="78">
        <v>11</v>
      </c>
      <c r="I40" s="78">
        <v>12.8</v>
      </c>
      <c r="J40" s="78">
        <v>15.1</v>
      </c>
      <c r="K40" s="78">
        <v>21.9</v>
      </c>
    </row>
    <row r="41" spans="1:11">
      <c r="A41" s="99">
        <v>2011</v>
      </c>
      <c r="B41" s="78">
        <v>2.9</v>
      </c>
      <c r="C41" s="78">
        <v>4.8</v>
      </c>
      <c r="D41" s="78">
        <v>5.9</v>
      </c>
      <c r="E41" s="78">
        <v>7.1</v>
      </c>
      <c r="F41" s="78">
        <v>8.1999999999999993</v>
      </c>
      <c r="G41" s="78">
        <v>9.4</v>
      </c>
      <c r="H41" s="78">
        <v>10.9</v>
      </c>
      <c r="I41" s="78">
        <v>12.9</v>
      </c>
      <c r="J41" s="78">
        <v>15.3</v>
      </c>
      <c r="K41" s="78">
        <v>22.6</v>
      </c>
    </row>
    <row r="42" spans="1:11">
      <c r="A42" s="99">
        <v>2012</v>
      </c>
      <c r="B42" s="78">
        <v>3</v>
      </c>
      <c r="C42" s="78">
        <v>4.8</v>
      </c>
      <c r="D42" s="78">
        <v>6</v>
      </c>
      <c r="E42" s="78">
        <v>7</v>
      </c>
      <c r="F42" s="78">
        <v>8.1</v>
      </c>
      <c r="G42" s="78">
        <v>9.4</v>
      </c>
      <c r="H42" s="78">
        <v>10.9</v>
      </c>
      <c r="I42" s="78">
        <v>13</v>
      </c>
      <c r="J42" s="78">
        <v>15.7</v>
      </c>
      <c r="K42" s="78">
        <v>22.1</v>
      </c>
    </row>
    <row r="43" spans="1:11">
      <c r="A43" s="99">
        <v>2013</v>
      </c>
      <c r="B43" s="78">
        <v>2.9</v>
      </c>
      <c r="C43" s="78">
        <v>4.8</v>
      </c>
      <c r="D43" s="78">
        <v>6</v>
      </c>
      <c r="E43" s="78">
        <v>7</v>
      </c>
      <c r="F43" s="78">
        <v>8.1999999999999993</v>
      </c>
      <c r="G43" s="78">
        <v>9.5</v>
      </c>
      <c r="H43" s="78">
        <v>11.1</v>
      </c>
      <c r="I43" s="78">
        <v>12.7</v>
      </c>
      <c r="J43" s="78">
        <v>15.4</v>
      </c>
      <c r="K43" s="78">
        <v>22.3</v>
      </c>
    </row>
    <row r="44" spans="1:11">
      <c r="A44" s="99">
        <v>2014</v>
      </c>
      <c r="B44" s="78">
        <v>3</v>
      </c>
      <c r="C44" s="78">
        <v>5</v>
      </c>
      <c r="D44" s="78">
        <v>6.1</v>
      </c>
      <c r="E44" s="78">
        <v>7.3</v>
      </c>
      <c r="F44" s="78">
        <v>8.6</v>
      </c>
      <c r="G44" s="78">
        <v>9.8000000000000007</v>
      </c>
      <c r="H44" s="78">
        <v>11.1</v>
      </c>
      <c r="I44" s="78">
        <v>12.7</v>
      </c>
      <c r="J44" s="78">
        <v>15.1</v>
      </c>
      <c r="K44" s="78">
        <v>21.2</v>
      </c>
    </row>
    <row r="45" spans="1:11">
      <c r="A45" s="99">
        <v>2015</v>
      </c>
      <c r="B45" s="78">
        <v>3</v>
      </c>
      <c r="C45" s="78">
        <v>5</v>
      </c>
      <c r="D45" s="78">
        <v>6.4</v>
      </c>
      <c r="E45" s="78">
        <v>7.5</v>
      </c>
      <c r="F45" s="78">
        <v>8.6999999999999993</v>
      </c>
      <c r="G45" s="78">
        <v>9.8000000000000007</v>
      </c>
      <c r="H45" s="78">
        <v>11.1</v>
      </c>
      <c r="I45" s="78">
        <v>12.8</v>
      </c>
      <c r="J45" s="78">
        <v>14.9</v>
      </c>
      <c r="K45" s="78">
        <v>20.9</v>
      </c>
    </row>
    <row r="46" spans="1:11">
      <c r="A46" s="99">
        <v>2016</v>
      </c>
      <c r="B46" s="78">
        <v>3.4</v>
      </c>
      <c r="C46" s="78">
        <v>5</v>
      </c>
      <c r="D46" s="78">
        <v>6.2</v>
      </c>
      <c r="E46" s="78">
        <v>7.3</v>
      </c>
      <c r="F46" s="78">
        <v>8.1999999999999993</v>
      </c>
      <c r="G46" s="78">
        <v>9.4</v>
      </c>
      <c r="H46" s="78">
        <v>11</v>
      </c>
      <c r="I46" s="78">
        <v>12.5</v>
      </c>
      <c r="J46" s="78">
        <v>14.8</v>
      </c>
      <c r="K46" s="78">
        <v>22.2</v>
      </c>
    </row>
    <row r="47" spans="1:11">
      <c r="A47" s="99">
        <v>2017</v>
      </c>
      <c r="B47" s="78">
        <v>3</v>
      </c>
      <c r="C47" s="78">
        <v>4.9000000000000004</v>
      </c>
      <c r="D47" s="78">
        <v>6.1</v>
      </c>
      <c r="E47" s="78">
        <v>7.3</v>
      </c>
      <c r="F47" s="78">
        <v>8.4</v>
      </c>
      <c r="G47" s="78">
        <v>9.5</v>
      </c>
      <c r="H47" s="78">
        <v>10.9</v>
      </c>
      <c r="I47" s="78">
        <v>12.8</v>
      </c>
      <c r="J47" s="78">
        <v>15.4</v>
      </c>
      <c r="K47" s="78">
        <v>21.7</v>
      </c>
    </row>
    <row r="48" spans="1:11">
      <c r="A48" s="99">
        <v>2018</v>
      </c>
      <c r="B48" s="78">
        <v>3.2</v>
      </c>
      <c r="C48" s="78">
        <v>5</v>
      </c>
      <c r="D48" s="78">
        <v>6.2</v>
      </c>
      <c r="E48" s="78">
        <v>7.3</v>
      </c>
      <c r="F48" s="78">
        <v>8.1999999999999993</v>
      </c>
      <c r="G48" s="78">
        <v>9.3000000000000007</v>
      </c>
      <c r="H48" s="78">
        <v>10.7</v>
      </c>
      <c r="I48" s="78">
        <v>12.3</v>
      </c>
      <c r="J48" s="78">
        <v>15</v>
      </c>
      <c r="K48" s="78">
        <v>22.8</v>
      </c>
    </row>
    <row r="49" spans="1:11">
      <c r="A49" s="99">
        <v>2019</v>
      </c>
      <c r="B49" s="78">
        <v>3.1</v>
      </c>
      <c r="C49" s="78">
        <v>5.2</v>
      </c>
      <c r="D49" s="78">
        <v>6.4</v>
      </c>
      <c r="E49" s="78">
        <v>7.5</v>
      </c>
      <c r="F49" s="78">
        <v>8.3000000000000007</v>
      </c>
      <c r="G49" s="78">
        <v>9.3000000000000007</v>
      </c>
      <c r="H49" s="78">
        <v>10.5</v>
      </c>
      <c r="I49" s="78">
        <v>12.5</v>
      </c>
      <c r="J49" s="78">
        <v>15.4</v>
      </c>
      <c r="K49" s="78">
        <v>21.9</v>
      </c>
    </row>
    <row r="51" spans="1:11">
      <c r="A51" s="99" t="s">
        <v>22</v>
      </c>
      <c r="B51" s="78">
        <f>B49-B6</f>
        <v>0.5</v>
      </c>
      <c r="C51" s="78">
        <f t="shared" ref="C51:I51" si="0">C49-C6</f>
        <v>0.40000000000000036</v>
      </c>
      <c r="D51" s="78">
        <f t="shared" si="0"/>
        <v>0.30000000000000071</v>
      </c>
      <c r="E51" s="78">
        <f t="shared" si="0"/>
        <v>-9.9999999999999645E-2</v>
      </c>
      <c r="F51" s="78">
        <f t="shared" si="0"/>
        <v>-0.59999999999999964</v>
      </c>
      <c r="G51" s="78">
        <f t="shared" si="0"/>
        <v>-0.69999999999999929</v>
      </c>
      <c r="H51" s="78">
        <f t="shared" si="0"/>
        <v>-0.69999999999999929</v>
      </c>
      <c r="I51" s="78">
        <f t="shared" si="0"/>
        <v>-0.30000000000000071</v>
      </c>
      <c r="J51" s="78">
        <f t="shared" ref="J51:K51" si="1">J49-J6</f>
        <v>0.30000000000000071</v>
      </c>
      <c r="K51" s="78">
        <f t="shared" si="1"/>
        <v>1.0999999999999979</v>
      </c>
    </row>
    <row r="52" spans="1:11">
      <c r="A52" s="99" t="s">
        <v>23</v>
      </c>
      <c r="B52" s="78">
        <f>B30-B6</f>
        <v>0.29999999999999982</v>
      </c>
      <c r="C52" s="78">
        <f t="shared" ref="C52:I52" si="2">C30-C6</f>
        <v>0</v>
      </c>
      <c r="D52" s="78">
        <f t="shared" si="2"/>
        <v>-9.9999999999999645E-2</v>
      </c>
      <c r="E52" s="78">
        <f t="shared" si="2"/>
        <v>-0.39999999999999947</v>
      </c>
      <c r="F52" s="78">
        <f t="shared" si="2"/>
        <v>-0.70000000000000107</v>
      </c>
      <c r="G52" s="78">
        <f t="shared" si="2"/>
        <v>-0.5</v>
      </c>
      <c r="H52" s="78">
        <f t="shared" si="2"/>
        <v>-0.29999999999999893</v>
      </c>
      <c r="I52" s="78">
        <f t="shared" si="2"/>
        <v>-0.10000000000000142</v>
      </c>
      <c r="J52" s="78">
        <f t="shared" ref="J52:K52" si="3">J30-J6</f>
        <v>9.9999999999999645E-2</v>
      </c>
      <c r="K52" s="78">
        <f t="shared" si="3"/>
        <v>1.8000000000000007</v>
      </c>
    </row>
    <row r="53" spans="1:11">
      <c r="A53" s="99" t="s">
        <v>24</v>
      </c>
      <c r="B53" s="78">
        <f>B49-B30</f>
        <v>0.20000000000000018</v>
      </c>
      <c r="C53" s="78">
        <f t="shared" ref="C53:I53" si="4">C49-C30</f>
        <v>0.40000000000000036</v>
      </c>
      <c r="D53" s="78">
        <f t="shared" si="4"/>
        <v>0.40000000000000036</v>
      </c>
      <c r="E53" s="78">
        <f t="shared" si="4"/>
        <v>0.29999999999999982</v>
      </c>
      <c r="F53" s="78">
        <f t="shared" si="4"/>
        <v>0.10000000000000142</v>
      </c>
      <c r="G53" s="78">
        <f t="shared" si="4"/>
        <v>-0.19999999999999929</v>
      </c>
      <c r="H53" s="78">
        <f t="shared" si="4"/>
        <v>-0.40000000000000036</v>
      </c>
      <c r="I53" s="78">
        <f t="shared" si="4"/>
        <v>-0.19999999999999929</v>
      </c>
      <c r="J53" s="78">
        <f t="shared" ref="J53:K53" si="5">J49-J30</f>
        <v>0.20000000000000107</v>
      </c>
      <c r="K53" s="78">
        <f t="shared" si="5"/>
        <v>-0.70000000000000284</v>
      </c>
    </row>
    <row r="54" spans="1:11">
      <c r="B54" s="271"/>
      <c r="C54" s="271"/>
      <c r="D54" s="271"/>
      <c r="E54" s="271"/>
      <c r="F54" s="271"/>
      <c r="G54" s="271"/>
      <c r="H54" s="271"/>
      <c r="I54" s="271"/>
      <c r="J54" s="271"/>
    </row>
    <row r="55" spans="1:11">
      <c r="B55" s="271"/>
      <c r="C55" s="271"/>
      <c r="D55" s="271"/>
      <c r="E55" s="271"/>
      <c r="F55" s="271"/>
      <c r="G55" s="271"/>
      <c r="H55" s="271"/>
      <c r="I55" s="271"/>
      <c r="J55" s="271"/>
    </row>
    <row r="56" spans="1:11">
      <c r="A56" s="99" t="s">
        <v>180</v>
      </c>
      <c r="B56" s="271"/>
      <c r="C56" s="271"/>
      <c r="D56" s="271"/>
      <c r="E56" s="271"/>
      <c r="F56" s="271"/>
      <c r="G56" s="271"/>
      <c r="H56" s="271"/>
      <c r="I56" s="271"/>
      <c r="J56" s="271"/>
    </row>
    <row r="57" spans="1:11">
      <c r="B57" s="271"/>
      <c r="C57" s="271"/>
      <c r="D57" s="271"/>
      <c r="E57" s="271"/>
      <c r="F57" s="271"/>
      <c r="G57" s="271"/>
      <c r="H57" s="271"/>
      <c r="I57" s="271"/>
      <c r="J57" s="271"/>
    </row>
    <row r="58" spans="1:11" ht="34">
      <c r="B58" s="100" t="s">
        <v>103</v>
      </c>
      <c r="C58" s="100" t="s">
        <v>104</v>
      </c>
      <c r="D58" s="100" t="s">
        <v>105</v>
      </c>
      <c r="E58" s="100" t="s">
        <v>106</v>
      </c>
      <c r="F58" s="100" t="s">
        <v>107</v>
      </c>
      <c r="G58" s="271"/>
      <c r="H58" s="271"/>
      <c r="I58" s="271"/>
      <c r="J58" s="271"/>
    </row>
    <row r="59" spans="1:11">
      <c r="A59" s="99">
        <v>1976</v>
      </c>
      <c r="B59" s="78">
        <f>B6+C6</f>
        <v>7.4</v>
      </c>
      <c r="C59" s="78">
        <f>D6+E6</f>
        <v>13.7</v>
      </c>
      <c r="D59" s="78">
        <f>F6+G6</f>
        <v>18.899999999999999</v>
      </c>
      <c r="E59" s="78">
        <f>H6+I6</f>
        <v>24</v>
      </c>
      <c r="F59" s="78">
        <f>J6+K6</f>
        <v>35.9</v>
      </c>
      <c r="G59" s="271"/>
      <c r="H59" s="271"/>
      <c r="I59" s="271"/>
      <c r="J59" s="271"/>
    </row>
    <row r="60" spans="1:11">
      <c r="A60" s="99">
        <v>1977</v>
      </c>
      <c r="B60" s="78">
        <f t="shared" ref="B60:B102" si="6">B7+C7</f>
        <v>7.1999999999999993</v>
      </c>
      <c r="C60" s="78">
        <f t="shared" ref="C60:C102" si="7">D7+E7</f>
        <v>13.5</v>
      </c>
      <c r="D60" s="78">
        <f t="shared" ref="D60:D102" si="8">F7+G7</f>
        <v>18.2</v>
      </c>
      <c r="E60" s="78">
        <f t="shared" ref="E60:E102" si="9">H7+I7</f>
        <v>24</v>
      </c>
      <c r="F60" s="78">
        <f t="shared" ref="F60:F102" si="10">J7+K7</f>
        <v>37</v>
      </c>
      <c r="G60" s="271"/>
      <c r="H60" s="78"/>
      <c r="I60" s="78"/>
      <c r="J60" s="78"/>
      <c r="K60" s="278"/>
    </row>
    <row r="61" spans="1:11">
      <c r="A61" s="99">
        <v>1978</v>
      </c>
      <c r="B61" s="78">
        <f t="shared" si="6"/>
        <v>7</v>
      </c>
      <c r="C61" s="78">
        <f t="shared" si="7"/>
        <v>14</v>
      </c>
      <c r="D61" s="78">
        <f t="shared" si="8"/>
        <v>19.5</v>
      </c>
      <c r="E61" s="78">
        <f t="shared" si="9"/>
        <v>24.7</v>
      </c>
      <c r="F61" s="78">
        <f t="shared" si="10"/>
        <v>34.799999999999997</v>
      </c>
      <c r="G61" s="271"/>
      <c r="H61" s="78"/>
      <c r="I61" s="78"/>
      <c r="J61" s="78"/>
      <c r="K61" s="278"/>
    </row>
    <row r="62" spans="1:11">
      <c r="A62" s="99">
        <v>1979</v>
      </c>
      <c r="B62" s="78">
        <f t="shared" si="6"/>
        <v>7.5</v>
      </c>
      <c r="C62" s="78">
        <f t="shared" si="7"/>
        <v>13.8</v>
      </c>
      <c r="D62" s="78">
        <f t="shared" si="8"/>
        <v>18.700000000000003</v>
      </c>
      <c r="E62" s="78">
        <f t="shared" si="9"/>
        <v>23.7</v>
      </c>
      <c r="F62" s="78">
        <f t="shared" si="10"/>
        <v>36.299999999999997</v>
      </c>
      <c r="G62" s="271"/>
      <c r="H62" s="78"/>
      <c r="I62" s="78"/>
      <c r="J62" s="78"/>
      <c r="K62" s="278"/>
    </row>
    <row r="63" spans="1:11">
      <c r="A63" s="99">
        <v>1980</v>
      </c>
      <c r="B63" s="78">
        <f t="shared" si="6"/>
        <v>8</v>
      </c>
      <c r="C63" s="78">
        <f t="shared" si="7"/>
        <v>13.899999999999999</v>
      </c>
      <c r="D63" s="78">
        <f t="shared" si="8"/>
        <v>18.5</v>
      </c>
      <c r="E63" s="78">
        <f t="shared" si="9"/>
        <v>23.9</v>
      </c>
      <c r="F63" s="78">
        <f t="shared" si="10"/>
        <v>35.700000000000003</v>
      </c>
      <c r="G63" s="271"/>
      <c r="H63" s="78"/>
      <c r="I63" s="78"/>
      <c r="J63" s="78"/>
      <c r="K63" s="278"/>
    </row>
    <row r="64" spans="1:11">
      <c r="A64" s="99">
        <v>1981</v>
      </c>
      <c r="B64" s="78">
        <f t="shared" si="6"/>
        <v>7.2</v>
      </c>
      <c r="C64" s="78">
        <f t="shared" si="7"/>
        <v>13.1</v>
      </c>
      <c r="D64" s="78">
        <f t="shared" si="8"/>
        <v>18.3</v>
      </c>
      <c r="E64" s="78">
        <f t="shared" si="9"/>
        <v>23.6</v>
      </c>
      <c r="F64" s="78">
        <f t="shared" si="10"/>
        <v>37.799999999999997</v>
      </c>
      <c r="G64" s="271"/>
      <c r="H64" s="78"/>
      <c r="I64" s="78"/>
      <c r="J64" s="78"/>
      <c r="K64" s="278"/>
    </row>
    <row r="65" spans="1:11">
      <c r="A65" s="99">
        <v>1982</v>
      </c>
      <c r="B65" s="78">
        <f t="shared" si="6"/>
        <v>7.3999999999999995</v>
      </c>
      <c r="C65" s="78">
        <f t="shared" si="7"/>
        <v>12.899999999999999</v>
      </c>
      <c r="D65" s="78">
        <f t="shared" si="8"/>
        <v>18.100000000000001</v>
      </c>
      <c r="E65" s="78">
        <f t="shared" si="9"/>
        <v>24.4</v>
      </c>
      <c r="F65" s="78">
        <f t="shared" si="10"/>
        <v>37.200000000000003</v>
      </c>
      <c r="G65" s="271"/>
      <c r="H65" s="78"/>
      <c r="I65" s="78"/>
      <c r="J65" s="78"/>
      <c r="K65" s="278"/>
    </row>
    <row r="66" spans="1:11">
      <c r="A66" s="99">
        <v>1983</v>
      </c>
      <c r="B66" s="78">
        <f t="shared" si="6"/>
        <v>7.1000000000000005</v>
      </c>
      <c r="C66" s="78">
        <f t="shared" si="7"/>
        <v>12.5</v>
      </c>
      <c r="D66" s="78">
        <f t="shared" si="8"/>
        <v>18.100000000000001</v>
      </c>
      <c r="E66" s="78">
        <f t="shared" si="9"/>
        <v>23.700000000000003</v>
      </c>
      <c r="F66" s="78">
        <f t="shared" si="10"/>
        <v>38.5</v>
      </c>
      <c r="G66" s="271"/>
      <c r="H66" s="78"/>
      <c r="I66" s="78"/>
      <c r="J66" s="78"/>
      <c r="K66" s="278"/>
    </row>
    <row r="67" spans="1:11">
      <c r="A67" s="99">
        <v>1984</v>
      </c>
      <c r="B67" s="78">
        <f t="shared" si="6"/>
        <v>7.2</v>
      </c>
      <c r="C67" s="78">
        <f t="shared" si="7"/>
        <v>13.100000000000001</v>
      </c>
      <c r="D67" s="78">
        <f t="shared" si="8"/>
        <v>18.600000000000001</v>
      </c>
      <c r="E67" s="78">
        <f t="shared" si="9"/>
        <v>24.200000000000003</v>
      </c>
      <c r="F67" s="78">
        <f t="shared" si="10"/>
        <v>36.9</v>
      </c>
      <c r="G67" s="271"/>
      <c r="H67" s="78"/>
      <c r="I67" s="78"/>
      <c r="J67" s="78"/>
      <c r="K67" s="278"/>
    </row>
    <row r="68" spans="1:11">
      <c r="A68" s="99">
        <v>1985</v>
      </c>
      <c r="B68" s="78">
        <f t="shared" si="6"/>
        <v>7.6999999999999993</v>
      </c>
      <c r="C68" s="78">
        <f t="shared" si="7"/>
        <v>13.399999999999999</v>
      </c>
      <c r="D68" s="78">
        <f t="shared" si="8"/>
        <v>18.2</v>
      </c>
      <c r="E68" s="78">
        <f t="shared" si="9"/>
        <v>23.9</v>
      </c>
      <c r="F68" s="78">
        <f t="shared" si="10"/>
        <v>36.700000000000003</v>
      </c>
      <c r="G68" s="271"/>
      <c r="H68" s="78"/>
      <c r="I68" s="78"/>
      <c r="J68" s="78"/>
      <c r="K68" s="278"/>
    </row>
    <row r="69" spans="1:11">
      <c r="A69" s="99">
        <v>1986</v>
      </c>
      <c r="B69" s="78">
        <f t="shared" si="6"/>
        <v>7.9</v>
      </c>
      <c r="C69" s="78">
        <f t="shared" si="7"/>
        <v>14.100000000000001</v>
      </c>
      <c r="D69" s="78">
        <f t="shared" si="8"/>
        <v>18.600000000000001</v>
      </c>
      <c r="E69" s="78">
        <f t="shared" si="9"/>
        <v>23.7</v>
      </c>
      <c r="F69" s="78">
        <f t="shared" si="10"/>
        <v>35.700000000000003</v>
      </c>
      <c r="G69" s="271"/>
      <c r="H69" s="78"/>
      <c r="I69" s="78"/>
      <c r="J69" s="78"/>
      <c r="K69" s="278"/>
    </row>
    <row r="70" spans="1:11">
      <c r="A70" s="99">
        <v>1987</v>
      </c>
      <c r="B70" s="78">
        <f t="shared" si="6"/>
        <v>7.8</v>
      </c>
      <c r="C70" s="78">
        <f t="shared" si="7"/>
        <v>13.399999999999999</v>
      </c>
      <c r="D70" s="78">
        <f t="shared" si="8"/>
        <v>18.5</v>
      </c>
      <c r="E70" s="78">
        <f t="shared" si="9"/>
        <v>24.5</v>
      </c>
      <c r="F70" s="78">
        <f t="shared" si="10"/>
        <v>36</v>
      </c>
      <c r="G70" s="271"/>
      <c r="H70" s="78"/>
      <c r="I70" s="78"/>
      <c r="J70" s="78"/>
      <c r="K70" s="278"/>
    </row>
    <row r="71" spans="1:11">
      <c r="A71" s="99">
        <v>1988</v>
      </c>
      <c r="B71" s="78">
        <f t="shared" si="6"/>
        <v>8.1</v>
      </c>
      <c r="C71" s="78">
        <f t="shared" si="7"/>
        <v>13.8</v>
      </c>
      <c r="D71" s="78">
        <f t="shared" si="8"/>
        <v>18.399999999999999</v>
      </c>
      <c r="E71" s="78">
        <f t="shared" si="9"/>
        <v>24</v>
      </c>
      <c r="F71" s="78">
        <f t="shared" si="10"/>
        <v>35.799999999999997</v>
      </c>
      <c r="G71" s="271"/>
      <c r="H71" s="78"/>
      <c r="I71" s="78"/>
      <c r="J71" s="78"/>
      <c r="K71" s="278"/>
    </row>
    <row r="72" spans="1:11">
      <c r="A72" s="99">
        <v>1989</v>
      </c>
      <c r="B72" s="78">
        <f t="shared" si="6"/>
        <v>8.1</v>
      </c>
      <c r="C72" s="78">
        <f t="shared" si="7"/>
        <v>13.7</v>
      </c>
      <c r="D72" s="78">
        <f t="shared" si="8"/>
        <v>18.399999999999999</v>
      </c>
      <c r="E72" s="78">
        <f t="shared" si="9"/>
        <v>23.6</v>
      </c>
      <c r="F72" s="78">
        <f t="shared" si="10"/>
        <v>36.299999999999997</v>
      </c>
      <c r="G72" s="271"/>
      <c r="H72" s="78"/>
      <c r="I72" s="78"/>
      <c r="J72" s="78"/>
      <c r="K72" s="278"/>
    </row>
    <row r="73" spans="1:11">
      <c r="A73" s="99">
        <v>1990</v>
      </c>
      <c r="B73" s="78">
        <f t="shared" si="6"/>
        <v>8.1999999999999993</v>
      </c>
      <c r="C73" s="78">
        <f t="shared" si="7"/>
        <v>13.5</v>
      </c>
      <c r="D73" s="78">
        <f t="shared" si="8"/>
        <v>18.600000000000001</v>
      </c>
      <c r="E73" s="78">
        <f t="shared" si="9"/>
        <v>24</v>
      </c>
      <c r="F73" s="78">
        <f t="shared" si="10"/>
        <v>35.799999999999997</v>
      </c>
      <c r="G73" s="271"/>
      <c r="H73" s="78"/>
      <c r="I73" s="78"/>
      <c r="J73" s="78"/>
      <c r="K73" s="278"/>
    </row>
    <row r="74" spans="1:11">
      <c r="A74" s="99">
        <v>1991</v>
      </c>
      <c r="B74" s="78">
        <f t="shared" si="6"/>
        <v>7.9</v>
      </c>
      <c r="C74" s="78">
        <f t="shared" si="7"/>
        <v>13.2</v>
      </c>
      <c r="D74" s="78">
        <f t="shared" si="8"/>
        <v>18.100000000000001</v>
      </c>
      <c r="E74" s="78">
        <f t="shared" si="9"/>
        <v>24.299999999999997</v>
      </c>
      <c r="F74" s="78">
        <f t="shared" si="10"/>
        <v>36.6</v>
      </c>
      <c r="G74" s="271"/>
      <c r="H74" s="78"/>
      <c r="I74" s="78"/>
      <c r="J74" s="78"/>
      <c r="K74" s="278"/>
    </row>
    <row r="75" spans="1:11">
      <c r="A75" s="99">
        <v>1992</v>
      </c>
      <c r="B75" s="78">
        <f t="shared" si="6"/>
        <v>7.8</v>
      </c>
      <c r="C75" s="78">
        <f t="shared" si="7"/>
        <v>13.4</v>
      </c>
      <c r="D75" s="78">
        <f t="shared" si="8"/>
        <v>18.100000000000001</v>
      </c>
      <c r="E75" s="78">
        <f t="shared" si="9"/>
        <v>24.1</v>
      </c>
      <c r="F75" s="78">
        <f t="shared" si="10"/>
        <v>36.599999999999994</v>
      </c>
      <c r="G75" s="271"/>
      <c r="H75" s="78"/>
      <c r="I75" s="78"/>
      <c r="J75" s="78"/>
      <c r="K75" s="278"/>
    </row>
    <row r="76" spans="1:11">
      <c r="A76" s="99">
        <v>1993</v>
      </c>
      <c r="B76" s="78">
        <f t="shared" si="6"/>
        <v>7.9</v>
      </c>
      <c r="C76" s="78">
        <f t="shared" si="7"/>
        <v>13.600000000000001</v>
      </c>
      <c r="D76" s="78">
        <f t="shared" si="8"/>
        <v>18.5</v>
      </c>
      <c r="E76" s="78">
        <f t="shared" si="9"/>
        <v>24</v>
      </c>
      <c r="F76" s="78">
        <f t="shared" si="10"/>
        <v>35.9</v>
      </c>
      <c r="G76" s="271"/>
      <c r="H76" s="78"/>
      <c r="I76" s="78"/>
      <c r="J76" s="78"/>
      <c r="K76" s="278"/>
    </row>
    <row r="77" spans="1:11">
      <c r="A77" s="99">
        <v>1994</v>
      </c>
      <c r="B77" s="78">
        <f t="shared" si="6"/>
        <v>7.8</v>
      </c>
      <c r="C77" s="78">
        <f t="shared" si="7"/>
        <v>13.8</v>
      </c>
      <c r="D77" s="78">
        <f t="shared" si="8"/>
        <v>18.399999999999999</v>
      </c>
      <c r="E77" s="78">
        <f t="shared" si="9"/>
        <v>24</v>
      </c>
      <c r="F77" s="78">
        <f t="shared" si="10"/>
        <v>36</v>
      </c>
      <c r="G77" s="271"/>
      <c r="H77" s="78"/>
      <c r="I77" s="78"/>
      <c r="J77" s="78"/>
      <c r="K77" s="278"/>
    </row>
    <row r="78" spans="1:11">
      <c r="A78" s="99">
        <v>1995</v>
      </c>
      <c r="B78" s="78">
        <f t="shared" si="6"/>
        <v>7.8</v>
      </c>
      <c r="C78" s="78">
        <f t="shared" si="7"/>
        <v>13.399999999999999</v>
      </c>
      <c r="D78" s="78">
        <f t="shared" si="8"/>
        <v>18.2</v>
      </c>
      <c r="E78" s="78">
        <f t="shared" si="9"/>
        <v>24.3</v>
      </c>
      <c r="F78" s="78">
        <f t="shared" si="10"/>
        <v>36.5</v>
      </c>
      <c r="G78" s="271"/>
      <c r="H78" s="78"/>
      <c r="I78" s="78"/>
      <c r="J78" s="78"/>
      <c r="K78" s="278"/>
    </row>
    <row r="79" spans="1:11">
      <c r="A79" s="99">
        <v>1996</v>
      </c>
      <c r="B79" s="78">
        <f t="shared" si="6"/>
        <v>7.8000000000000007</v>
      </c>
      <c r="C79" s="78">
        <f t="shared" si="7"/>
        <v>13.3</v>
      </c>
      <c r="D79" s="78">
        <f t="shared" si="8"/>
        <v>18.200000000000003</v>
      </c>
      <c r="E79" s="78">
        <f t="shared" si="9"/>
        <v>23.799999999999997</v>
      </c>
      <c r="F79" s="78">
        <f t="shared" si="10"/>
        <v>36.9</v>
      </c>
      <c r="G79" s="271"/>
      <c r="H79" s="78"/>
      <c r="I79" s="78"/>
      <c r="J79" s="78"/>
      <c r="K79" s="278"/>
    </row>
    <row r="80" spans="1:11">
      <c r="A80" s="99">
        <v>1997</v>
      </c>
      <c r="B80" s="78">
        <f t="shared" si="6"/>
        <v>7.6</v>
      </c>
      <c r="C80" s="78">
        <f t="shared" si="7"/>
        <v>13.399999999999999</v>
      </c>
      <c r="D80" s="78">
        <f t="shared" si="8"/>
        <v>18.3</v>
      </c>
      <c r="E80" s="78">
        <f t="shared" si="9"/>
        <v>23.9</v>
      </c>
      <c r="F80" s="78">
        <f t="shared" si="10"/>
        <v>36.700000000000003</v>
      </c>
      <c r="G80" s="271"/>
      <c r="H80" s="78"/>
      <c r="I80" s="78"/>
      <c r="J80" s="78"/>
      <c r="K80" s="278"/>
    </row>
    <row r="81" spans="1:11">
      <c r="A81" s="99">
        <v>1998</v>
      </c>
      <c r="B81" s="78">
        <f t="shared" si="6"/>
        <v>7.4</v>
      </c>
      <c r="C81" s="78">
        <f t="shared" si="7"/>
        <v>13</v>
      </c>
      <c r="D81" s="78">
        <f t="shared" si="8"/>
        <v>18.100000000000001</v>
      </c>
      <c r="E81" s="78">
        <f t="shared" si="9"/>
        <v>23.799999999999997</v>
      </c>
      <c r="F81" s="78">
        <f t="shared" si="10"/>
        <v>37.6</v>
      </c>
      <c r="G81" s="271"/>
      <c r="H81" s="78"/>
      <c r="I81" s="78"/>
      <c r="J81" s="78"/>
      <c r="K81" s="278"/>
    </row>
    <row r="82" spans="1:11">
      <c r="A82" s="99">
        <v>1999</v>
      </c>
      <c r="B82" s="78">
        <f t="shared" si="6"/>
        <v>7.6999999999999993</v>
      </c>
      <c r="C82" s="78">
        <f t="shared" si="7"/>
        <v>13.3</v>
      </c>
      <c r="D82" s="78">
        <f t="shared" si="8"/>
        <v>18.299999999999997</v>
      </c>
      <c r="E82" s="78">
        <f t="shared" si="9"/>
        <v>24.1</v>
      </c>
      <c r="F82" s="78">
        <f t="shared" si="10"/>
        <v>36.700000000000003</v>
      </c>
      <c r="G82" s="271"/>
      <c r="H82" s="78"/>
      <c r="I82" s="78"/>
      <c r="J82" s="78"/>
      <c r="K82" s="278"/>
    </row>
    <row r="83" spans="1:11">
      <c r="A83" s="99">
        <v>2000</v>
      </c>
      <c r="B83" s="78">
        <f t="shared" si="6"/>
        <v>7.6999999999999993</v>
      </c>
      <c r="C83" s="78">
        <f t="shared" si="7"/>
        <v>13.2</v>
      </c>
      <c r="D83" s="78">
        <f t="shared" si="8"/>
        <v>17.7</v>
      </c>
      <c r="E83" s="78">
        <f t="shared" si="9"/>
        <v>23.6</v>
      </c>
      <c r="F83" s="78">
        <f t="shared" si="10"/>
        <v>37.799999999999997</v>
      </c>
      <c r="G83" s="271"/>
      <c r="H83" s="78"/>
      <c r="I83" s="78"/>
      <c r="J83" s="78"/>
      <c r="K83" s="278"/>
    </row>
    <row r="84" spans="1:11">
      <c r="A84" s="99">
        <v>2001</v>
      </c>
      <c r="B84" s="78">
        <f t="shared" si="6"/>
        <v>7.6</v>
      </c>
      <c r="C84" s="78">
        <f t="shared" si="7"/>
        <v>13.2</v>
      </c>
      <c r="D84" s="78">
        <f t="shared" si="8"/>
        <v>17.899999999999999</v>
      </c>
      <c r="E84" s="78">
        <f t="shared" si="9"/>
        <v>23.4</v>
      </c>
      <c r="F84" s="78">
        <f t="shared" si="10"/>
        <v>37.900000000000006</v>
      </c>
      <c r="G84" s="271"/>
      <c r="H84" s="78"/>
      <c r="I84" s="78"/>
      <c r="J84" s="78"/>
      <c r="K84" s="278"/>
    </row>
    <row r="85" spans="1:11">
      <c r="A85" s="99">
        <v>2002</v>
      </c>
      <c r="B85" s="78">
        <f t="shared" si="6"/>
        <v>7.6</v>
      </c>
      <c r="C85" s="78">
        <f t="shared" si="7"/>
        <v>13.100000000000001</v>
      </c>
      <c r="D85" s="78">
        <f t="shared" si="8"/>
        <v>18</v>
      </c>
      <c r="E85" s="78">
        <f t="shared" si="9"/>
        <v>23.7</v>
      </c>
      <c r="F85" s="78">
        <f t="shared" si="10"/>
        <v>37.700000000000003</v>
      </c>
      <c r="G85" s="271"/>
      <c r="H85" s="78"/>
      <c r="I85" s="78"/>
      <c r="J85" s="78"/>
      <c r="K85" s="278"/>
    </row>
    <row r="86" spans="1:11">
      <c r="A86" s="99">
        <v>2003</v>
      </c>
      <c r="B86" s="78">
        <f t="shared" si="6"/>
        <v>7.5</v>
      </c>
      <c r="C86" s="78">
        <f t="shared" si="7"/>
        <v>13.1</v>
      </c>
      <c r="D86" s="78">
        <f t="shared" si="8"/>
        <v>17.7</v>
      </c>
      <c r="E86" s="78">
        <f t="shared" si="9"/>
        <v>23.5</v>
      </c>
      <c r="F86" s="78">
        <f t="shared" si="10"/>
        <v>38.200000000000003</v>
      </c>
      <c r="G86" s="271"/>
      <c r="H86" s="78"/>
      <c r="I86" s="78"/>
      <c r="J86" s="78"/>
      <c r="K86" s="278"/>
    </row>
    <row r="87" spans="1:11">
      <c r="A87" s="99">
        <v>2004</v>
      </c>
      <c r="B87" s="78">
        <f t="shared" si="6"/>
        <v>7.5</v>
      </c>
      <c r="C87" s="78">
        <f t="shared" si="7"/>
        <v>13.1</v>
      </c>
      <c r="D87" s="78">
        <f t="shared" si="8"/>
        <v>17.700000000000003</v>
      </c>
      <c r="E87" s="78">
        <f t="shared" si="9"/>
        <v>23.5</v>
      </c>
      <c r="F87" s="78">
        <f t="shared" si="10"/>
        <v>38.200000000000003</v>
      </c>
      <c r="G87" s="271"/>
      <c r="H87" s="78"/>
      <c r="I87" s="78"/>
      <c r="J87" s="78"/>
      <c r="K87" s="278"/>
    </row>
    <row r="88" spans="1:11">
      <c r="A88" s="99">
        <v>2005</v>
      </c>
      <c r="B88" s="78">
        <f t="shared" si="6"/>
        <v>7.7</v>
      </c>
      <c r="C88" s="78">
        <f t="shared" si="7"/>
        <v>13.2</v>
      </c>
      <c r="D88" s="78">
        <f t="shared" si="8"/>
        <v>17.5</v>
      </c>
      <c r="E88" s="78">
        <f t="shared" si="9"/>
        <v>23.5</v>
      </c>
      <c r="F88" s="78">
        <f t="shared" si="10"/>
        <v>38.200000000000003</v>
      </c>
      <c r="G88" s="271"/>
      <c r="H88" s="78"/>
      <c r="I88" s="78"/>
      <c r="J88" s="78"/>
      <c r="K88" s="278"/>
    </row>
    <row r="89" spans="1:11">
      <c r="A89" s="99">
        <v>2006</v>
      </c>
      <c r="B89" s="78">
        <f t="shared" si="6"/>
        <v>8.1000000000000014</v>
      </c>
      <c r="C89" s="78">
        <f t="shared" si="7"/>
        <v>13.2</v>
      </c>
      <c r="D89" s="78">
        <f t="shared" si="8"/>
        <v>17.700000000000003</v>
      </c>
      <c r="E89" s="78">
        <f t="shared" si="9"/>
        <v>23.2</v>
      </c>
      <c r="F89" s="78">
        <f t="shared" si="10"/>
        <v>37.9</v>
      </c>
      <c r="G89" s="271"/>
      <c r="H89" s="78"/>
      <c r="I89" s="78"/>
      <c r="J89" s="78"/>
      <c r="K89" s="278"/>
    </row>
    <row r="90" spans="1:11">
      <c r="A90" s="99">
        <v>2007</v>
      </c>
      <c r="B90" s="78">
        <f t="shared" si="6"/>
        <v>7.9</v>
      </c>
      <c r="C90" s="78">
        <f t="shared" si="7"/>
        <v>13.2</v>
      </c>
      <c r="D90" s="78">
        <f t="shared" si="8"/>
        <v>17.8</v>
      </c>
      <c r="E90" s="78">
        <f t="shared" si="9"/>
        <v>23.4</v>
      </c>
      <c r="F90" s="78">
        <f t="shared" si="10"/>
        <v>37.700000000000003</v>
      </c>
      <c r="G90" s="271"/>
      <c r="H90" s="78"/>
      <c r="I90" s="78"/>
      <c r="J90" s="78"/>
      <c r="K90" s="278"/>
    </row>
    <row r="91" spans="1:11">
      <c r="A91" s="99">
        <v>2008</v>
      </c>
      <c r="B91" s="78">
        <f t="shared" si="6"/>
        <v>8.1000000000000014</v>
      </c>
      <c r="C91" s="78">
        <f t="shared" si="7"/>
        <v>13.2</v>
      </c>
      <c r="D91" s="78">
        <f t="shared" si="8"/>
        <v>18</v>
      </c>
      <c r="E91" s="78">
        <f t="shared" si="9"/>
        <v>23.700000000000003</v>
      </c>
      <c r="F91" s="78">
        <f t="shared" si="10"/>
        <v>37</v>
      </c>
      <c r="G91" s="271"/>
      <c r="H91" s="78"/>
      <c r="I91" s="78"/>
      <c r="J91" s="78"/>
      <c r="K91" s="278"/>
    </row>
    <row r="92" spans="1:11">
      <c r="A92" s="99">
        <v>2009</v>
      </c>
      <c r="B92" s="78">
        <f t="shared" si="6"/>
        <v>7.9</v>
      </c>
      <c r="C92" s="78">
        <f t="shared" si="7"/>
        <v>12.9</v>
      </c>
      <c r="D92" s="78">
        <f t="shared" si="8"/>
        <v>17.7</v>
      </c>
      <c r="E92" s="78">
        <f t="shared" si="9"/>
        <v>23.700000000000003</v>
      </c>
      <c r="F92" s="78">
        <f t="shared" si="10"/>
        <v>37.700000000000003</v>
      </c>
      <c r="G92" s="271"/>
      <c r="H92" s="78"/>
      <c r="I92" s="78"/>
      <c r="J92" s="78"/>
      <c r="K92" s="278"/>
    </row>
    <row r="93" spans="1:11">
      <c r="A93" s="99">
        <v>2010</v>
      </c>
      <c r="B93" s="78">
        <f t="shared" si="6"/>
        <v>7.8</v>
      </c>
      <c r="C93" s="78">
        <f t="shared" si="7"/>
        <v>13.2</v>
      </c>
      <c r="D93" s="78">
        <f t="shared" si="8"/>
        <v>18.2</v>
      </c>
      <c r="E93" s="78">
        <f t="shared" si="9"/>
        <v>23.8</v>
      </c>
      <c r="F93" s="78">
        <f t="shared" si="10"/>
        <v>37</v>
      </c>
      <c r="G93" s="271"/>
      <c r="H93" s="78"/>
      <c r="I93" s="78"/>
      <c r="J93" s="78"/>
      <c r="K93" s="278"/>
    </row>
    <row r="94" spans="1:11">
      <c r="A94" s="99">
        <v>2011</v>
      </c>
      <c r="B94" s="78">
        <f t="shared" si="6"/>
        <v>7.6999999999999993</v>
      </c>
      <c r="C94" s="78">
        <f t="shared" si="7"/>
        <v>13</v>
      </c>
      <c r="D94" s="78">
        <f t="shared" si="8"/>
        <v>17.600000000000001</v>
      </c>
      <c r="E94" s="78">
        <f t="shared" si="9"/>
        <v>23.8</v>
      </c>
      <c r="F94" s="78">
        <f t="shared" si="10"/>
        <v>37.900000000000006</v>
      </c>
      <c r="G94" s="271"/>
      <c r="H94" s="78"/>
      <c r="I94" s="78"/>
      <c r="J94" s="78"/>
      <c r="K94" s="278"/>
    </row>
    <row r="95" spans="1:11">
      <c r="A95" s="99">
        <v>2012</v>
      </c>
      <c r="B95" s="78">
        <f t="shared" si="6"/>
        <v>7.8</v>
      </c>
      <c r="C95" s="78">
        <f t="shared" si="7"/>
        <v>13</v>
      </c>
      <c r="D95" s="78">
        <f t="shared" si="8"/>
        <v>17.5</v>
      </c>
      <c r="E95" s="78">
        <f t="shared" si="9"/>
        <v>23.9</v>
      </c>
      <c r="F95" s="78">
        <f t="shared" si="10"/>
        <v>37.799999999999997</v>
      </c>
      <c r="G95" s="271"/>
      <c r="H95" s="78"/>
      <c r="I95" s="78"/>
      <c r="J95" s="78"/>
      <c r="K95" s="278"/>
    </row>
    <row r="96" spans="1:11">
      <c r="A96" s="99">
        <v>2013</v>
      </c>
      <c r="B96" s="78">
        <f t="shared" si="6"/>
        <v>7.6999999999999993</v>
      </c>
      <c r="C96" s="78">
        <f t="shared" si="7"/>
        <v>13</v>
      </c>
      <c r="D96" s="78">
        <f t="shared" si="8"/>
        <v>17.7</v>
      </c>
      <c r="E96" s="78">
        <f t="shared" si="9"/>
        <v>23.799999999999997</v>
      </c>
      <c r="F96" s="78">
        <f t="shared" si="10"/>
        <v>37.700000000000003</v>
      </c>
      <c r="G96" s="271"/>
      <c r="H96" s="78"/>
      <c r="I96" s="78"/>
      <c r="J96" s="78"/>
      <c r="K96" s="278"/>
    </row>
    <row r="97" spans="1:11">
      <c r="A97" s="99">
        <v>2014</v>
      </c>
      <c r="B97" s="78">
        <f t="shared" si="6"/>
        <v>8</v>
      </c>
      <c r="C97" s="78">
        <f t="shared" si="7"/>
        <v>13.399999999999999</v>
      </c>
      <c r="D97" s="78">
        <f t="shared" si="8"/>
        <v>18.399999999999999</v>
      </c>
      <c r="E97" s="78">
        <f t="shared" si="9"/>
        <v>23.799999999999997</v>
      </c>
      <c r="F97" s="78">
        <f t="shared" si="10"/>
        <v>36.299999999999997</v>
      </c>
      <c r="G97" s="271"/>
      <c r="H97" s="78"/>
      <c r="I97" s="78"/>
      <c r="J97" s="78"/>
      <c r="K97" s="278"/>
    </row>
    <row r="98" spans="1:11">
      <c r="A98" s="99">
        <v>2015</v>
      </c>
      <c r="B98" s="78">
        <f t="shared" si="6"/>
        <v>8</v>
      </c>
      <c r="C98" s="78">
        <f t="shared" si="7"/>
        <v>13.9</v>
      </c>
      <c r="D98" s="78">
        <f t="shared" si="8"/>
        <v>18.5</v>
      </c>
      <c r="E98" s="78">
        <f t="shared" si="9"/>
        <v>23.9</v>
      </c>
      <c r="F98" s="78">
        <f t="shared" si="10"/>
        <v>35.799999999999997</v>
      </c>
      <c r="G98" s="271"/>
      <c r="H98" s="78"/>
      <c r="I98" s="78"/>
      <c r="J98" s="78"/>
      <c r="K98" s="278"/>
    </row>
    <row r="99" spans="1:11">
      <c r="A99" s="99">
        <v>2016</v>
      </c>
      <c r="B99" s="78">
        <f t="shared" si="6"/>
        <v>8.4</v>
      </c>
      <c r="C99" s="78">
        <f t="shared" si="7"/>
        <v>13.5</v>
      </c>
      <c r="D99" s="78">
        <f t="shared" si="8"/>
        <v>17.600000000000001</v>
      </c>
      <c r="E99" s="78">
        <f t="shared" si="9"/>
        <v>23.5</v>
      </c>
      <c r="F99" s="78">
        <f t="shared" si="10"/>
        <v>37</v>
      </c>
      <c r="G99" s="271"/>
      <c r="H99" s="78"/>
      <c r="I99" s="78"/>
      <c r="J99" s="78"/>
      <c r="K99" s="278"/>
    </row>
    <row r="100" spans="1:11">
      <c r="A100" s="99">
        <v>2017</v>
      </c>
      <c r="B100" s="78">
        <f t="shared" si="6"/>
        <v>7.9</v>
      </c>
      <c r="C100" s="78">
        <f t="shared" si="7"/>
        <v>13.399999999999999</v>
      </c>
      <c r="D100" s="78">
        <f t="shared" si="8"/>
        <v>17.899999999999999</v>
      </c>
      <c r="E100" s="78">
        <f t="shared" si="9"/>
        <v>23.700000000000003</v>
      </c>
      <c r="F100" s="78">
        <f t="shared" si="10"/>
        <v>37.1</v>
      </c>
      <c r="G100" s="271"/>
      <c r="H100" s="78"/>
      <c r="I100" s="78"/>
      <c r="J100" s="78"/>
      <c r="K100" s="278"/>
    </row>
    <row r="101" spans="1:11">
      <c r="A101" s="99">
        <v>2018</v>
      </c>
      <c r="B101" s="78">
        <f t="shared" si="6"/>
        <v>8.1999999999999993</v>
      </c>
      <c r="C101" s="78">
        <f t="shared" si="7"/>
        <v>13.5</v>
      </c>
      <c r="D101" s="78">
        <f t="shared" si="8"/>
        <v>17.5</v>
      </c>
      <c r="E101" s="78">
        <f t="shared" si="9"/>
        <v>23</v>
      </c>
      <c r="F101" s="78">
        <f t="shared" si="10"/>
        <v>37.799999999999997</v>
      </c>
      <c r="G101" s="271"/>
      <c r="H101" s="78"/>
      <c r="I101" s="78"/>
      <c r="J101" s="78"/>
      <c r="K101" s="278"/>
    </row>
    <row r="102" spans="1:11">
      <c r="A102" s="99">
        <v>2019</v>
      </c>
      <c r="B102" s="78">
        <f t="shared" si="6"/>
        <v>8.3000000000000007</v>
      </c>
      <c r="C102" s="78">
        <f t="shared" si="7"/>
        <v>13.9</v>
      </c>
      <c r="D102" s="78">
        <f t="shared" si="8"/>
        <v>17.600000000000001</v>
      </c>
      <c r="E102" s="78">
        <f t="shared" si="9"/>
        <v>23</v>
      </c>
      <c r="F102" s="78">
        <f t="shared" si="10"/>
        <v>37.299999999999997</v>
      </c>
      <c r="G102" s="271"/>
      <c r="H102" s="78"/>
      <c r="I102" s="78"/>
      <c r="J102" s="78"/>
      <c r="K102" s="278"/>
    </row>
    <row r="103" spans="1:11">
      <c r="B103" s="271"/>
      <c r="C103" s="271"/>
      <c r="D103" s="271"/>
      <c r="E103" s="271"/>
      <c r="F103" s="271"/>
      <c r="G103" s="271"/>
      <c r="H103" s="271"/>
      <c r="I103" s="271"/>
      <c r="J103" s="271"/>
    </row>
    <row r="104" spans="1:11">
      <c r="A104" s="99" t="s">
        <v>22</v>
      </c>
      <c r="B104" s="78">
        <f t="shared" ref="B104:F104" si="11">B102-B59</f>
        <v>0.90000000000000036</v>
      </c>
      <c r="C104" s="78">
        <f t="shared" si="11"/>
        <v>0.20000000000000107</v>
      </c>
      <c r="D104" s="78">
        <f t="shared" si="11"/>
        <v>-1.2999999999999972</v>
      </c>
      <c r="E104" s="78">
        <f t="shared" si="11"/>
        <v>-1</v>
      </c>
      <c r="F104" s="78">
        <f t="shared" si="11"/>
        <v>1.3999999999999986</v>
      </c>
      <c r="G104" s="271"/>
      <c r="H104" s="271"/>
      <c r="I104" s="271"/>
      <c r="J104" s="271"/>
    </row>
    <row r="105" spans="1:11">
      <c r="A105" s="99" t="s">
        <v>23</v>
      </c>
      <c r="B105" s="78">
        <f t="shared" ref="B105:F105" si="12">B83-B59</f>
        <v>0.29999999999999893</v>
      </c>
      <c r="C105" s="78">
        <f t="shared" si="12"/>
        <v>-0.5</v>
      </c>
      <c r="D105" s="78">
        <f t="shared" si="12"/>
        <v>-1.1999999999999993</v>
      </c>
      <c r="E105" s="78">
        <f t="shared" si="12"/>
        <v>-0.39999999999999858</v>
      </c>
      <c r="F105" s="78">
        <f t="shared" si="12"/>
        <v>1.8999999999999986</v>
      </c>
      <c r="G105" s="271"/>
      <c r="H105" s="271"/>
      <c r="I105" s="271"/>
      <c r="J105" s="271"/>
    </row>
    <row r="106" spans="1:11">
      <c r="A106" s="99" t="s">
        <v>24</v>
      </c>
      <c r="B106" s="78">
        <f t="shared" ref="B106:F106" si="13">B102-B83</f>
        <v>0.60000000000000142</v>
      </c>
      <c r="C106" s="78">
        <f t="shared" si="13"/>
        <v>0.70000000000000107</v>
      </c>
      <c r="D106" s="78">
        <f t="shared" si="13"/>
        <v>-9.9999999999997868E-2</v>
      </c>
      <c r="E106" s="78">
        <f t="shared" si="13"/>
        <v>-0.60000000000000142</v>
      </c>
      <c r="F106" s="78">
        <f t="shared" si="13"/>
        <v>-0.5</v>
      </c>
      <c r="G106" s="271"/>
      <c r="H106" s="271"/>
      <c r="I106" s="271"/>
      <c r="J106" s="271"/>
    </row>
    <row r="109" spans="1:11">
      <c r="A109" s="99" t="s">
        <v>538</v>
      </c>
    </row>
    <row r="112" spans="1:11">
      <c r="A112" s="196" t="s">
        <v>186</v>
      </c>
    </row>
    <row r="113" spans="1:11">
      <c r="A113" s="196"/>
    </row>
    <row r="114" spans="1:11" ht="16" customHeight="1">
      <c r="A114" s="339" t="s">
        <v>166</v>
      </c>
      <c r="B114" s="341" t="s">
        <v>103</v>
      </c>
      <c r="C114" s="341"/>
      <c r="D114" s="341" t="s">
        <v>104</v>
      </c>
      <c r="E114" s="341"/>
      <c r="F114" s="341" t="s">
        <v>105</v>
      </c>
      <c r="G114" s="341"/>
      <c r="H114" s="341" t="s">
        <v>106</v>
      </c>
      <c r="I114" s="341"/>
      <c r="J114" s="341" t="s">
        <v>107</v>
      </c>
      <c r="K114" s="341"/>
    </row>
    <row r="115" spans="1:11">
      <c r="A115" s="339"/>
      <c r="B115" s="271" t="s">
        <v>43</v>
      </c>
      <c r="C115" s="271" t="s">
        <v>44</v>
      </c>
      <c r="D115" s="271" t="s">
        <v>43</v>
      </c>
      <c r="E115" s="271" t="s">
        <v>44</v>
      </c>
      <c r="F115" s="271" t="s">
        <v>43</v>
      </c>
      <c r="G115" s="271" t="s">
        <v>44</v>
      </c>
      <c r="H115" s="271" t="s">
        <v>43</v>
      </c>
      <c r="I115" s="271" t="s">
        <v>44</v>
      </c>
      <c r="J115" s="271" t="s">
        <v>43</v>
      </c>
      <c r="K115" s="271" t="s">
        <v>44</v>
      </c>
    </row>
    <row r="116" spans="1:11">
      <c r="A116" s="196" t="s">
        <v>69</v>
      </c>
      <c r="B116" s="78">
        <v>0.39999999999999947</v>
      </c>
      <c r="C116" s="78">
        <v>0.90000000000000036</v>
      </c>
      <c r="D116" s="78">
        <v>-0.59999999999999964</v>
      </c>
      <c r="E116" s="78">
        <v>0.20000000000000107</v>
      </c>
      <c r="F116" s="78">
        <v>-0.89999999999999858</v>
      </c>
      <c r="G116" s="78">
        <v>-1.2999999999999972</v>
      </c>
      <c r="H116" s="78">
        <v>-0.20000000000000284</v>
      </c>
      <c r="I116" s="78">
        <v>-1</v>
      </c>
      <c r="J116" s="78">
        <v>1.0999999999999943</v>
      </c>
      <c r="K116" s="78">
        <v>1.3999999999999986</v>
      </c>
    </row>
    <row r="117" spans="1:11">
      <c r="A117" s="196" t="s">
        <v>46</v>
      </c>
      <c r="B117" s="78">
        <v>0</v>
      </c>
      <c r="C117" s="78">
        <v>0.29999999999999893</v>
      </c>
      <c r="D117" s="78">
        <v>-0.89999999999999858</v>
      </c>
      <c r="E117" s="78">
        <v>-0.5</v>
      </c>
      <c r="F117" s="78">
        <v>-0.89999999999999858</v>
      </c>
      <c r="G117" s="78">
        <v>-1.1999999999999993</v>
      </c>
      <c r="H117" s="78">
        <v>-0.20000000000000284</v>
      </c>
      <c r="I117" s="78">
        <v>-0.39999999999999858</v>
      </c>
      <c r="J117" s="78">
        <v>2.0999999999999943</v>
      </c>
      <c r="K117" s="78">
        <v>1.8999999999999986</v>
      </c>
    </row>
    <row r="118" spans="1:11">
      <c r="A118" s="196" t="s">
        <v>47</v>
      </c>
      <c r="B118" s="78">
        <v>0.39999999999999947</v>
      </c>
      <c r="C118" s="78">
        <v>0.60000000000000142</v>
      </c>
      <c r="D118" s="78">
        <v>0.29999999999999893</v>
      </c>
      <c r="E118" s="78">
        <v>0.70000000000000107</v>
      </c>
      <c r="F118" s="78">
        <v>0</v>
      </c>
      <c r="G118" s="78">
        <v>-9.9999999999997868E-2</v>
      </c>
      <c r="H118" s="78">
        <v>0</v>
      </c>
      <c r="I118" s="78">
        <v>-0.60000000000000142</v>
      </c>
      <c r="J118" s="78">
        <v>-1</v>
      </c>
      <c r="K118" s="78">
        <v>-0.5</v>
      </c>
    </row>
    <row r="119" spans="1:11">
      <c r="A119" s="196"/>
    </row>
    <row r="120" spans="1:11">
      <c r="A120" s="196"/>
    </row>
    <row r="121" spans="1:11">
      <c r="A121" s="99" t="s">
        <v>538</v>
      </c>
      <c r="B121" s="278"/>
      <c r="C121" s="278"/>
      <c r="D121" s="278"/>
      <c r="E121" s="278"/>
      <c r="F121" s="278"/>
    </row>
    <row r="122" spans="1:11">
      <c r="B122" s="278"/>
      <c r="C122" s="278"/>
      <c r="D122" s="278"/>
      <c r="E122" s="278"/>
      <c r="F122" s="278"/>
    </row>
    <row r="123" spans="1:11">
      <c r="B123" s="278"/>
      <c r="C123" s="278"/>
      <c r="D123" s="278"/>
      <c r="E123" s="278"/>
      <c r="F123" s="278"/>
    </row>
    <row r="124" spans="1:11">
      <c r="A124" s="99" t="s">
        <v>187</v>
      </c>
      <c r="B124" s="278"/>
      <c r="C124" s="278"/>
      <c r="D124" s="278"/>
      <c r="E124" s="278"/>
      <c r="F124" s="278"/>
    </row>
    <row r="125" spans="1:11">
      <c r="B125" s="278"/>
      <c r="C125" s="278"/>
      <c r="D125" s="278"/>
      <c r="E125" s="278"/>
      <c r="F125" s="278"/>
    </row>
    <row r="126" spans="1:11">
      <c r="A126" s="337" t="s">
        <v>188</v>
      </c>
      <c r="B126" s="340">
        <v>1976</v>
      </c>
      <c r="C126" s="340"/>
      <c r="D126" s="340">
        <v>2000</v>
      </c>
      <c r="E126" s="340"/>
      <c r="F126" s="340">
        <v>2019</v>
      </c>
      <c r="G126" s="340"/>
    </row>
    <row r="127" spans="1:11" ht="51">
      <c r="A127" s="337"/>
      <c r="B127" s="194" t="s">
        <v>144</v>
      </c>
      <c r="C127" s="194" t="s">
        <v>183</v>
      </c>
      <c r="D127" s="194" t="s">
        <v>144</v>
      </c>
      <c r="E127" s="194" t="s">
        <v>183</v>
      </c>
      <c r="F127" s="194" t="s">
        <v>144</v>
      </c>
      <c r="G127" s="194" t="s">
        <v>183</v>
      </c>
    </row>
    <row r="128" spans="1:11" ht="17">
      <c r="A128" s="195" t="s">
        <v>103</v>
      </c>
      <c r="B128" s="101">
        <v>21550</v>
      </c>
      <c r="C128" s="78">
        <v>7.4</v>
      </c>
      <c r="D128" s="101">
        <v>25100</v>
      </c>
      <c r="E128" s="78">
        <v>7.6999999999999993</v>
      </c>
      <c r="F128" s="101">
        <v>33900</v>
      </c>
      <c r="G128" s="78">
        <v>8.3000000000000007</v>
      </c>
    </row>
    <row r="129" spans="1:7" ht="17">
      <c r="A129" s="195" t="s">
        <v>104</v>
      </c>
      <c r="B129" s="101">
        <v>40000</v>
      </c>
      <c r="C129" s="78">
        <v>13.7</v>
      </c>
      <c r="D129" s="101">
        <v>42600</v>
      </c>
      <c r="E129" s="78">
        <v>13.2</v>
      </c>
      <c r="F129" s="101">
        <v>56900</v>
      </c>
      <c r="G129" s="78">
        <v>13.9</v>
      </c>
    </row>
    <row r="130" spans="1:7" ht="17">
      <c r="A130" s="195" t="s">
        <v>105</v>
      </c>
      <c r="B130" s="101">
        <v>54800</v>
      </c>
      <c r="C130" s="78">
        <v>18.899999999999999</v>
      </c>
      <c r="D130" s="101">
        <v>57100</v>
      </c>
      <c r="E130" s="78">
        <v>17.7</v>
      </c>
      <c r="F130" s="101">
        <v>72150</v>
      </c>
      <c r="G130" s="78">
        <v>17.600000000000001</v>
      </c>
    </row>
    <row r="131" spans="1:7" ht="17">
      <c r="A131" s="195" t="s">
        <v>106</v>
      </c>
      <c r="B131" s="101">
        <v>69550</v>
      </c>
      <c r="C131" s="78">
        <v>24</v>
      </c>
      <c r="D131" s="101">
        <v>76000</v>
      </c>
      <c r="E131" s="78">
        <v>23.6</v>
      </c>
      <c r="F131" s="101">
        <v>94300</v>
      </c>
      <c r="G131" s="78">
        <v>23</v>
      </c>
    </row>
    <row r="132" spans="1:7" ht="17">
      <c r="A132" s="195" t="s">
        <v>107</v>
      </c>
      <c r="B132" s="101">
        <v>104350</v>
      </c>
      <c r="C132" s="78">
        <v>35.9</v>
      </c>
      <c r="D132" s="101">
        <v>122150</v>
      </c>
      <c r="E132" s="78">
        <v>37.799999999999997</v>
      </c>
      <c r="F132" s="101">
        <v>152500</v>
      </c>
      <c r="G132" s="78">
        <v>37.299999999999997</v>
      </c>
    </row>
    <row r="133" spans="1:7">
      <c r="A133" s="193"/>
    </row>
    <row r="134" spans="1:7">
      <c r="A134" s="193"/>
    </row>
    <row r="135" spans="1:7">
      <c r="A135" s="280" t="s">
        <v>638</v>
      </c>
    </row>
    <row r="136" spans="1:7">
      <c r="A136" s="193"/>
    </row>
    <row r="137" spans="1:7">
      <c r="A137" s="193"/>
    </row>
    <row r="138" spans="1:7">
      <c r="A138" s="193"/>
    </row>
    <row r="139" spans="1:7">
      <c r="A139" s="196"/>
    </row>
    <row r="140" spans="1:7">
      <c r="A140" s="196"/>
    </row>
  </sheetData>
  <mergeCells count="10">
    <mergeCell ref="A126:A127"/>
    <mergeCell ref="A114:A115"/>
    <mergeCell ref="B114:C114"/>
    <mergeCell ref="D114:E114"/>
    <mergeCell ref="F114:G114"/>
    <mergeCell ref="H114:I114"/>
    <mergeCell ref="J114:K114"/>
    <mergeCell ref="B126:C126"/>
    <mergeCell ref="D126:E126"/>
    <mergeCell ref="F126:G12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14A3-2EC4-934A-BE9D-0F9474DAC3A2}">
  <dimension ref="A1:Q268"/>
  <sheetViews>
    <sheetView zoomScale="80" zoomScaleNormal="80" workbookViewId="0">
      <selection activeCell="R25" sqref="R25"/>
    </sheetView>
  </sheetViews>
  <sheetFormatPr baseColWidth="10" defaultColWidth="10.83203125" defaultRowHeight="16"/>
  <cols>
    <col min="1" max="1" width="20.6640625" style="5" customWidth="1"/>
    <col min="2" max="16384" width="10.83203125" style="5"/>
  </cols>
  <sheetData>
    <row r="1" spans="1:11">
      <c r="A1" s="19" t="s">
        <v>639</v>
      </c>
    </row>
    <row r="3" spans="1:11">
      <c r="A3" s="5" t="s">
        <v>179</v>
      </c>
    </row>
    <row r="5" spans="1:11" ht="34">
      <c r="B5" s="142" t="s">
        <v>92</v>
      </c>
      <c r="C5" s="142" t="s">
        <v>172</v>
      </c>
      <c r="D5" s="142" t="s">
        <v>173</v>
      </c>
      <c r="E5" s="142" t="s">
        <v>174</v>
      </c>
      <c r="F5" s="142" t="s">
        <v>93</v>
      </c>
      <c r="G5" s="142" t="s">
        <v>175</v>
      </c>
      <c r="H5" s="142" t="s">
        <v>176</v>
      </c>
      <c r="I5" s="142" t="s">
        <v>177</v>
      </c>
      <c r="J5" s="142" t="s">
        <v>178</v>
      </c>
      <c r="K5" s="142" t="s">
        <v>94</v>
      </c>
    </row>
    <row r="6" spans="1:11">
      <c r="A6" s="5">
        <v>1977</v>
      </c>
      <c r="B6" s="8">
        <v>0.7</v>
      </c>
      <c r="C6" s="8">
        <v>4.3</v>
      </c>
      <c r="D6" s="8">
        <v>5.3</v>
      </c>
      <c r="E6" s="8">
        <v>5.8</v>
      </c>
      <c r="F6" s="8">
        <v>7.2</v>
      </c>
      <c r="G6" s="8">
        <v>9</v>
      </c>
      <c r="H6" s="8">
        <v>10.8</v>
      </c>
      <c r="I6" s="8">
        <v>13.1</v>
      </c>
      <c r="J6" s="8">
        <v>17.600000000000001</v>
      </c>
      <c r="K6" s="8">
        <v>26.2</v>
      </c>
    </row>
    <row r="7" spans="1:11">
      <c r="A7" s="5">
        <v>1978</v>
      </c>
    </row>
    <row r="8" spans="1:11">
      <c r="A8" s="5">
        <v>1979</v>
      </c>
      <c r="B8" s="8">
        <v>1.7</v>
      </c>
      <c r="C8" s="8">
        <v>4.5</v>
      </c>
      <c r="D8" s="8">
        <v>5.0999999999999996</v>
      </c>
      <c r="E8" s="8">
        <v>6.1</v>
      </c>
      <c r="F8" s="8">
        <v>7.3</v>
      </c>
      <c r="G8" s="8">
        <v>8.6</v>
      </c>
      <c r="H8" s="8">
        <v>10.199999999999999</v>
      </c>
      <c r="I8" s="8">
        <v>13.4</v>
      </c>
      <c r="J8" s="8">
        <v>17.3</v>
      </c>
      <c r="K8" s="8">
        <v>26</v>
      </c>
    </row>
    <row r="9" spans="1:11">
      <c r="A9" s="5">
        <v>1980</v>
      </c>
    </row>
    <row r="10" spans="1:11">
      <c r="A10" s="5">
        <v>1981</v>
      </c>
      <c r="B10" s="8">
        <v>2.2000000000000002</v>
      </c>
      <c r="C10" s="8">
        <v>4.5</v>
      </c>
      <c r="D10" s="8">
        <v>5.6</v>
      </c>
      <c r="E10" s="8">
        <v>6.3</v>
      </c>
      <c r="F10" s="8">
        <v>7.4</v>
      </c>
      <c r="G10" s="8">
        <v>9</v>
      </c>
      <c r="H10" s="8">
        <v>10.9</v>
      </c>
      <c r="I10" s="8">
        <v>13</v>
      </c>
      <c r="J10" s="8">
        <v>16.600000000000001</v>
      </c>
      <c r="K10" s="8">
        <v>24.5</v>
      </c>
    </row>
    <row r="11" spans="1:11">
      <c r="A11" s="5">
        <v>1982</v>
      </c>
      <c r="B11" s="8">
        <v>1.3</v>
      </c>
      <c r="C11" s="8">
        <v>4.4000000000000004</v>
      </c>
      <c r="D11" s="8">
        <v>5.7</v>
      </c>
      <c r="E11" s="8">
        <v>6.1</v>
      </c>
      <c r="F11" s="8">
        <v>7.2</v>
      </c>
      <c r="G11" s="8">
        <v>8.5</v>
      </c>
      <c r="H11" s="8">
        <v>10.4</v>
      </c>
      <c r="I11" s="8">
        <v>13.5</v>
      </c>
      <c r="J11" s="8">
        <v>17.7</v>
      </c>
      <c r="K11" s="8">
        <v>25</v>
      </c>
    </row>
    <row r="12" spans="1:11">
      <c r="A12" s="5">
        <v>1983</v>
      </c>
    </row>
    <row r="13" spans="1:11">
      <c r="A13" s="5">
        <v>1984</v>
      </c>
      <c r="B13" s="8">
        <v>1.4</v>
      </c>
      <c r="C13" s="8">
        <v>4</v>
      </c>
      <c r="D13" s="8">
        <v>5.4</v>
      </c>
      <c r="E13" s="8">
        <v>6.1</v>
      </c>
      <c r="F13" s="8">
        <v>7.1</v>
      </c>
      <c r="G13" s="8">
        <v>8.5</v>
      </c>
      <c r="H13" s="8">
        <v>10.3</v>
      </c>
      <c r="I13" s="8">
        <v>12.9</v>
      </c>
      <c r="J13" s="8">
        <v>17.2</v>
      </c>
      <c r="K13" s="8">
        <v>27.1</v>
      </c>
    </row>
    <row r="14" spans="1:11">
      <c r="A14" s="5">
        <v>1985</v>
      </c>
      <c r="B14" s="8">
        <v>1.3</v>
      </c>
      <c r="C14" s="8">
        <v>4.4000000000000004</v>
      </c>
      <c r="D14" s="8">
        <v>5.7</v>
      </c>
      <c r="E14" s="8">
        <v>6.6</v>
      </c>
      <c r="F14" s="8">
        <v>7.4</v>
      </c>
      <c r="G14" s="8">
        <v>8.8000000000000007</v>
      </c>
      <c r="H14" s="8">
        <v>10.8</v>
      </c>
      <c r="I14" s="8">
        <v>13</v>
      </c>
      <c r="J14" s="8">
        <v>16.2</v>
      </c>
      <c r="K14" s="8">
        <v>25.9</v>
      </c>
    </row>
    <row r="15" spans="1:11">
      <c r="A15" s="5">
        <v>1986</v>
      </c>
      <c r="B15" s="8">
        <v>1.8</v>
      </c>
      <c r="C15" s="8">
        <v>4.3</v>
      </c>
      <c r="D15" s="8">
        <v>5.6</v>
      </c>
      <c r="E15" s="8">
        <v>6.4</v>
      </c>
      <c r="F15" s="8">
        <v>7.3</v>
      </c>
      <c r="G15" s="8">
        <v>8.5</v>
      </c>
      <c r="H15" s="8">
        <v>10.199999999999999</v>
      </c>
      <c r="I15" s="8">
        <v>12.8</v>
      </c>
      <c r="J15" s="8">
        <v>16.7</v>
      </c>
      <c r="K15" s="8">
        <v>26.3</v>
      </c>
    </row>
    <row r="16" spans="1:11">
      <c r="A16" s="5">
        <v>1987</v>
      </c>
      <c r="B16" s="8">
        <v>2.1</v>
      </c>
      <c r="C16" s="8">
        <v>4.5</v>
      </c>
      <c r="D16" s="8">
        <v>6.3</v>
      </c>
      <c r="E16" s="8">
        <v>7.1</v>
      </c>
      <c r="F16" s="8">
        <v>7.7</v>
      </c>
      <c r="G16" s="8">
        <v>8.9</v>
      </c>
      <c r="H16" s="8">
        <v>10.6</v>
      </c>
      <c r="I16" s="8">
        <v>13.1</v>
      </c>
      <c r="J16" s="8">
        <v>16.399999999999999</v>
      </c>
      <c r="K16" s="8">
        <v>23.3</v>
      </c>
    </row>
    <row r="17" spans="1:11">
      <c r="A17" s="5">
        <v>1988</v>
      </c>
      <c r="B17" s="8">
        <v>2.7</v>
      </c>
      <c r="C17" s="8">
        <v>4.7</v>
      </c>
      <c r="D17" s="8">
        <v>6</v>
      </c>
      <c r="E17" s="8">
        <v>6.7</v>
      </c>
      <c r="F17" s="8">
        <v>7.7</v>
      </c>
      <c r="G17" s="8">
        <v>9</v>
      </c>
      <c r="H17" s="8">
        <v>10.3</v>
      </c>
      <c r="I17" s="8">
        <v>12.5</v>
      </c>
      <c r="J17" s="8">
        <v>15.9</v>
      </c>
      <c r="K17" s="8">
        <v>24.4</v>
      </c>
    </row>
    <row r="18" spans="1:11">
      <c r="A18" s="5">
        <v>1989</v>
      </c>
      <c r="B18" s="8">
        <v>2.7</v>
      </c>
      <c r="C18" s="8">
        <v>4.9000000000000004</v>
      </c>
      <c r="D18" s="8">
        <v>6.1</v>
      </c>
      <c r="E18" s="8">
        <v>6.8</v>
      </c>
      <c r="F18" s="8">
        <v>7.6</v>
      </c>
      <c r="G18" s="8">
        <v>8.8000000000000007</v>
      </c>
      <c r="H18" s="8">
        <v>10.7</v>
      </c>
      <c r="I18" s="8">
        <v>13.4</v>
      </c>
      <c r="J18" s="8">
        <v>16.600000000000001</v>
      </c>
      <c r="K18" s="8">
        <v>22.5</v>
      </c>
    </row>
    <row r="19" spans="1:11">
      <c r="A19" s="5">
        <v>1990</v>
      </c>
      <c r="B19" s="8">
        <v>2.2000000000000002</v>
      </c>
      <c r="C19" s="8">
        <v>4.5</v>
      </c>
      <c r="D19" s="8">
        <v>6.1</v>
      </c>
      <c r="E19" s="8">
        <v>6.9</v>
      </c>
      <c r="F19" s="8">
        <v>7.7</v>
      </c>
      <c r="G19" s="8">
        <v>8.8000000000000007</v>
      </c>
      <c r="H19" s="8">
        <v>10.5</v>
      </c>
      <c r="I19" s="8">
        <v>13.4</v>
      </c>
      <c r="J19" s="8">
        <v>16.8</v>
      </c>
      <c r="K19" s="8">
        <v>23.2</v>
      </c>
    </row>
    <row r="20" spans="1:11">
      <c r="A20" s="5">
        <v>1991</v>
      </c>
      <c r="B20" s="8">
        <v>2.2999999999999998</v>
      </c>
      <c r="C20" s="8">
        <v>4.0999999999999996</v>
      </c>
      <c r="D20" s="8">
        <v>6</v>
      </c>
      <c r="E20" s="8">
        <v>6.8</v>
      </c>
      <c r="F20" s="8">
        <v>7.6</v>
      </c>
      <c r="G20" s="8">
        <v>8.6</v>
      </c>
      <c r="H20" s="8">
        <v>10.199999999999999</v>
      </c>
      <c r="I20" s="8">
        <v>12.8</v>
      </c>
      <c r="J20" s="8">
        <v>16.899999999999999</v>
      </c>
      <c r="K20" s="8">
        <v>24.6</v>
      </c>
    </row>
    <row r="21" spans="1:11">
      <c r="A21" s="5">
        <v>1992</v>
      </c>
      <c r="B21" s="8">
        <v>2.2999999999999998</v>
      </c>
      <c r="C21" s="8">
        <v>4.8</v>
      </c>
      <c r="D21" s="8">
        <v>6.2</v>
      </c>
      <c r="E21" s="8">
        <v>7</v>
      </c>
      <c r="F21" s="8">
        <v>7.9</v>
      </c>
      <c r="G21" s="8">
        <v>9.1</v>
      </c>
      <c r="H21" s="8">
        <v>10.4</v>
      </c>
      <c r="I21" s="8">
        <v>12.9</v>
      </c>
      <c r="J21" s="8">
        <v>16.3</v>
      </c>
      <c r="K21" s="8">
        <v>23</v>
      </c>
    </row>
    <row r="22" spans="1:11">
      <c r="A22" s="5">
        <v>1993</v>
      </c>
      <c r="B22" s="8">
        <v>2.2999999999999998</v>
      </c>
      <c r="C22" s="8">
        <v>4.3</v>
      </c>
      <c r="D22" s="8">
        <v>6.2</v>
      </c>
      <c r="E22" s="8">
        <v>6.7</v>
      </c>
      <c r="F22" s="8">
        <v>7.7</v>
      </c>
      <c r="G22" s="8">
        <v>8.8000000000000007</v>
      </c>
      <c r="H22" s="8">
        <v>10.199999999999999</v>
      </c>
      <c r="I22" s="8">
        <v>12.7</v>
      </c>
      <c r="J22" s="8">
        <v>16.899999999999999</v>
      </c>
      <c r="K22" s="8">
        <v>24.3</v>
      </c>
    </row>
    <row r="23" spans="1:11">
      <c r="A23" s="5">
        <v>1994</v>
      </c>
      <c r="B23" s="8">
        <v>2.1</v>
      </c>
      <c r="C23" s="8">
        <v>4.4000000000000004</v>
      </c>
      <c r="D23" s="8">
        <v>6.1</v>
      </c>
      <c r="E23" s="8">
        <v>7.1</v>
      </c>
      <c r="F23" s="8">
        <v>8</v>
      </c>
      <c r="G23" s="8">
        <v>8.9</v>
      </c>
      <c r="H23" s="8">
        <v>10.3</v>
      </c>
      <c r="I23" s="8">
        <v>12.9</v>
      </c>
      <c r="J23" s="8">
        <v>16.899999999999999</v>
      </c>
      <c r="K23" s="8">
        <v>23.3</v>
      </c>
    </row>
    <row r="24" spans="1:11">
      <c r="A24" s="5">
        <v>1995</v>
      </c>
      <c r="B24" s="8">
        <v>2.2000000000000002</v>
      </c>
      <c r="C24" s="8">
        <v>4.3</v>
      </c>
      <c r="D24" s="8">
        <v>6.1</v>
      </c>
      <c r="E24" s="8">
        <v>7</v>
      </c>
      <c r="F24" s="8">
        <v>7.7</v>
      </c>
      <c r="G24" s="8">
        <v>8.8000000000000007</v>
      </c>
      <c r="H24" s="8">
        <v>10.5</v>
      </c>
      <c r="I24" s="8">
        <v>12.9</v>
      </c>
      <c r="J24" s="8">
        <v>16.600000000000001</v>
      </c>
      <c r="K24" s="8">
        <v>23.8</v>
      </c>
    </row>
    <row r="25" spans="1:11">
      <c r="A25" s="5">
        <v>1996</v>
      </c>
      <c r="B25" s="8">
        <v>2.1</v>
      </c>
      <c r="C25" s="8">
        <v>4.5</v>
      </c>
      <c r="D25" s="8">
        <v>6.1</v>
      </c>
      <c r="E25" s="8">
        <v>7</v>
      </c>
      <c r="F25" s="8">
        <v>8</v>
      </c>
      <c r="G25" s="8">
        <v>9</v>
      </c>
      <c r="H25" s="8">
        <v>10.5</v>
      </c>
      <c r="I25" s="8">
        <v>12.9</v>
      </c>
      <c r="J25" s="8">
        <v>16.2</v>
      </c>
      <c r="K25" s="8">
        <v>23.7</v>
      </c>
    </row>
    <row r="26" spans="1:11">
      <c r="A26" s="5">
        <v>1997</v>
      </c>
      <c r="B26" s="8">
        <v>1.8</v>
      </c>
      <c r="C26" s="8">
        <v>3.9</v>
      </c>
      <c r="D26" s="8">
        <v>5.3</v>
      </c>
      <c r="E26" s="8">
        <v>6.7</v>
      </c>
      <c r="F26" s="8">
        <v>7.7</v>
      </c>
      <c r="G26" s="8">
        <v>8.8000000000000007</v>
      </c>
      <c r="H26" s="8">
        <v>10.4</v>
      </c>
      <c r="I26" s="8">
        <v>12.9</v>
      </c>
      <c r="J26" s="8">
        <v>16.8</v>
      </c>
      <c r="K26" s="8">
        <v>25.9</v>
      </c>
    </row>
    <row r="27" spans="1:11">
      <c r="A27" s="5">
        <v>1998</v>
      </c>
      <c r="B27" s="8">
        <v>2.2000000000000002</v>
      </c>
      <c r="C27" s="8">
        <v>4.4000000000000004</v>
      </c>
      <c r="D27" s="8">
        <v>5.9</v>
      </c>
      <c r="E27" s="8">
        <v>6.9</v>
      </c>
      <c r="F27" s="8">
        <v>7.8</v>
      </c>
      <c r="G27" s="8">
        <v>8.6</v>
      </c>
      <c r="H27" s="8">
        <v>10.7</v>
      </c>
      <c r="I27" s="8">
        <v>12.7</v>
      </c>
      <c r="J27" s="8">
        <v>15.5</v>
      </c>
      <c r="K27" s="8">
        <v>25.4</v>
      </c>
    </row>
    <row r="28" spans="1:11">
      <c r="A28" s="5">
        <v>1999</v>
      </c>
      <c r="B28" s="8">
        <v>1.5</v>
      </c>
      <c r="C28" s="8">
        <v>4.3</v>
      </c>
      <c r="D28" s="8">
        <v>6.2</v>
      </c>
      <c r="E28" s="8">
        <v>6.9</v>
      </c>
      <c r="F28" s="8">
        <v>7.7</v>
      </c>
      <c r="G28" s="8">
        <v>9</v>
      </c>
      <c r="H28" s="8">
        <v>11.2</v>
      </c>
      <c r="I28" s="8">
        <v>13.2</v>
      </c>
      <c r="J28" s="8">
        <v>15.7</v>
      </c>
      <c r="K28" s="8">
        <v>24.3</v>
      </c>
    </row>
    <row r="29" spans="1:11">
      <c r="A29" s="5">
        <v>2000</v>
      </c>
      <c r="B29" s="8">
        <v>1.9</v>
      </c>
      <c r="C29" s="8">
        <v>3.9</v>
      </c>
      <c r="D29" s="8">
        <v>6.1</v>
      </c>
      <c r="E29" s="8">
        <v>6.9</v>
      </c>
      <c r="F29" s="8">
        <v>7.8</v>
      </c>
      <c r="G29" s="8">
        <v>8.6999999999999993</v>
      </c>
      <c r="H29" s="8">
        <v>10.6</v>
      </c>
      <c r="I29" s="8">
        <v>13</v>
      </c>
      <c r="J29" s="8">
        <v>16</v>
      </c>
      <c r="K29" s="8">
        <v>25</v>
      </c>
    </row>
    <row r="30" spans="1:11">
      <c r="A30" s="5">
        <v>2001</v>
      </c>
      <c r="B30" s="8">
        <v>1.8</v>
      </c>
      <c r="C30" s="8">
        <v>3.8</v>
      </c>
      <c r="D30" s="8">
        <v>5.5</v>
      </c>
      <c r="E30" s="8">
        <v>6.4</v>
      </c>
      <c r="F30" s="8">
        <v>7.4</v>
      </c>
      <c r="G30" s="8">
        <v>8.5</v>
      </c>
      <c r="H30" s="8">
        <v>10.199999999999999</v>
      </c>
      <c r="I30" s="8">
        <v>12.1</v>
      </c>
      <c r="J30" s="8">
        <v>15</v>
      </c>
      <c r="K30" s="8">
        <v>29.4</v>
      </c>
    </row>
    <row r="31" spans="1:11">
      <c r="A31" s="5">
        <v>2002</v>
      </c>
      <c r="B31" s="8">
        <v>1.9</v>
      </c>
      <c r="C31" s="8">
        <v>4.2</v>
      </c>
      <c r="D31" s="8">
        <v>6.3</v>
      </c>
      <c r="E31" s="8">
        <v>7.1</v>
      </c>
      <c r="F31" s="8">
        <v>7.9</v>
      </c>
      <c r="G31" s="8">
        <v>8.9</v>
      </c>
      <c r="H31" s="8">
        <v>10.5</v>
      </c>
      <c r="I31" s="8">
        <v>12.5</v>
      </c>
      <c r="J31" s="8">
        <v>15.6</v>
      </c>
      <c r="K31" s="8">
        <v>25.1</v>
      </c>
    </row>
    <row r="32" spans="1:11">
      <c r="A32" s="5">
        <v>2003</v>
      </c>
      <c r="B32" s="8">
        <v>1.5</v>
      </c>
      <c r="C32" s="8">
        <v>4.0999999999999996</v>
      </c>
      <c r="D32" s="8">
        <v>6.4</v>
      </c>
      <c r="E32" s="8">
        <v>7.3</v>
      </c>
      <c r="F32" s="8">
        <v>8.1999999999999993</v>
      </c>
      <c r="G32" s="8">
        <v>9.3000000000000007</v>
      </c>
      <c r="H32" s="8">
        <v>10.8</v>
      </c>
      <c r="I32" s="8">
        <v>12.6</v>
      </c>
      <c r="J32" s="8">
        <v>15.7</v>
      </c>
      <c r="K32" s="8">
        <v>24.1</v>
      </c>
    </row>
    <row r="33" spans="1:11">
      <c r="A33" s="5">
        <v>2004</v>
      </c>
      <c r="B33" s="8">
        <v>2</v>
      </c>
      <c r="C33" s="8">
        <v>4.3</v>
      </c>
      <c r="D33" s="8">
        <v>6.3</v>
      </c>
      <c r="E33" s="8">
        <v>7.4</v>
      </c>
      <c r="F33" s="8">
        <v>8.4</v>
      </c>
      <c r="G33" s="8">
        <v>9.3000000000000007</v>
      </c>
      <c r="H33" s="8">
        <v>10.8</v>
      </c>
      <c r="I33" s="8">
        <v>12.7</v>
      </c>
      <c r="J33" s="8">
        <v>16</v>
      </c>
      <c r="K33" s="8">
        <v>22.9</v>
      </c>
    </row>
    <row r="34" spans="1:11">
      <c r="A34" s="5">
        <v>2005</v>
      </c>
      <c r="B34" s="8">
        <v>2</v>
      </c>
      <c r="C34" s="8">
        <v>3.6</v>
      </c>
      <c r="D34" s="8">
        <v>5.4</v>
      </c>
      <c r="E34" s="8">
        <v>6.7</v>
      </c>
      <c r="F34" s="8">
        <v>7.9</v>
      </c>
      <c r="G34" s="8">
        <v>9.1</v>
      </c>
      <c r="H34" s="8">
        <v>11</v>
      </c>
      <c r="I34" s="8">
        <v>13.3</v>
      </c>
      <c r="J34" s="8">
        <v>17</v>
      </c>
      <c r="K34" s="8">
        <v>24</v>
      </c>
    </row>
    <row r="35" spans="1:11">
      <c r="A35" s="5">
        <v>2006</v>
      </c>
      <c r="B35" s="8">
        <v>1.7</v>
      </c>
      <c r="C35" s="8">
        <v>3.8</v>
      </c>
      <c r="D35" s="8">
        <v>5.8</v>
      </c>
      <c r="E35" s="8">
        <v>6.9</v>
      </c>
      <c r="F35" s="8">
        <v>8.1</v>
      </c>
      <c r="G35" s="8">
        <v>9.4</v>
      </c>
      <c r="H35" s="8">
        <v>11</v>
      </c>
      <c r="I35" s="8">
        <v>13.5</v>
      </c>
      <c r="J35" s="8">
        <v>16.7</v>
      </c>
      <c r="K35" s="8">
        <v>23</v>
      </c>
    </row>
    <row r="36" spans="1:11">
      <c r="A36" s="5">
        <v>2007</v>
      </c>
      <c r="B36" s="8">
        <v>2.1</v>
      </c>
      <c r="C36" s="8">
        <v>4.4000000000000004</v>
      </c>
      <c r="D36" s="8">
        <v>6.1</v>
      </c>
      <c r="E36" s="8">
        <v>7</v>
      </c>
      <c r="F36" s="8">
        <v>7.8</v>
      </c>
      <c r="G36" s="8">
        <v>9</v>
      </c>
      <c r="H36" s="8">
        <v>10.7</v>
      </c>
      <c r="I36" s="8">
        <v>12.9</v>
      </c>
      <c r="J36" s="8">
        <v>16.2</v>
      </c>
      <c r="K36" s="8">
        <v>23.8</v>
      </c>
    </row>
    <row r="37" spans="1:11">
      <c r="A37" s="5">
        <v>2008</v>
      </c>
      <c r="B37" s="8">
        <v>1.4</v>
      </c>
      <c r="C37" s="8">
        <v>3.6</v>
      </c>
      <c r="D37" s="8">
        <v>5.0999999999999996</v>
      </c>
      <c r="E37" s="8">
        <v>6.5</v>
      </c>
      <c r="F37" s="8">
        <v>7.6</v>
      </c>
      <c r="G37" s="8">
        <v>9.1999999999999993</v>
      </c>
      <c r="H37" s="8">
        <v>11.1</v>
      </c>
      <c r="I37" s="8">
        <v>13.1</v>
      </c>
      <c r="J37" s="8">
        <v>15.9</v>
      </c>
      <c r="K37" s="8">
        <v>26.5</v>
      </c>
    </row>
    <row r="38" spans="1:11">
      <c r="A38" s="5">
        <v>2009</v>
      </c>
      <c r="B38" s="8">
        <v>1.6</v>
      </c>
      <c r="C38" s="8">
        <v>3.6</v>
      </c>
      <c r="D38" s="8">
        <v>5.6</v>
      </c>
      <c r="E38" s="8">
        <v>6.7</v>
      </c>
      <c r="F38" s="8">
        <v>7.7</v>
      </c>
      <c r="G38" s="8">
        <v>9.3000000000000007</v>
      </c>
      <c r="H38" s="8">
        <v>11.1</v>
      </c>
      <c r="I38" s="8">
        <v>13</v>
      </c>
      <c r="J38" s="8">
        <v>16</v>
      </c>
      <c r="K38" s="8">
        <v>25.4</v>
      </c>
    </row>
    <row r="39" spans="1:11">
      <c r="A39" s="5">
        <v>2010</v>
      </c>
      <c r="B39" s="8">
        <v>2</v>
      </c>
      <c r="C39" s="8">
        <v>3.9</v>
      </c>
      <c r="D39" s="8">
        <v>6</v>
      </c>
      <c r="E39" s="8">
        <v>6.9</v>
      </c>
      <c r="F39" s="8">
        <v>7.9</v>
      </c>
      <c r="G39" s="8">
        <v>9.1999999999999993</v>
      </c>
      <c r="H39" s="8">
        <v>11.1</v>
      </c>
      <c r="I39" s="8">
        <v>12.9</v>
      </c>
      <c r="J39" s="8">
        <v>15.6</v>
      </c>
      <c r="K39" s="8">
        <v>24.4</v>
      </c>
    </row>
    <row r="40" spans="1:11">
      <c r="A40" s="5">
        <v>2011</v>
      </c>
      <c r="B40" s="8">
        <v>2.1</v>
      </c>
      <c r="C40" s="8">
        <v>4.3</v>
      </c>
      <c r="D40" s="8">
        <v>6.2</v>
      </c>
      <c r="E40" s="8">
        <v>7</v>
      </c>
      <c r="F40" s="8">
        <v>7.8</v>
      </c>
      <c r="G40" s="8">
        <v>9.1999999999999993</v>
      </c>
      <c r="H40" s="8">
        <v>11</v>
      </c>
      <c r="I40" s="8">
        <v>13</v>
      </c>
      <c r="J40" s="8">
        <v>15.5</v>
      </c>
      <c r="K40" s="8">
        <v>24</v>
      </c>
    </row>
    <row r="41" spans="1:11">
      <c r="A41" s="5">
        <v>2012</v>
      </c>
      <c r="B41" s="8">
        <v>1.1000000000000001</v>
      </c>
      <c r="C41" s="8">
        <v>3.8</v>
      </c>
      <c r="D41" s="8">
        <v>6</v>
      </c>
      <c r="E41" s="8">
        <v>6.8</v>
      </c>
      <c r="F41" s="8">
        <v>7.8</v>
      </c>
      <c r="G41" s="8">
        <v>9.3000000000000007</v>
      </c>
      <c r="H41" s="8">
        <v>11</v>
      </c>
      <c r="I41" s="8">
        <v>12.9</v>
      </c>
      <c r="J41" s="8">
        <v>16.100000000000001</v>
      </c>
      <c r="K41" s="8">
        <v>25.3</v>
      </c>
    </row>
    <row r="42" spans="1:11">
      <c r="A42" s="5">
        <v>2013</v>
      </c>
      <c r="B42" s="8">
        <v>1.1000000000000001</v>
      </c>
      <c r="C42" s="8">
        <v>4.4000000000000004</v>
      </c>
      <c r="D42" s="8">
        <v>6.2</v>
      </c>
      <c r="E42" s="8">
        <v>7.1</v>
      </c>
      <c r="F42" s="8">
        <v>8</v>
      </c>
      <c r="G42" s="8">
        <v>9.3000000000000007</v>
      </c>
      <c r="H42" s="8">
        <v>11.1</v>
      </c>
      <c r="I42" s="8">
        <v>13.1</v>
      </c>
      <c r="J42" s="8">
        <v>16.100000000000001</v>
      </c>
      <c r="K42" s="8">
        <v>23.7</v>
      </c>
    </row>
    <row r="43" spans="1:11">
      <c r="A43" s="5">
        <v>2014</v>
      </c>
      <c r="B43" s="8">
        <v>1.8</v>
      </c>
      <c r="C43" s="8">
        <v>4.5999999999999996</v>
      </c>
      <c r="D43" s="8">
        <v>6</v>
      </c>
      <c r="E43" s="8">
        <v>6.8</v>
      </c>
      <c r="F43" s="8">
        <v>7.7</v>
      </c>
      <c r="G43" s="8">
        <v>9</v>
      </c>
      <c r="H43" s="8">
        <v>10.3</v>
      </c>
      <c r="I43" s="8">
        <v>12.1</v>
      </c>
      <c r="J43" s="8">
        <v>15.4</v>
      </c>
      <c r="K43" s="8">
        <v>26.4</v>
      </c>
    </row>
    <row r="44" spans="1:11">
      <c r="A44" s="5">
        <v>2015</v>
      </c>
      <c r="B44" s="8">
        <v>1.2</v>
      </c>
      <c r="C44" s="8">
        <v>3.5</v>
      </c>
      <c r="D44" s="8">
        <v>5.7</v>
      </c>
      <c r="E44" s="8">
        <v>6.9</v>
      </c>
      <c r="F44" s="8">
        <v>7.9</v>
      </c>
      <c r="G44" s="8">
        <v>9.1</v>
      </c>
      <c r="H44" s="8">
        <v>10.4</v>
      </c>
      <c r="I44" s="8">
        <v>12.9</v>
      </c>
      <c r="J44" s="8">
        <v>16.2</v>
      </c>
      <c r="K44" s="8">
        <v>26.2</v>
      </c>
    </row>
    <row r="45" spans="1:11">
      <c r="A45" s="5">
        <v>2016</v>
      </c>
      <c r="B45" s="8">
        <v>2</v>
      </c>
      <c r="C45" s="8">
        <v>4.2</v>
      </c>
      <c r="D45" s="8">
        <v>6.2</v>
      </c>
      <c r="E45" s="8">
        <v>7.1</v>
      </c>
      <c r="F45" s="8">
        <v>8.1999999999999993</v>
      </c>
      <c r="G45" s="8">
        <v>9.5</v>
      </c>
      <c r="H45" s="8">
        <v>11.5</v>
      </c>
      <c r="I45" s="8">
        <v>13.1</v>
      </c>
      <c r="J45" s="8">
        <v>15.9</v>
      </c>
      <c r="K45" s="8">
        <v>22.4</v>
      </c>
    </row>
    <row r="46" spans="1:11">
      <c r="A46" s="5">
        <v>2017</v>
      </c>
      <c r="B46" s="8">
        <v>1.3</v>
      </c>
      <c r="C46" s="8">
        <v>4.7</v>
      </c>
      <c r="D46" s="8">
        <v>6.3</v>
      </c>
      <c r="E46" s="8">
        <v>6.9</v>
      </c>
      <c r="F46" s="8">
        <v>8</v>
      </c>
      <c r="G46" s="8">
        <v>9.4</v>
      </c>
      <c r="H46" s="8">
        <v>10.8</v>
      </c>
      <c r="I46" s="8">
        <v>12.6</v>
      </c>
      <c r="J46" s="8">
        <v>16.100000000000001</v>
      </c>
      <c r="K46" s="8">
        <v>23.9</v>
      </c>
    </row>
    <row r="47" spans="1:11">
      <c r="A47" s="5">
        <v>2018</v>
      </c>
      <c r="B47" s="8">
        <v>1.7</v>
      </c>
      <c r="C47" s="8">
        <v>4.4000000000000004</v>
      </c>
      <c r="D47" s="8">
        <v>6.2</v>
      </c>
      <c r="E47" s="8">
        <v>6.9</v>
      </c>
      <c r="F47" s="8">
        <v>7.9</v>
      </c>
      <c r="G47" s="8">
        <v>9.1</v>
      </c>
      <c r="H47" s="8">
        <v>10.7</v>
      </c>
      <c r="I47" s="8">
        <v>12.7</v>
      </c>
      <c r="J47" s="8">
        <v>15.3</v>
      </c>
      <c r="K47" s="8">
        <v>25.2</v>
      </c>
    </row>
    <row r="48" spans="1:11">
      <c r="A48" s="5">
        <v>2019</v>
      </c>
      <c r="B48" s="8">
        <v>2.1</v>
      </c>
      <c r="C48" s="8">
        <v>5.2</v>
      </c>
      <c r="D48" s="8">
        <v>6.3</v>
      </c>
      <c r="E48" s="8">
        <v>7</v>
      </c>
      <c r="F48" s="8">
        <v>8</v>
      </c>
      <c r="G48" s="8">
        <v>9.4</v>
      </c>
      <c r="H48" s="8">
        <v>10.6</v>
      </c>
      <c r="I48" s="8">
        <v>12.3</v>
      </c>
      <c r="J48" s="8">
        <v>15</v>
      </c>
      <c r="K48" s="8">
        <v>24.2</v>
      </c>
    </row>
    <row r="50" spans="1:11">
      <c r="A50" s="22" t="s">
        <v>134</v>
      </c>
      <c r="B50" s="8">
        <f>B48-B6</f>
        <v>1.4000000000000001</v>
      </c>
      <c r="C50" s="8">
        <f t="shared" ref="C50:K50" si="0">C48-C6</f>
        <v>0.90000000000000036</v>
      </c>
      <c r="D50" s="8">
        <f t="shared" si="0"/>
        <v>1</v>
      </c>
      <c r="E50" s="8">
        <f t="shared" si="0"/>
        <v>1.2000000000000002</v>
      </c>
      <c r="F50" s="8">
        <f t="shared" si="0"/>
        <v>0.79999999999999982</v>
      </c>
      <c r="G50" s="8">
        <f t="shared" si="0"/>
        <v>0.40000000000000036</v>
      </c>
      <c r="H50" s="8">
        <f t="shared" si="0"/>
        <v>-0.20000000000000107</v>
      </c>
      <c r="I50" s="8">
        <f t="shared" si="0"/>
        <v>-0.79999999999999893</v>
      </c>
      <c r="J50" s="8">
        <f t="shared" si="0"/>
        <v>-2.6000000000000014</v>
      </c>
      <c r="K50" s="8">
        <f t="shared" si="0"/>
        <v>-2</v>
      </c>
    </row>
    <row r="51" spans="1:11">
      <c r="A51" s="22" t="s">
        <v>135</v>
      </c>
      <c r="B51" s="8">
        <f>B29-B6</f>
        <v>1.2</v>
      </c>
      <c r="C51" s="8">
        <f t="shared" ref="C51:K51" si="1">C29-C6</f>
        <v>-0.39999999999999991</v>
      </c>
      <c r="D51" s="8">
        <f t="shared" si="1"/>
        <v>0.79999999999999982</v>
      </c>
      <c r="E51" s="8">
        <f t="shared" si="1"/>
        <v>1.1000000000000005</v>
      </c>
      <c r="F51" s="8">
        <f t="shared" si="1"/>
        <v>0.59999999999999964</v>
      </c>
      <c r="G51" s="8">
        <f t="shared" si="1"/>
        <v>-0.30000000000000071</v>
      </c>
      <c r="H51" s="8">
        <f t="shared" si="1"/>
        <v>-0.20000000000000107</v>
      </c>
      <c r="I51" s="8">
        <f t="shared" si="1"/>
        <v>-9.9999999999999645E-2</v>
      </c>
      <c r="J51" s="8">
        <f t="shared" si="1"/>
        <v>-1.6000000000000014</v>
      </c>
      <c r="K51" s="8">
        <f t="shared" si="1"/>
        <v>-1.1999999999999993</v>
      </c>
    </row>
    <row r="52" spans="1:11">
      <c r="A52" s="22" t="s">
        <v>24</v>
      </c>
      <c r="B52" s="8">
        <f>B48-B29</f>
        <v>0.20000000000000018</v>
      </c>
      <c r="C52" s="8">
        <f t="shared" ref="C52:K52" si="2">C48-C29</f>
        <v>1.3000000000000003</v>
      </c>
      <c r="D52" s="8">
        <f t="shared" si="2"/>
        <v>0.20000000000000018</v>
      </c>
      <c r="E52" s="8">
        <f t="shared" si="2"/>
        <v>9.9999999999999645E-2</v>
      </c>
      <c r="F52" s="8">
        <f t="shared" si="2"/>
        <v>0.20000000000000018</v>
      </c>
      <c r="G52" s="8">
        <f t="shared" si="2"/>
        <v>0.70000000000000107</v>
      </c>
      <c r="H52" s="8">
        <f t="shared" si="2"/>
        <v>0</v>
      </c>
      <c r="I52" s="8">
        <f t="shared" si="2"/>
        <v>-0.69999999999999929</v>
      </c>
      <c r="J52" s="8">
        <f t="shared" si="2"/>
        <v>-1</v>
      </c>
      <c r="K52" s="8">
        <f t="shared" si="2"/>
        <v>-0.80000000000000071</v>
      </c>
    </row>
    <row r="53" spans="1:11">
      <c r="A53" s="22"/>
      <c r="B53" s="135"/>
      <c r="C53" s="135"/>
      <c r="D53" s="135"/>
      <c r="E53" s="135"/>
      <c r="F53" s="135"/>
      <c r="G53" s="135"/>
      <c r="H53" s="135"/>
      <c r="I53" s="135"/>
      <c r="J53" s="135"/>
      <c r="K53" s="135"/>
    </row>
    <row r="54" spans="1:11">
      <c r="A54" s="22"/>
      <c r="B54" s="135"/>
      <c r="C54" s="135"/>
      <c r="D54" s="135"/>
      <c r="E54" s="135"/>
      <c r="F54" s="135"/>
      <c r="G54" s="135"/>
      <c r="H54" s="135"/>
      <c r="I54" s="135"/>
      <c r="J54" s="135"/>
      <c r="K54" s="135"/>
    </row>
    <row r="55" spans="1:11">
      <c r="A55" s="22" t="s">
        <v>180</v>
      </c>
      <c r="B55" s="135"/>
      <c r="C55" s="135"/>
      <c r="D55" s="135"/>
      <c r="E55" s="135"/>
      <c r="F55" s="135"/>
      <c r="G55" s="135"/>
      <c r="H55" s="135"/>
      <c r="I55" s="135"/>
      <c r="J55" s="135"/>
      <c r="K55" s="135"/>
    </row>
    <row r="56" spans="1:11">
      <c r="A56" s="22"/>
      <c r="B56" s="135"/>
      <c r="C56" s="135"/>
      <c r="D56" s="135"/>
      <c r="E56" s="135"/>
      <c r="F56" s="135"/>
      <c r="G56" s="135"/>
      <c r="H56" s="135"/>
      <c r="I56" s="135"/>
      <c r="J56" s="135"/>
      <c r="K56" s="135"/>
    </row>
    <row r="57" spans="1:11" ht="34">
      <c r="A57" s="22"/>
      <c r="B57" s="137" t="s">
        <v>103</v>
      </c>
      <c r="C57" s="137" t="s">
        <v>104</v>
      </c>
      <c r="D57" s="137" t="s">
        <v>105</v>
      </c>
      <c r="E57" s="137" t="s">
        <v>106</v>
      </c>
      <c r="F57" s="137" t="s">
        <v>107</v>
      </c>
      <c r="G57" s="135"/>
      <c r="H57" s="135"/>
      <c r="I57" s="135"/>
      <c r="J57" s="135"/>
      <c r="K57" s="135"/>
    </row>
    <row r="58" spans="1:11">
      <c r="A58" s="22">
        <v>1977</v>
      </c>
      <c r="B58" s="8">
        <f>B6+C6</f>
        <v>5</v>
      </c>
      <c r="C58" s="8">
        <f>D6+E6</f>
        <v>11.1</v>
      </c>
      <c r="D58" s="8">
        <f>F6+G6</f>
        <v>16.2</v>
      </c>
      <c r="E58" s="8">
        <f>H6+I6</f>
        <v>23.9</v>
      </c>
      <c r="F58" s="8">
        <f>J6+K6</f>
        <v>43.8</v>
      </c>
      <c r="G58" s="135"/>
      <c r="H58" s="135"/>
      <c r="I58" s="135"/>
      <c r="J58" s="135"/>
      <c r="K58" s="135"/>
    </row>
    <row r="59" spans="1:11">
      <c r="A59" s="22">
        <v>1978</v>
      </c>
      <c r="B59" s="8"/>
      <c r="C59" s="8"/>
      <c r="D59" s="8"/>
      <c r="E59" s="8"/>
      <c r="F59" s="8"/>
      <c r="G59" s="135"/>
      <c r="H59" s="135"/>
      <c r="I59" s="135"/>
      <c r="J59" s="135"/>
      <c r="K59" s="135"/>
    </row>
    <row r="60" spans="1:11">
      <c r="A60" s="22">
        <v>1979</v>
      </c>
      <c r="B60" s="8">
        <f>B8+C8</f>
        <v>6.2</v>
      </c>
      <c r="C60" s="8">
        <f>D8+E8</f>
        <v>11.2</v>
      </c>
      <c r="D60" s="8">
        <f>F8+G8</f>
        <v>15.899999999999999</v>
      </c>
      <c r="E60" s="8">
        <f>H8+I8</f>
        <v>23.6</v>
      </c>
      <c r="F60" s="8">
        <f>J8+K8</f>
        <v>43.3</v>
      </c>
      <c r="G60" s="135"/>
      <c r="H60" s="135"/>
      <c r="I60" s="135"/>
      <c r="J60" s="135"/>
      <c r="K60" s="135"/>
    </row>
    <row r="61" spans="1:11">
      <c r="A61" s="22">
        <v>1980</v>
      </c>
      <c r="B61" s="8"/>
      <c r="C61" s="8"/>
      <c r="D61" s="8"/>
      <c r="E61" s="8"/>
      <c r="F61" s="8"/>
      <c r="G61" s="135"/>
      <c r="H61" s="135"/>
      <c r="I61" s="135"/>
      <c r="J61" s="135"/>
      <c r="K61" s="135"/>
    </row>
    <row r="62" spans="1:11">
      <c r="A62" s="22">
        <v>1981</v>
      </c>
      <c r="B62" s="8">
        <f>B10+C10</f>
        <v>6.7</v>
      </c>
      <c r="C62" s="8">
        <f>D10+E10</f>
        <v>11.899999999999999</v>
      </c>
      <c r="D62" s="8">
        <f>F10+G10</f>
        <v>16.399999999999999</v>
      </c>
      <c r="E62" s="8">
        <f>H10+I10</f>
        <v>23.9</v>
      </c>
      <c r="F62" s="8">
        <f>J10+K10</f>
        <v>41.1</v>
      </c>
      <c r="G62" s="135"/>
      <c r="H62" s="135"/>
      <c r="I62" s="135"/>
      <c r="J62" s="135"/>
      <c r="K62" s="135"/>
    </row>
    <row r="63" spans="1:11">
      <c r="A63" s="22">
        <v>1982</v>
      </c>
      <c r="B63" s="8">
        <f>B11+C11</f>
        <v>5.7</v>
      </c>
      <c r="C63" s="8">
        <f>D11+E11</f>
        <v>11.8</v>
      </c>
      <c r="D63" s="8">
        <f>F11+G11</f>
        <v>15.7</v>
      </c>
      <c r="E63" s="8">
        <f>H11+I11</f>
        <v>23.9</v>
      </c>
      <c r="F63" s="8">
        <f>J11+K11</f>
        <v>42.7</v>
      </c>
      <c r="G63" s="135"/>
      <c r="H63" s="135"/>
      <c r="I63" s="135"/>
      <c r="J63" s="135"/>
      <c r="K63" s="135"/>
    </row>
    <row r="64" spans="1:11">
      <c r="A64" s="22">
        <v>1983</v>
      </c>
      <c r="B64" s="8"/>
      <c r="C64" s="8"/>
      <c r="D64" s="8"/>
      <c r="E64" s="8"/>
      <c r="F64" s="8"/>
      <c r="G64" s="135"/>
      <c r="H64" s="135"/>
      <c r="I64" s="135"/>
      <c r="J64" s="135"/>
      <c r="K64" s="135"/>
    </row>
    <row r="65" spans="1:11">
      <c r="A65" s="22">
        <v>1984</v>
      </c>
      <c r="B65" s="8">
        <f t="shared" ref="B65:B100" si="3">B13+C13</f>
        <v>5.4</v>
      </c>
      <c r="C65" s="8">
        <f t="shared" ref="C65:C100" si="4">D13+E13</f>
        <v>11.5</v>
      </c>
      <c r="D65" s="8">
        <f t="shared" ref="D65:D100" si="5">F13+G13</f>
        <v>15.6</v>
      </c>
      <c r="E65" s="8">
        <f t="shared" ref="E65:E100" si="6">H13+I13</f>
        <v>23.200000000000003</v>
      </c>
      <c r="F65" s="8">
        <f t="shared" ref="F65:F100" si="7">J13+K13</f>
        <v>44.3</v>
      </c>
      <c r="G65" s="135"/>
      <c r="H65" s="135"/>
      <c r="I65" s="135"/>
      <c r="J65" s="135"/>
      <c r="K65" s="135"/>
    </row>
    <row r="66" spans="1:11">
      <c r="A66" s="22">
        <v>1985</v>
      </c>
      <c r="B66" s="8">
        <f t="shared" si="3"/>
        <v>5.7</v>
      </c>
      <c r="C66" s="8">
        <f t="shared" si="4"/>
        <v>12.3</v>
      </c>
      <c r="D66" s="8">
        <f t="shared" si="5"/>
        <v>16.200000000000003</v>
      </c>
      <c r="E66" s="8">
        <f t="shared" si="6"/>
        <v>23.8</v>
      </c>
      <c r="F66" s="8">
        <f t="shared" si="7"/>
        <v>42.099999999999994</v>
      </c>
      <c r="G66" s="135"/>
      <c r="H66" s="135"/>
      <c r="I66" s="135"/>
      <c r="J66" s="135"/>
      <c r="K66" s="135"/>
    </row>
    <row r="67" spans="1:11">
      <c r="A67" s="22">
        <v>1986</v>
      </c>
      <c r="B67" s="8">
        <f t="shared" si="3"/>
        <v>6.1</v>
      </c>
      <c r="C67" s="8">
        <f t="shared" si="4"/>
        <v>12</v>
      </c>
      <c r="D67" s="8">
        <f t="shared" si="5"/>
        <v>15.8</v>
      </c>
      <c r="E67" s="8">
        <f t="shared" si="6"/>
        <v>23</v>
      </c>
      <c r="F67" s="8">
        <f t="shared" si="7"/>
        <v>43</v>
      </c>
      <c r="G67" s="135"/>
      <c r="H67" s="135"/>
      <c r="I67" s="135"/>
      <c r="J67" s="135"/>
      <c r="K67" s="135"/>
    </row>
    <row r="68" spans="1:11">
      <c r="A68" s="22">
        <v>1987</v>
      </c>
      <c r="B68" s="8">
        <f t="shared" si="3"/>
        <v>6.6</v>
      </c>
      <c r="C68" s="8">
        <f t="shared" si="4"/>
        <v>13.399999999999999</v>
      </c>
      <c r="D68" s="8">
        <f t="shared" si="5"/>
        <v>16.600000000000001</v>
      </c>
      <c r="E68" s="8">
        <f t="shared" si="6"/>
        <v>23.7</v>
      </c>
      <c r="F68" s="8">
        <f t="shared" si="7"/>
        <v>39.700000000000003</v>
      </c>
      <c r="G68" s="135"/>
      <c r="H68" s="135"/>
      <c r="I68" s="135"/>
      <c r="J68" s="135"/>
      <c r="K68" s="135"/>
    </row>
    <row r="69" spans="1:11">
      <c r="A69" s="22">
        <v>1988</v>
      </c>
      <c r="B69" s="8">
        <f t="shared" si="3"/>
        <v>7.4</v>
      </c>
      <c r="C69" s="8">
        <f t="shared" si="4"/>
        <v>12.7</v>
      </c>
      <c r="D69" s="8">
        <f t="shared" si="5"/>
        <v>16.7</v>
      </c>
      <c r="E69" s="8">
        <f t="shared" si="6"/>
        <v>22.8</v>
      </c>
      <c r="F69" s="8">
        <f t="shared" si="7"/>
        <v>40.299999999999997</v>
      </c>
      <c r="G69" s="135"/>
      <c r="H69" s="135"/>
      <c r="I69" s="135"/>
      <c r="J69" s="135"/>
      <c r="K69" s="135"/>
    </row>
    <row r="70" spans="1:11">
      <c r="A70" s="22">
        <v>1989</v>
      </c>
      <c r="B70" s="8">
        <f t="shared" si="3"/>
        <v>7.6000000000000005</v>
      </c>
      <c r="C70" s="8">
        <f t="shared" si="4"/>
        <v>12.899999999999999</v>
      </c>
      <c r="D70" s="8">
        <f t="shared" si="5"/>
        <v>16.399999999999999</v>
      </c>
      <c r="E70" s="8">
        <f t="shared" si="6"/>
        <v>24.1</v>
      </c>
      <c r="F70" s="8">
        <f t="shared" si="7"/>
        <v>39.1</v>
      </c>
      <c r="G70" s="135"/>
      <c r="H70" s="135"/>
      <c r="I70" s="135"/>
      <c r="J70" s="135"/>
      <c r="K70" s="135"/>
    </row>
    <row r="71" spans="1:11">
      <c r="A71" s="22">
        <v>1990</v>
      </c>
      <c r="B71" s="8">
        <f t="shared" si="3"/>
        <v>6.7</v>
      </c>
      <c r="C71" s="8">
        <f t="shared" si="4"/>
        <v>13</v>
      </c>
      <c r="D71" s="8">
        <f t="shared" si="5"/>
        <v>16.5</v>
      </c>
      <c r="E71" s="8">
        <f t="shared" si="6"/>
        <v>23.9</v>
      </c>
      <c r="F71" s="8">
        <f t="shared" si="7"/>
        <v>40</v>
      </c>
      <c r="G71" s="135"/>
      <c r="H71" s="135"/>
      <c r="I71" s="135"/>
      <c r="J71" s="135"/>
      <c r="K71" s="135"/>
    </row>
    <row r="72" spans="1:11">
      <c r="A72" s="22">
        <v>1991</v>
      </c>
      <c r="B72" s="8">
        <f t="shared" si="3"/>
        <v>6.3999999999999995</v>
      </c>
      <c r="C72" s="8">
        <f t="shared" si="4"/>
        <v>12.8</v>
      </c>
      <c r="D72" s="8">
        <f t="shared" si="5"/>
        <v>16.2</v>
      </c>
      <c r="E72" s="8">
        <f t="shared" si="6"/>
        <v>23</v>
      </c>
      <c r="F72" s="8">
        <f t="shared" si="7"/>
        <v>41.5</v>
      </c>
      <c r="G72" s="135"/>
      <c r="H72" s="135"/>
      <c r="I72" s="135"/>
      <c r="J72" s="135"/>
      <c r="K72" s="135"/>
    </row>
    <row r="73" spans="1:11">
      <c r="A73" s="22">
        <v>1992</v>
      </c>
      <c r="B73" s="8">
        <f t="shared" si="3"/>
        <v>7.1</v>
      </c>
      <c r="C73" s="8">
        <f t="shared" si="4"/>
        <v>13.2</v>
      </c>
      <c r="D73" s="8">
        <f t="shared" si="5"/>
        <v>17</v>
      </c>
      <c r="E73" s="8">
        <f t="shared" si="6"/>
        <v>23.3</v>
      </c>
      <c r="F73" s="8">
        <f t="shared" si="7"/>
        <v>39.299999999999997</v>
      </c>
      <c r="G73" s="135"/>
      <c r="H73" s="135"/>
      <c r="I73" s="135"/>
      <c r="J73" s="135"/>
      <c r="K73" s="135"/>
    </row>
    <row r="74" spans="1:11">
      <c r="A74" s="22">
        <v>1993</v>
      </c>
      <c r="B74" s="8">
        <f t="shared" si="3"/>
        <v>6.6</v>
      </c>
      <c r="C74" s="8">
        <f t="shared" si="4"/>
        <v>12.9</v>
      </c>
      <c r="D74" s="8">
        <f t="shared" si="5"/>
        <v>16.5</v>
      </c>
      <c r="E74" s="8">
        <f t="shared" si="6"/>
        <v>22.9</v>
      </c>
      <c r="F74" s="8">
        <f t="shared" si="7"/>
        <v>41.2</v>
      </c>
      <c r="G74" s="135"/>
      <c r="H74" s="135"/>
      <c r="I74" s="135"/>
      <c r="J74" s="135"/>
      <c r="K74" s="135"/>
    </row>
    <row r="75" spans="1:11">
      <c r="A75" s="22">
        <v>1994</v>
      </c>
      <c r="B75" s="8">
        <f t="shared" si="3"/>
        <v>6.5</v>
      </c>
      <c r="C75" s="8">
        <f t="shared" si="4"/>
        <v>13.2</v>
      </c>
      <c r="D75" s="8">
        <f t="shared" si="5"/>
        <v>16.899999999999999</v>
      </c>
      <c r="E75" s="8">
        <f t="shared" si="6"/>
        <v>23.200000000000003</v>
      </c>
      <c r="F75" s="8">
        <f t="shared" si="7"/>
        <v>40.200000000000003</v>
      </c>
      <c r="G75" s="135"/>
      <c r="H75" s="135"/>
      <c r="I75" s="135"/>
      <c r="J75" s="135"/>
      <c r="K75" s="135"/>
    </row>
    <row r="76" spans="1:11">
      <c r="A76" s="22">
        <v>1995</v>
      </c>
      <c r="B76" s="8">
        <f t="shared" si="3"/>
        <v>6.5</v>
      </c>
      <c r="C76" s="8">
        <f t="shared" si="4"/>
        <v>13.1</v>
      </c>
      <c r="D76" s="8">
        <f t="shared" si="5"/>
        <v>16.5</v>
      </c>
      <c r="E76" s="8">
        <f t="shared" si="6"/>
        <v>23.4</v>
      </c>
      <c r="F76" s="8">
        <f t="shared" si="7"/>
        <v>40.400000000000006</v>
      </c>
      <c r="G76" s="135"/>
      <c r="H76" s="135"/>
      <c r="I76" s="135"/>
      <c r="J76" s="135"/>
      <c r="K76" s="135"/>
    </row>
    <row r="77" spans="1:11">
      <c r="A77" s="22">
        <v>1996</v>
      </c>
      <c r="B77" s="8">
        <f t="shared" si="3"/>
        <v>6.6</v>
      </c>
      <c r="C77" s="8">
        <f t="shared" si="4"/>
        <v>13.1</v>
      </c>
      <c r="D77" s="8">
        <f t="shared" si="5"/>
        <v>17</v>
      </c>
      <c r="E77" s="8">
        <f t="shared" si="6"/>
        <v>23.4</v>
      </c>
      <c r="F77" s="8">
        <f t="shared" si="7"/>
        <v>39.9</v>
      </c>
      <c r="G77" s="135"/>
      <c r="H77" s="135"/>
      <c r="I77" s="135"/>
      <c r="J77" s="135"/>
      <c r="K77" s="135"/>
    </row>
    <row r="78" spans="1:11">
      <c r="A78" s="22">
        <v>1997</v>
      </c>
      <c r="B78" s="8">
        <f t="shared" si="3"/>
        <v>5.7</v>
      </c>
      <c r="C78" s="8">
        <f t="shared" si="4"/>
        <v>12</v>
      </c>
      <c r="D78" s="8">
        <f t="shared" si="5"/>
        <v>16.5</v>
      </c>
      <c r="E78" s="8">
        <f t="shared" si="6"/>
        <v>23.3</v>
      </c>
      <c r="F78" s="8">
        <f t="shared" si="7"/>
        <v>42.7</v>
      </c>
      <c r="G78" s="135"/>
      <c r="H78" s="135"/>
      <c r="I78" s="135"/>
      <c r="J78" s="135"/>
      <c r="K78" s="135"/>
    </row>
    <row r="79" spans="1:11">
      <c r="A79" s="22">
        <v>1998</v>
      </c>
      <c r="B79" s="8">
        <f t="shared" si="3"/>
        <v>6.6000000000000005</v>
      </c>
      <c r="C79" s="8">
        <f t="shared" si="4"/>
        <v>12.8</v>
      </c>
      <c r="D79" s="8">
        <f t="shared" si="5"/>
        <v>16.399999999999999</v>
      </c>
      <c r="E79" s="8">
        <f t="shared" si="6"/>
        <v>23.4</v>
      </c>
      <c r="F79" s="8">
        <f t="shared" si="7"/>
        <v>40.9</v>
      </c>
      <c r="G79" s="135"/>
      <c r="H79" s="135"/>
      <c r="I79" s="135"/>
      <c r="J79" s="135"/>
      <c r="K79" s="135"/>
    </row>
    <row r="80" spans="1:11">
      <c r="A80" s="22">
        <v>1999</v>
      </c>
      <c r="B80" s="8">
        <f t="shared" si="3"/>
        <v>5.8</v>
      </c>
      <c r="C80" s="8">
        <f t="shared" si="4"/>
        <v>13.100000000000001</v>
      </c>
      <c r="D80" s="8">
        <f t="shared" si="5"/>
        <v>16.7</v>
      </c>
      <c r="E80" s="8">
        <f t="shared" si="6"/>
        <v>24.4</v>
      </c>
      <c r="F80" s="8">
        <f t="shared" si="7"/>
        <v>40</v>
      </c>
      <c r="G80" s="135"/>
      <c r="H80" s="135"/>
      <c r="I80" s="135"/>
      <c r="J80" s="135"/>
      <c r="K80" s="135"/>
    </row>
    <row r="81" spans="1:14">
      <c r="A81" s="22">
        <v>2000</v>
      </c>
      <c r="B81" s="8">
        <f t="shared" si="3"/>
        <v>5.8</v>
      </c>
      <c r="C81" s="8">
        <f t="shared" si="4"/>
        <v>13</v>
      </c>
      <c r="D81" s="8">
        <f t="shared" si="5"/>
        <v>16.5</v>
      </c>
      <c r="E81" s="8">
        <f t="shared" si="6"/>
        <v>23.6</v>
      </c>
      <c r="F81" s="8">
        <f t="shared" si="7"/>
        <v>41</v>
      </c>
      <c r="G81" s="135"/>
      <c r="H81" s="135"/>
      <c r="I81" s="135"/>
      <c r="J81" s="135"/>
      <c r="K81" s="135"/>
    </row>
    <row r="82" spans="1:14">
      <c r="A82" s="22">
        <v>2001</v>
      </c>
      <c r="B82" s="8">
        <f t="shared" si="3"/>
        <v>5.6</v>
      </c>
      <c r="C82" s="8">
        <f t="shared" si="4"/>
        <v>11.9</v>
      </c>
      <c r="D82" s="8">
        <f t="shared" si="5"/>
        <v>15.9</v>
      </c>
      <c r="E82" s="8">
        <f t="shared" si="6"/>
        <v>22.299999999999997</v>
      </c>
      <c r="F82" s="8">
        <f t="shared" si="7"/>
        <v>44.4</v>
      </c>
      <c r="G82" s="135"/>
      <c r="H82" s="135"/>
      <c r="I82" s="135"/>
      <c r="J82" s="135"/>
      <c r="K82" s="135"/>
    </row>
    <row r="83" spans="1:14">
      <c r="A83" s="22">
        <v>2002</v>
      </c>
      <c r="B83" s="8">
        <f t="shared" si="3"/>
        <v>6.1</v>
      </c>
      <c r="C83" s="8">
        <f t="shared" si="4"/>
        <v>13.399999999999999</v>
      </c>
      <c r="D83" s="8">
        <f t="shared" si="5"/>
        <v>16.8</v>
      </c>
      <c r="E83" s="8">
        <f t="shared" si="6"/>
        <v>23</v>
      </c>
      <c r="F83" s="8">
        <f t="shared" si="7"/>
        <v>40.700000000000003</v>
      </c>
      <c r="G83" s="135"/>
      <c r="H83" s="135"/>
      <c r="I83" s="135"/>
      <c r="J83" s="135"/>
      <c r="K83" s="135"/>
    </row>
    <row r="84" spans="1:14">
      <c r="A84" s="22">
        <v>2003</v>
      </c>
      <c r="B84" s="8">
        <f t="shared" si="3"/>
        <v>5.6</v>
      </c>
      <c r="C84" s="8">
        <f t="shared" si="4"/>
        <v>13.7</v>
      </c>
      <c r="D84" s="8">
        <f t="shared" si="5"/>
        <v>17.5</v>
      </c>
      <c r="E84" s="8">
        <f t="shared" si="6"/>
        <v>23.4</v>
      </c>
      <c r="F84" s="8">
        <f t="shared" si="7"/>
        <v>39.799999999999997</v>
      </c>
      <c r="G84" s="135"/>
      <c r="H84" s="135"/>
      <c r="I84" s="135"/>
      <c r="J84" s="135"/>
      <c r="K84" s="135"/>
    </row>
    <row r="85" spans="1:14">
      <c r="A85" s="22">
        <v>2004</v>
      </c>
      <c r="B85" s="8">
        <f t="shared" si="3"/>
        <v>6.3</v>
      </c>
      <c r="C85" s="8">
        <f t="shared" si="4"/>
        <v>13.7</v>
      </c>
      <c r="D85" s="8">
        <f t="shared" si="5"/>
        <v>17.700000000000003</v>
      </c>
      <c r="E85" s="8">
        <f t="shared" si="6"/>
        <v>23.5</v>
      </c>
      <c r="F85" s="8">
        <f t="shared" si="7"/>
        <v>38.9</v>
      </c>
      <c r="G85" s="135"/>
      <c r="H85" s="135"/>
      <c r="I85" s="135"/>
      <c r="J85" s="135"/>
      <c r="K85" s="135"/>
    </row>
    <row r="86" spans="1:14">
      <c r="A86" s="22">
        <v>2005</v>
      </c>
      <c r="B86" s="8">
        <f t="shared" si="3"/>
        <v>5.6</v>
      </c>
      <c r="C86" s="8">
        <f t="shared" si="4"/>
        <v>12.100000000000001</v>
      </c>
      <c r="D86" s="8">
        <f t="shared" si="5"/>
        <v>17</v>
      </c>
      <c r="E86" s="8">
        <f t="shared" si="6"/>
        <v>24.3</v>
      </c>
      <c r="F86" s="8">
        <f t="shared" si="7"/>
        <v>41</v>
      </c>
      <c r="G86" s="135"/>
      <c r="H86" s="135"/>
      <c r="I86" s="135"/>
      <c r="J86" s="135"/>
      <c r="K86" s="135"/>
    </row>
    <row r="87" spans="1:14">
      <c r="A87" s="22">
        <v>2006</v>
      </c>
      <c r="B87" s="8">
        <f t="shared" si="3"/>
        <v>5.5</v>
      </c>
      <c r="C87" s="8">
        <f t="shared" si="4"/>
        <v>12.7</v>
      </c>
      <c r="D87" s="8">
        <f t="shared" si="5"/>
        <v>17.5</v>
      </c>
      <c r="E87" s="8">
        <f t="shared" si="6"/>
        <v>24.5</v>
      </c>
      <c r="F87" s="8">
        <f t="shared" si="7"/>
        <v>39.700000000000003</v>
      </c>
      <c r="G87" s="135"/>
      <c r="H87" s="135"/>
      <c r="I87" s="135"/>
      <c r="J87" s="135"/>
      <c r="K87" s="135"/>
    </row>
    <row r="88" spans="1:14">
      <c r="A88" s="22">
        <v>2007</v>
      </c>
      <c r="B88" s="8">
        <f t="shared" si="3"/>
        <v>6.5</v>
      </c>
      <c r="C88" s="8">
        <f t="shared" si="4"/>
        <v>13.1</v>
      </c>
      <c r="D88" s="8">
        <f t="shared" si="5"/>
        <v>16.8</v>
      </c>
      <c r="E88" s="8">
        <f t="shared" si="6"/>
        <v>23.6</v>
      </c>
      <c r="F88" s="8">
        <f t="shared" si="7"/>
        <v>40</v>
      </c>
      <c r="G88" s="135"/>
      <c r="H88" s="135"/>
      <c r="I88" s="135"/>
      <c r="J88" s="135"/>
      <c r="K88" s="135"/>
    </row>
    <row r="89" spans="1:14">
      <c r="A89" s="22">
        <v>2008</v>
      </c>
      <c r="B89" s="8">
        <f t="shared" si="3"/>
        <v>5</v>
      </c>
      <c r="C89" s="8">
        <f t="shared" si="4"/>
        <v>11.6</v>
      </c>
      <c r="D89" s="8">
        <f t="shared" si="5"/>
        <v>16.799999999999997</v>
      </c>
      <c r="E89" s="8">
        <f t="shared" si="6"/>
        <v>24.2</v>
      </c>
      <c r="F89" s="8">
        <f t="shared" si="7"/>
        <v>42.4</v>
      </c>
      <c r="G89" s="135"/>
      <c r="H89" s="135"/>
      <c r="I89" s="135"/>
      <c r="J89" s="135"/>
      <c r="K89" s="135"/>
    </row>
    <row r="90" spans="1:14">
      <c r="A90" s="22">
        <v>2009</v>
      </c>
      <c r="B90" s="8">
        <f t="shared" si="3"/>
        <v>5.2</v>
      </c>
      <c r="C90" s="8">
        <f t="shared" si="4"/>
        <v>12.3</v>
      </c>
      <c r="D90" s="8">
        <f t="shared" si="5"/>
        <v>17</v>
      </c>
      <c r="E90" s="8">
        <f t="shared" si="6"/>
        <v>24.1</v>
      </c>
      <c r="F90" s="8">
        <f t="shared" si="7"/>
        <v>41.4</v>
      </c>
      <c r="G90" s="135"/>
      <c r="H90" s="135"/>
      <c r="I90" s="135"/>
      <c r="J90" s="135"/>
      <c r="K90" s="135"/>
    </row>
    <row r="91" spans="1:14">
      <c r="A91" s="22">
        <v>2010</v>
      </c>
      <c r="B91" s="8">
        <f t="shared" si="3"/>
        <v>5.9</v>
      </c>
      <c r="C91" s="8">
        <f t="shared" si="4"/>
        <v>12.9</v>
      </c>
      <c r="D91" s="8">
        <f t="shared" si="5"/>
        <v>17.100000000000001</v>
      </c>
      <c r="E91" s="8">
        <f t="shared" si="6"/>
        <v>24</v>
      </c>
      <c r="F91" s="8">
        <f t="shared" si="7"/>
        <v>40</v>
      </c>
      <c r="G91" s="135"/>
      <c r="H91" s="135"/>
      <c r="I91" s="135"/>
      <c r="J91" s="135"/>
      <c r="K91" s="135"/>
    </row>
    <row r="92" spans="1:14">
      <c r="A92" s="22">
        <v>2011</v>
      </c>
      <c r="B92" s="8">
        <f t="shared" si="3"/>
        <v>6.4</v>
      </c>
      <c r="C92" s="8">
        <f t="shared" si="4"/>
        <v>13.2</v>
      </c>
      <c r="D92" s="8">
        <f t="shared" si="5"/>
        <v>17</v>
      </c>
      <c r="E92" s="8">
        <f t="shared" si="6"/>
        <v>24</v>
      </c>
      <c r="F92" s="8">
        <f t="shared" si="7"/>
        <v>39.5</v>
      </c>
      <c r="G92" s="135"/>
      <c r="H92" s="135"/>
      <c r="I92" s="135"/>
      <c r="J92" s="135"/>
      <c r="K92" s="135"/>
    </row>
    <row r="93" spans="1:14">
      <c r="A93" s="22">
        <v>2012</v>
      </c>
      <c r="B93" s="8">
        <f t="shared" si="3"/>
        <v>4.9000000000000004</v>
      </c>
      <c r="C93" s="8">
        <f t="shared" si="4"/>
        <v>12.8</v>
      </c>
      <c r="D93" s="8">
        <f t="shared" si="5"/>
        <v>17.100000000000001</v>
      </c>
      <c r="E93" s="8">
        <f t="shared" si="6"/>
        <v>23.9</v>
      </c>
      <c r="F93" s="8">
        <f t="shared" si="7"/>
        <v>41.400000000000006</v>
      </c>
      <c r="G93" s="135"/>
      <c r="H93" s="135"/>
      <c r="I93" s="135"/>
      <c r="J93" s="135"/>
      <c r="K93" s="135"/>
    </row>
    <row r="94" spans="1:14">
      <c r="A94" s="22">
        <v>2013</v>
      </c>
      <c r="B94" s="8">
        <f t="shared" si="3"/>
        <v>5.5</v>
      </c>
      <c r="C94" s="8">
        <f t="shared" si="4"/>
        <v>13.3</v>
      </c>
      <c r="D94" s="8">
        <f t="shared" si="5"/>
        <v>17.3</v>
      </c>
      <c r="E94" s="8">
        <f t="shared" si="6"/>
        <v>24.2</v>
      </c>
      <c r="F94" s="8">
        <f t="shared" si="7"/>
        <v>39.799999999999997</v>
      </c>
      <c r="G94" s="135"/>
      <c r="H94" s="135"/>
      <c r="I94" s="135"/>
      <c r="J94" s="135"/>
      <c r="K94" s="135"/>
    </row>
    <row r="95" spans="1:14">
      <c r="A95" s="22">
        <v>2014</v>
      </c>
      <c r="B95" s="8">
        <f t="shared" si="3"/>
        <v>6.3999999999999995</v>
      </c>
      <c r="C95" s="8">
        <f t="shared" si="4"/>
        <v>12.8</v>
      </c>
      <c r="D95" s="8">
        <f t="shared" si="5"/>
        <v>16.7</v>
      </c>
      <c r="E95" s="8">
        <f t="shared" si="6"/>
        <v>22.4</v>
      </c>
      <c r="F95" s="8">
        <f t="shared" si="7"/>
        <v>41.8</v>
      </c>
      <c r="G95" s="135"/>
      <c r="H95" s="135"/>
      <c r="I95" s="135"/>
      <c r="J95" s="135"/>
      <c r="K95" s="135"/>
    </row>
    <row r="96" spans="1:14">
      <c r="A96" s="22">
        <v>2015</v>
      </c>
      <c r="B96" s="8">
        <f t="shared" si="3"/>
        <v>4.7</v>
      </c>
      <c r="C96" s="8">
        <f t="shared" si="4"/>
        <v>12.600000000000001</v>
      </c>
      <c r="D96" s="8">
        <f t="shared" si="5"/>
        <v>17</v>
      </c>
      <c r="E96" s="8">
        <f t="shared" si="6"/>
        <v>23.3</v>
      </c>
      <c r="F96" s="8">
        <f t="shared" si="7"/>
        <v>42.4</v>
      </c>
      <c r="G96" s="135"/>
      <c r="H96" s="135"/>
      <c r="I96" s="135"/>
      <c r="J96" s="135"/>
      <c r="K96" s="135"/>
      <c r="N96" s="115"/>
    </row>
    <row r="97" spans="1:11">
      <c r="A97" s="22">
        <v>2016</v>
      </c>
      <c r="B97" s="8">
        <f t="shared" si="3"/>
        <v>6.2</v>
      </c>
      <c r="C97" s="8">
        <f t="shared" si="4"/>
        <v>13.3</v>
      </c>
      <c r="D97" s="8">
        <f t="shared" si="5"/>
        <v>17.7</v>
      </c>
      <c r="E97" s="8">
        <f t="shared" si="6"/>
        <v>24.6</v>
      </c>
      <c r="F97" s="8">
        <f t="shared" si="7"/>
        <v>38.299999999999997</v>
      </c>
      <c r="G97" s="135"/>
      <c r="H97" s="135"/>
      <c r="I97" s="135"/>
      <c r="J97" s="135"/>
      <c r="K97" s="135"/>
    </row>
    <row r="98" spans="1:11">
      <c r="A98" s="22">
        <v>2017</v>
      </c>
      <c r="B98" s="8">
        <f t="shared" si="3"/>
        <v>6</v>
      </c>
      <c r="C98" s="8">
        <f t="shared" si="4"/>
        <v>13.2</v>
      </c>
      <c r="D98" s="8">
        <f t="shared" si="5"/>
        <v>17.399999999999999</v>
      </c>
      <c r="E98" s="8">
        <f t="shared" si="6"/>
        <v>23.4</v>
      </c>
      <c r="F98" s="8">
        <f t="shared" si="7"/>
        <v>40</v>
      </c>
      <c r="G98" s="135"/>
      <c r="H98" s="135"/>
      <c r="I98" s="135"/>
      <c r="J98" s="135"/>
      <c r="K98" s="135"/>
    </row>
    <row r="99" spans="1:11">
      <c r="A99" s="22">
        <v>2018</v>
      </c>
      <c r="B99" s="8">
        <f t="shared" si="3"/>
        <v>6.1000000000000005</v>
      </c>
      <c r="C99" s="8">
        <f t="shared" si="4"/>
        <v>13.100000000000001</v>
      </c>
      <c r="D99" s="8">
        <f t="shared" si="5"/>
        <v>17</v>
      </c>
      <c r="E99" s="8">
        <f t="shared" si="6"/>
        <v>23.4</v>
      </c>
      <c r="F99" s="8">
        <f t="shared" si="7"/>
        <v>40.5</v>
      </c>
      <c r="G99" s="135"/>
      <c r="H99" s="135"/>
      <c r="I99" s="135"/>
      <c r="J99" s="135"/>
      <c r="K99" s="135"/>
    </row>
    <row r="100" spans="1:11">
      <c r="A100" s="22">
        <v>2019</v>
      </c>
      <c r="B100" s="8">
        <f t="shared" si="3"/>
        <v>7.3000000000000007</v>
      </c>
      <c r="C100" s="8">
        <f t="shared" si="4"/>
        <v>13.3</v>
      </c>
      <c r="D100" s="8">
        <f t="shared" si="5"/>
        <v>17.399999999999999</v>
      </c>
      <c r="E100" s="8">
        <f t="shared" si="6"/>
        <v>22.9</v>
      </c>
      <c r="F100" s="8">
        <f t="shared" si="7"/>
        <v>39.200000000000003</v>
      </c>
      <c r="G100" s="135"/>
      <c r="H100" s="135"/>
      <c r="I100" s="135"/>
      <c r="J100" s="135"/>
      <c r="K100" s="135"/>
    </row>
    <row r="101" spans="1:11">
      <c r="A101" s="22"/>
      <c r="B101" s="135"/>
      <c r="C101" s="135"/>
      <c r="D101" s="135"/>
      <c r="E101" s="135"/>
      <c r="F101" s="135"/>
      <c r="G101" s="135"/>
      <c r="H101" s="135"/>
      <c r="I101" s="135"/>
      <c r="J101" s="135"/>
      <c r="K101" s="135"/>
    </row>
    <row r="102" spans="1:11">
      <c r="A102" s="22" t="s">
        <v>134</v>
      </c>
      <c r="B102" s="8">
        <f>B100-B58</f>
        <v>2.3000000000000007</v>
      </c>
      <c r="C102" s="8">
        <f t="shared" ref="C102:F102" si="8">C100-C58</f>
        <v>2.2000000000000011</v>
      </c>
      <c r="D102" s="8">
        <f t="shared" si="8"/>
        <v>1.1999999999999993</v>
      </c>
      <c r="E102" s="8">
        <f t="shared" si="8"/>
        <v>-1</v>
      </c>
      <c r="F102" s="8">
        <f t="shared" si="8"/>
        <v>-4.5999999999999943</v>
      </c>
      <c r="G102" s="135"/>
      <c r="H102" s="135"/>
      <c r="I102" s="135"/>
      <c r="J102" s="135"/>
      <c r="K102" s="135"/>
    </row>
    <row r="103" spans="1:11">
      <c r="A103" s="22" t="s">
        <v>135</v>
      </c>
      <c r="B103" s="8">
        <f>B81-B58</f>
        <v>0.79999999999999982</v>
      </c>
      <c r="C103" s="8">
        <f t="shared" ref="C103:F103" si="9">C81-C58</f>
        <v>1.9000000000000004</v>
      </c>
      <c r="D103" s="8">
        <f t="shared" si="9"/>
        <v>0.30000000000000071</v>
      </c>
      <c r="E103" s="8">
        <f t="shared" si="9"/>
        <v>-0.29999999999999716</v>
      </c>
      <c r="F103" s="8">
        <f t="shared" si="9"/>
        <v>-2.7999999999999972</v>
      </c>
      <c r="G103" s="135"/>
      <c r="H103" s="135"/>
      <c r="I103" s="135"/>
      <c r="J103" s="135"/>
      <c r="K103" s="135"/>
    </row>
    <row r="104" spans="1:11">
      <c r="A104" s="22" t="s">
        <v>24</v>
      </c>
      <c r="B104" s="8">
        <f>B100-B81</f>
        <v>1.5000000000000009</v>
      </c>
      <c r="C104" s="8">
        <f t="shared" ref="C104:F104" si="10">C100-C81</f>
        <v>0.30000000000000071</v>
      </c>
      <c r="D104" s="8">
        <f t="shared" si="10"/>
        <v>0.89999999999999858</v>
      </c>
      <c r="E104" s="8">
        <f t="shared" si="10"/>
        <v>-0.70000000000000284</v>
      </c>
      <c r="F104" s="8">
        <f t="shared" si="10"/>
        <v>-1.7999999999999972</v>
      </c>
      <c r="G104" s="135"/>
      <c r="H104" s="135"/>
      <c r="I104" s="135"/>
      <c r="J104" s="135"/>
      <c r="K104" s="135"/>
    </row>
    <row r="105" spans="1:11">
      <c r="A105" s="22"/>
      <c r="B105" s="135"/>
      <c r="C105" s="135"/>
      <c r="D105" s="135"/>
      <c r="E105" s="135"/>
      <c r="F105" s="135"/>
      <c r="G105" s="135"/>
      <c r="H105" s="135"/>
      <c r="I105" s="135"/>
      <c r="J105" s="135"/>
      <c r="K105" s="135"/>
    </row>
    <row r="106" spans="1:11">
      <c r="A106" s="22"/>
      <c r="B106" s="135"/>
      <c r="C106" s="135"/>
      <c r="D106" s="135"/>
      <c r="E106" s="135"/>
      <c r="F106" s="135"/>
      <c r="G106" s="135"/>
      <c r="H106" s="135"/>
      <c r="I106" s="135"/>
      <c r="J106" s="135"/>
      <c r="K106" s="135"/>
    </row>
    <row r="107" spans="1:11">
      <c r="A107" s="22" t="s">
        <v>538</v>
      </c>
      <c r="B107" s="135"/>
      <c r="C107" s="135"/>
      <c r="D107" s="135"/>
      <c r="E107" s="135"/>
      <c r="F107" s="135"/>
      <c r="G107" s="135"/>
      <c r="H107" s="135"/>
      <c r="I107" s="135"/>
      <c r="J107" s="135"/>
      <c r="K107" s="135"/>
    </row>
    <row r="108" spans="1:11">
      <c r="A108" s="22"/>
    </row>
    <row r="109" spans="1:11">
      <c r="A109" s="22"/>
    </row>
    <row r="110" spans="1:11">
      <c r="A110" s="22" t="s">
        <v>186</v>
      </c>
    </row>
    <row r="111" spans="1:11">
      <c r="A111" s="22"/>
    </row>
    <row r="112" spans="1:11">
      <c r="A112" s="344" t="s">
        <v>166</v>
      </c>
      <c r="B112" s="330" t="s">
        <v>103</v>
      </c>
      <c r="C112" s="330"/>
      <c r="D112" s="330" t="s">
        <v>104</v>
      </c>
      <c r="E112" s="330"/>
      <c r="F112" s="330" t="s">
        <v>105</v>
      </c>
      <c r="G112" s="330"/>
      <c r="H112" s="330" t="s">
        <v>106</v>
      </c>
      <c r="I112" s="330"/>
      <c r="J112" s="330" t="s">
        <v>107</v>
      </c>
      <c r="K112" s="330"/>
    </row>
    <row r="113" spans="1:17">
      <c r="A113" s="344"/>
      <c r="B113" s="135" t="s">
        <v>43</v>
      </c>
      <c r="C113" s="135" t="s">
        <v>44</v>
      </c>
      <c r="D113" s="135" t="s">
        <v>43</v>
      </c>
      <c r="E113" s="135" t="s">
        <v>44</v>
      </c>
      <c r="F113" s="135" t="s">
        <v>43</v>
      </c>
      <c r="G113" s="135" t="s">
        <v>44</v>
      </c>
      <c r="H113" s="135" t="s">
        <v>43</v>
      </c>
      <c r="I113" s="135" t="s">
        <v>44</v>
      </c>
      <c r="J113" s="135" t="s">
        <v>43</v>
      </c>
      <c r="K113" s="135" t="s">
        <v>44</v>
      </c>
      <c r="M113" s="115"/>
      <c r="N113" s="115"/>
      <c r="O113" s="115"/>
      <c r="P113" s="115"/>
      <c r="Q113" s="115"/>
    </row>
    <row r="114" spans="1:17">
      <c r="A114" s="22" t="s">
        <v>96</v>
      </c>
      <c r="B114" s="8">
        <v>0.39999999999999947</v>
      </c>
      <c r="C114" s="8">
        <v>2.3000000000000007</v>
      </c>
      <c r="D114" s="8">
        <v>1.8000000000000007</v>
      </c>
      <c r="E114" s="8">
        <v>2.2000000000000011</v>
      </c>
      <c r="F114" s="8">
        <v>0.19999999999999929</v>
      </c>
      <c r="G114" s="8">
        <v>1.1999999999999993</v>
      </c>
      <c r="H114" s="8">
        <v>-1.3999999999999986</v>
      </c>
      <c r="I114" s="8">
        <v>-1</v>
      </c>
      <c r="J114" s="8">
        <v>-0.89999999999999858</v>
      </c>
      <c r="K114" s="8">
        <v>-4.5999999999999943</v>
      </c>
      <c r="M114" s="115"/>
      <c r="N114" s="115"/>
      <c r="O114" s="115"/>
      <c r="P114" s="115"/>
      <c r="Q114" s="115"/>
    </row>
    <row r="115" spans="1:17">
      <c r="A115" s="22" t="s">
        <v>97</v>
      </c>
      <c r="B115" s="8">
        <v>9.9999999999999645E-2</v>
      </c>
      <c r="C115" s="8">
        <v>0.79999999999999982</v>
      </c>
      <c r="D115" s="8">
        <v>1.5999999999999996</v>
      </c>
      <c r="E115" s="8">
        <v>1.9000000000000004</v>
      </c>
      <c r="F115" s="8">
        <v>-0.10000000000000142</v>
      </c>
      <c r="G115" s="8">
        <v>0.30000000000000071</v>
      </c>
      <c r="H115" s="8">
        <v>-1.3000000000000007</v>
      </c>
      <c r="I115" s="8">
        <v>-0.29999999999999716</v>
      </c>
      <c r="J115" s="8">
        <v>-0.29999999999999716</v>
      </c>
      <c r="K115" s="8">
        <v>-2.7999999999999972</v>
      </c>
      <c r="M115" s="115"/>
      <c r="N115" s="115"/>
      <c r="O115" s="115"/>
      <c r="P115" s="115"/>
      <c r="Q115" s="115"/>
    </row>
    <row r="116" spans="1:17">
      <c r="A116" s="22" t="s">
        <v>47</v>
      </c>
      <c r="B116" s="8">
        <v>0.29999999999999982</v>
      </c>
      <c r="C116" s="8">
        <v>1.5000000000000009</v>
      </c>
      <c r="D116" s="8">
        <v>0.20000000000000107</v>
      </c>
      <c r="E116" s="8">
        <v>0.30000000000000071</v>
      </c>
      <c r="F116" s="8">
        <v>0.30000000000000071</v>
      </c>
      <c r="G116" s="8">
        <v>0.89999999999999858</v>
      </c>
      <c r="H116" s="8">
        <v>-9.9999999999997868E-2</v>
      </c>
      <c r="I116" s="8">
        <v>-0.70000000000000284</v>
      </c>
      <c r="J116" s="8">
        <v>-0.60000000000000142</v>
      </c>
      <c r="K116" s="8">
        <v>-1.7999999999999972</v>
      </c>
    </row>
    <row r="117" spans="1:17">
      <c r="A117" s="22"/>
    </row>
    <row r="118" spans="1:17">
      <c r="A118" s="22" t="s">
        <v>189</v>
      </c>
    </row>
    <row r="119" spans="1:17">
      <c r="A119" s="22" t="s">
        <v>190</v>
      </c>
      <c r="B119" s="115"/>
      <c r="C119" s="115"/>
      <c r="D119" s="115"/>
      <c r="E119" s="115"/>
      <c r="F119" s="115"/>
    </row>
    <row r="120" spans="1:17">
      <c r="B120" s="115"/>
      <c r="C120" s="115"/>
      <c r="D120" s="115"/>
      <c r="E120" s="115"/>
      <c r="F120" s="115"/>
    </row>
    <row r="121" spans="1:17">
      <c r="B121" s="115"/>
      <c r="C121" s="115"/>
      <c r="D121" s="115"/>
      <c r="E121" s="115"/>
      <c r="F121" s="115"/>
    </row>
    <row r="122" spans="1:17">
      <c r="B122" s="115"/>
      <c r="C122" s="115"/>
      <c r="D122" s="115"/>
      <c r="E122" s="115"/>
      <c r="F122" s="115"/>
    </row>
    <row r="123" spans="1:17">
      <c r="A123" s="5" t="s">
        <v>191</v>
      </c>
      <c r="B123" s="115"/>
      <c r="C123" s="115"/>
      <c r="D123" s="115"/>
      <c r="E123" s="115"/>
      <c r="F123" s="115"/>
    </row>
    <row r="124" spans="1:17">
      <c r="B124" s="115"/>
      <c r="C124" s="115"/>
      <c r="D124" s="115"/>
      <c r="E124" s="115"/>
      <c r="F124" s="115"/>
    </row>
    <row r="125" spans="1:17">
      <c r="A125" s="343" t="s">
        <v>188</v>
      </c>
      <c r="B125" s="342">
        <v>1977</v>
      </c>
      <c r="C125" s="342"/>
      <c r="D125" s="342">
        <v>2000</v>
      </c>
      <c r="E125" s="342"/>
      <c r="F125" s="342">
        <v>2019</v>
      </c>
      <c r="G125" s="342"/>
    </row>
    <row r="126" spans="1:17" ht="51">
      <c r="A126" s="343"/>
      <c r="B126" s="107" t="s">
        <v>144</v>
      </c>
      <c r="C126" s="107" t="s">
        <v>183</v>
      </c>
      <c r="D126" s="107" t="s">
        <v>144</v>
      </c>
      <c r="E126" s="107" t="s">
        <v>183</v>
      </c>
      <c r="F126" s="107" t="s">
        <v>144</v>
      </c>
      <c r="G126" s="107" t="s">
        <v>183</v>
      </c>
    </row>
    <row r="127" spans="1:17" ht="17">
      <c r="A127" s="134" t="s">
        <v>103</v>
      </c>
      <c r="B127" s="20">
        <v>5650</v>
      </c>
      <c r="C127" s="8">
        <v>5</v>
      </c>
      <c r="D127" s="20">
        <v>7400</v>
      </c>
      <c r="E127" s="8">
        <v>5.8</v>
      </c>
      <c r="F127" s="20">
        <v>12050</v>
      </c>
      <c r="G127" s="8">
        <v>7.3000000000000007</v>
      </c>
    </row>
    <row r="128" spans="1:17" ht="17">
      <c r="A128" s="134" t="s">
        <v>104</v>
      </c>
      <c r="B128" s="20">
        <v>12450</v>
      </c>
      <c r="C128" s="8">
        <v>11.1</v>
      </c>
      <c r="D128" s="20">
        <v>16700</v>
      </c>
      <c r="E128" s="8">
        <v>13</v>
      </c>
      <c r="F128" s="20">
        <v>22050</v>
      </c>
      <c r="G128" s="8">
        <v>13.3</v>
      </c>
    </row>
    <row r="129" spans="1:7" ht="17">
      <c r="A129" s="134" t="s">
        <v>105</v>
      </c>
      <c r="B129" s="20">
        <v>18200</v>
      </c>
      <c r="C129" s="8">
        <v>16.2</v>
      </c>
      <c r="D129" s="20">
        <v>21100</v>
      </c>
      <c r="E129" s="8">
        <v>16.5</v>
      </c>
      <c r="F129" s="20">
        <v>28900</v>
      </c>
      <c r="G129" s="8">
        <v>17.399999999999999</v>
      </c>
    </row>
    <row r="130" spans="1:7" ht="17">
      <c r="A130" s="134" t="s">
        <v>106</v>
      </c>
      <c r="B130" s="20">
        <v>26950</v>
      </c>
      <c r="C130" s="8">
        <v>23.9</v>
      </c>
      <c r="D130" s="20">
        <v>30200</v>
      </c>
      <c r="E130" s="8">
        <v>23.6</v>
      </c>
      <c r="F130" s="20">
        <v>38050</v>
      </c>
      <c r="G130" s="8">
        <v>22.9</v>
      </c>
    </row>
    <row r="131" spans="1:7" ht="17">
      <c r="A131" s="134" t="s">
        <v>107</v>
      </c>
      <c r="B131" s="20">
        <v>49200</v>
      </c>
      <c r="C131" s="8">
        <v>43.8</v>
      </c>
      <c r="D131" s="20">
        <v>52450</v>
      </c>
      <c r="E131" s="8">
        <v>41</v>
      </c>
      <c r="F131" s="20">
        <v>65150</v>
      </c>
      <c r="G131" s="8">
        <v>39.200000000000003</v>
      </c>
    </row>
    <row r="132" spans="1:7">
      <c r="A132" s="134"/>
    </row>
    <row r="133" spans="1:7">
      <c r="A133" s="144"/>
    </row>
    <row r="134" spans="1:7">
      <c r="A134" s="144"/>
    </row>
    <row r="135" spans="1:7">
      <c r="A135" s="77" t="s">
        <v>640</v>
      </c>
    </row>
    <row r="136" spans="1:7">
      <c r="A136" s="144"/>
    </row>
    <row r="137" spans="1:7">
      <c r="A137" s="144"/>
    </row>
    <row r="138" spans="1:7">
      <c r="A138" s="22"/>
    </row>
    <row r="139" spans="1:7">
      <c r="A139" s="22"/>
    </row>
    <row r="140" spans="1:7">
      <c r="A140" s="22"/>
    </row>
    <row r="141" spans="1:7">
      <c r="A141" s="22"/>
    </row>
    <row r="142" spans="1:7">
      <c r="A142" s="22"/>
    </row>
    <row r="143" spans="1:7">
      <c r="A143" s="22"/>
    </row>
    <row r="144" spans="1:7">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row r="211" spans="1:1">
      <c r="A211" s="22"/>
    </row>
    <row r="212" spans="1:1">
      <c r="A212" s="22"/>
    </row>
    <row r="213" spans="1:1">
      <c r="A213" s="22"/>
    </row>
    <row r="214" spans="1:1">
      <c r="A214" s="22"/>
    </row>
    <row r="215" spans="1:1">
      <c r="A215" s="22"/>
    </row>
    <row r="216" spans="1:1">
      <c r="A216" s="22"/>
    </row>
    <row r="217" spans="1:1">
      <c r="A217" s="22"/>
    </row>
    <row r="218" spans="1:1">
      <c r="A218" s="22"/>
    </row>
    <row r="219" spans="1:1">
      <c r="A219" s="22"/>
    </row>
    <row r="220" spans="1:1">
      <c r="A220" s="22"/>
    </row>
    <row r="221" spans="1:1">
      <c r="A221" s="22"/>
    </row>
    <row r="222" spans="1:1">
      <c r="A222" s="22"/>
    </row>
    <row r="223" spans="1:1">
      <c r="A223" s="22"/>
    </row>
    <row r="224" spans="1:1">
      <c r="A224" s="22"/>
    </row>
    <row r="225" spans="1:1">
      <c r="A225" s="22"/>
    </row>
    <row r="226" spans="1:1">
      <c r="A226" s="22"/>
    </row>
    <row r="227" spans="1:1">
      <c r="A227" s="22"/>
    </row>
    <row r="228" spans="1:1">
      <c r="A228" s="22"/>
    </row>
    <row r="229" spans="1:1">
      <c r="A229" s="22"/>
    </row>
    <row r="230" spans="1:1">
      <c r="A230" s="22"/>
    </row>
    <row r="231" spans="1:1">
      <c r="A231" s="22"/>
    </row>
    <row r="232" spans="1:1">
      <c r="A232" s="22"/>
    </row>
    <row r="233" spans="1:1">
      <c r="A233" s="22"/>
    </row>
    <row r="234" spans="1:1">
      <c r="A234" s="22"/>
    </row>
    <row r="235" spans="1:1">
      <c r="A235" s="22"/>
    </row>
    <row r="236" spans="1:1">
      <c r="A236" s="22"/>
    </row>
    <row r="237" spans="1:1">
      <c r="A237" s="22"/>
    </row>
    <row r="238" spans="1:1">
      <c r="A238" s="22"/>
    </row>
    <row r="239" spans="1:1">
      <c r="A239" s="22"/>
    </row>
    <row r="240" spans="1:1">
      <c r="A240" s="22"/>
    </row>
    <row r="241" spans="1:1">
      <c r="A241" s="22"/>
    </row>
    <row r="242" spans="1:1">
      <c r="A242" s="22"/>
    </row>
    <row r="243" spans="1:1">
      <c r="A243" s="22"/>
    </row>
    <row r="244" spans="1:1">
      <c r="A244" s="22"/>
    </row>
    <row r="245" spans="1:1">
      <c r="A245" s="22"/>
    </row>
    <row r="246" spans="1:1">
      <c r="A246" s="22"/>
    </row>
    <row r="247" spans="1:1">
      <c r="A247" s="22"/>
    </row>
    <row r="248" spans="1:1">
      <c r="A248" s="22"/>
    </row>
    <row r="249" spans="1:1">
      <c r="A249" s="22"/>
    </row>
    <row r="250" spans="1:1">
      <c r="A250" s="22"/>
    </row>
    <row r="251" spans="1:1">
      <c r="A251" s="22"/>
    </row>
    <row r="252" spans="1:1">
      <c r="A252" s="22"/>
    </row>
    <row r="253" spans="1:1">
      <c r="A253" s="22"/>
    </row>
    <row r="254" spans="1:1">
      <c r="A254" s="22"/>
    </row>
    <row r="255" spans="1:1">
      <c r="A255" s="22"/>
    </row>
    <row r="256" spans="1:1">
      <c r="A256" s="22"/>
    </row>
    <row r="257" spans="1:1">
      <c r="A257" s="22"/>
    </row>
    <row r="258" spans="1:1">
      <c r="A258" s="22"/>
    </row>
    <row r="259" spans="1:1">
      <c r="A259" s="22"/>
    </row>
    <row r="260" spans="1:1">
      <c r="A260" s="22"/>
    </row>
    <row r="261" spans="1:1">
      <c r="A261" s="22"/>
    </row>
    <row r="262" spans="1:1">
      <c r="A262" s="22"/>
    </row>
    <row r="263" spans="1:1">
      <c r="A263" s="22"/>
    </row>
    <row r="264" spans="1:1">
      <c r="A264" s="22"/>
    </row>
    <row r="265" spans="1:1">
      <c r="A265" s="22"/>
    </row>
    <row r="266" spans="1:1">
      <c r="A266" s="22"/>
    </row>
    <row r="267" spans="1:1">
      <c r="A267" s="22"/>
    </row>
    <row r="268" spans="1:1">
      <c r="A268" s="22"/>
    </row>
  </sheetData>
  <mergeCells count="10">
    <mergeCell ref="A125:A126"/>
    <mergeCell ref="A112:A113"/>
    <mergeCell ref="B112:C112"/>
    <mergeCell ref="D112:E112"/>
    <mergeCell ref="F112:G112"/>
    <mergeCell ref="H112:I112"/>
    <mergeCell ref="J112:K112"/>
    <mergeCell ref="B125:C125"/>
    <mergeCell ref="D125:E125"/>
    <mergeCell ref="F125:G1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9F4D-2A06-3247-BB97-43B80056E445}">
  <sheetPr codeName="Sheet3"/>
  <dimension ref="A1:H62"/>
  <sheetViews>
    <sheetView zoomScale="66" zoomScaleNormal="66" workbookViewId="0"/>
  </sheetViews>
  <sheetFormatPr baseColWidth="10" defaultColWidth="11" defaultRowHeight="16"/>
  <cols>
    <col min="1" max="1" width="24.6640625" style="99" customWidth="1"/>
    <col min="2" max="2" width="17.1640625" style="99" customWidth="1"/>
    <col min="3" max="3" width="20.5" style="99" customWidth="1"/>
    <col min="4" max="4" width="14.6640625" style="99" customWidth="1"/>
    <col min="5" max="5" width="13.5" style="99" customWidth="1"/>
    <col min="6" max="6" width="13.6640625" style="99" customWidth="1"/>
    <col min="7" max="7" width="11" style="99" customWidth="1"/>
    <col min="8" max="16384" width="11" style="99"/>
  </cols>
  <sheetData>
    <row r="1" spans="1:8">
      <c r="A1" s="103" t="s">
        <v>20</v>
      </c>
    </row>
    <row r="2" spans="1:8">
      <c r="B2" s="267"/>
    </row>
    <row r="3" spans="1:8" ht="33" customHeight="1">
      <c r="B3" s="100" t="s">
        <v>4</v>
      </c>
      <c r="C3" s="100" t="s">
        <v>5</v>
      </c>
      <c r="D3" s="100" t="s">
        <v>6</v>
      </c>
      <c r="E3" s="100" t="s">
        <v>7</v>
      </c>
      <c r="F3" s="100" t="s">
        <v>8</v>
      </c>
    </row>
    <row r="4" spans="1:8">
      <c r="A4" s="99">
        <v>1976</v>
      </c>
      <c r="B4" s="78">
        <v>74.393939393939391</v>
      </c>
      <c r="C4" s="78">
        <v>154.23728813559322</v>
      </c>
      <c r="D4" s="78">
        <v>80.945757997218365</v>
      </c>
      <c r="E4" s="78">
        <v>67.857142857142861</v>
      </c>
      <c r="F4" s="78">
        <v>83.360790774299829</v>
      </c>
      <c r="H4" s="268"/>
    </row>
    <row r="5" spans="1:8">
      <c r="A5" s="99">
        <v>1977</v>
      </c>
      <c r="B5" s="78">
        <v>79.591836734693871</v>
      </c>
      <c r="C5" s="78">
        <v>150</v>
      </c>
      <c r="D5" s="78">
        <v>85.959885386819479</v>
      </c>
      <c r="E5" s="78">
        <v>73.267326732673268</v>
      </c>
      <c r="F5" s="78">
        <v>88.274706867671696</v>
      </c>
    </row>
    <row r="6" spans="1:8">
      <c r="A6" s="99">
        <v>1978</v>
      </c>
      <c r="B6" s="78">
        <v>77.588871715610509</v>
      </c>
      <c r="C6" s="78">
        <v>150</v>
      </c>
      <c r="D6" s="78">
        <v>83.921015514809596</v>
      </c>
      <c r="E6" s="78">
        <v>70.588235294117652</v>
      </c>
      <c r="F6" s="78">
        <v>86.16144975288303</v>
      </c>
    </row>
    <row r="7" spans="1:8">
      <c r="A7" s="99">
        <v>1979</v>
      </c>
      <c r="B7" s="78">
        <v>78.033794162826425</v>
      </c>
      <c r="C7" s="78">
        <v>156.14035087719299</v>
      </c>
      <c r="D7" s="78">
        <v>84.203102961918191</v>
      </c>
      <c r="E7" s="78">
        <v>68.224299065420553</v>
      </c>
      <c r="F7" s="78">
        <v>87.043189368770769</v>
      </c>
    </row>
    <row r="8" spans="1:8">
      <c r="A8" s="99">
        <v>1980</v>
      </c>
      <c r="B8" s="78">
        <v>74.393939393939391</v>
      </c>
      <c r="C8" s="78">
        <v>153.96825396825398</v>
      </c>
      <c r="D8" s="78">
        <v>81.327800829875514</v>
      </c>
      <c r="E8" s="78">
        <v>66.363636363636374</v>
      </c>
      <c r="F8" s="78">
        <v>84.150326797385617</v>
      </c>
    </row>
    <row r="9" spans="1:8">
      <c r="A9" s="99">
        <v>1981</v>
      </c>
      <c r="B9" s="78">
        <v>75.497702909647785</v>
      </c>
      <c r="C9" s="78">
        <v>150.79365079365078</v>
      </c>
      <c r="D9" s="78">
        <v>82.122905027932958</v>
      </c>
      <c r="E9" s="78">
        <v>67.272727272727266</v>
      </c>
      <c r="F9" s="78">
        <v>84.818481848184817</v>
      </c>
    </row>
    <row r="10" spans="1:8">
      <c r="A10" s="99">
        <v>1982</v>
      </c>
      <c r="B10" s="78">
        <v>75.801282051282044</v>
      </c>
      <c r="C10" s="78">
        <v>141.33333333333334</v>
      </c>
      <c r="D10" s="78">
        <v>82.832618025751074</v>
      </c>
      <c r="E10" s="78">
        <v>69.724770642201833</v>
      </c>
      <c r="F10" s="78">
        <v>85.254237288135599</v>
      </c>
    </row>
    <row r="11" spans="1:8">
      <c r="A11" s="99">
        <v>1983</v>
      </c>
      <c r="B11" s="78">
        <v>73.927392739273927</v>
      </c>
      <c r="C11" s="78">
        <v>140.78947368421052</v>
      </c>
      <c r="D11" s="78">
        <v>81.112737920937036</v>
      </c>
      <c r="E11" s="78">
        <v>70.370370370370367</v>
      </c>
      <c r="F11" s="78">
        <v>83.275261324041821</v>
      </c>
    </row>
    <row r="12" spans="1:8">
      <c r="A12" s="99">
        <v>1984</v>
      </c>
      <c r="B12" s="78">
        <v>80.033003300330023</v>
      </c>
      <c r="C12" s="78">
        <v>139.24050632911394</v>
      </c>
      <c r="D12" s="78">
        <v>86.988304093567251</v>
      </c>
      <c r="E12" s="78">
        <v>75.925925925925924</v>
      </c>
      <c r="F12" s="78">
        <v>89.0625</v>
      </c>
    </row>
    <row r="13" spans="1:8">
      <c r="A13" s="99">
        <v>1985</v>
      </c>
      <c r="B13" s="78">
        <v>79.066022544283413</v>
      </c>
      <c r="C13" s="78">
        <v>139.24050632911394</v>
      </c>
      <c r="D13" s="78">
        <v>85.857142857142861</v>
      </c>
      <c r="E13" s="78">
        <v>71.929824561403507</v>
      </c>
      <c r="F13" s="78">
        <v>88.566552901023883</v>
      </c>
    </row>
    <row r="14" spans="1:8">
      <c r="A14" s="99">
        <v>1986</v>
      </c>
      <c r="B14" s="78">
        <v>77.020602218700475</v>
      </c>
      <c r="C14" s="78">
        <v>143.03797468354432</v>
      </c>
      <c r="D14" s="78">
        <v>84.366197183098592</v>
      </c>
      <c r="E14" s="78">
        <v>70.731707317073173</v>
      </c>
      <c r="F14" s="78">
        <v>87.074829931972786</v>
      </c>
    </row>
    <row r="15" spans="1:8">
      <c r="A15" s="99">
        <v>1987</v>
      </c>
      <c r="B15" s="78">
        <v>74.608150470219442</v>
      </c>
      <c r="C15" s="78">
        <v>145.56962025316454</v>
      </c>
      <c r="D15" s="78">
        <v>82.287308228730822</v>
      </c>
      <c r="E15" s="78">
        <v>68.939393939393938</v>
      </c>
      <c r="F15" s="78">
        <v>85.299145299145295</v>
      </c>
    </row>
    <row r="16" spans="1:8">
      <c r="A16" s="99">
        <v>1988</v>
      </c>
      <c r="B16" s="78">
        <v>75.384615384615387</v>
      </c>
      <c r="C16" s="78">
        <v>148.75</v>
      </c>
      <c r="D16" s="78">
        <v>83.310533515731876</v>
      </c>
      <c r="E16" s="78">
        <v>70.895522388059703</v>
      </c>
      <c r="F16" s="78">
        <v>86.264656616415408</v>
      </c>
    </row>
    <row r="17" spans="1:7">
      <c r="A17" s="99">
        <v>1989</v>
      </c>
      <c r="B17" s="78">
        <v>77.777777777777786</v>
      </c>
      <c r="C17" s="78">
        <v>134.93975903614458</v>
      </c>
      <c r="D17" s="78">
        <v>84.112149532710276</v>
      </c>
      <c r="E17" s="78">
        <v>71.83098591549296</v>
      </c>
      <c r="F17" s="78">
        <v>86.820428336079075</v>
      </c>
    </row>
    <row r="18" spans="1:7">
      <c r="A18" s="99">
        <v>1990</v>
      </c>
      <c r="B18" s="78">
        <v>78.056426332288396</v>
      </c>
      <c r="C18" s="78">
        <v>129.21348314606743</v>
      </c>
      <c r="D18" s="78">
        <v>84.456671251719399</v>
      </c>
      <c r="E18" s="78">
        <v>71.83098591549296</v>
      </c>
      <c r="F18" s="78">
        <v>87.350427350427353</v>
      </c>
    </row>
    <row r="19" spans="1:7">
      <c r="A19" s="99">
        <v>1991</v>
      </c>
      <c r="B19" s="78">
        <v>79.139072847682129</v>
      </c>
      <c r="C19" s="78">
        <v>122.68041237113403</v>
      </c>
      <c r="D19" s="78">
        <v>85.285714285714292</v>
      </c>
      <c r="E19" s="78">
        <v>73.529411764705884</v>
      </c>
      <c r="F19" s="78">
        <v>88.120567375886523</v>
      </c>
    </row>
    <row r="20" spans="1:7">
      <c r="A20" s="99">
        <v>1992</v>
      </c>
      <c r="B20" s="78">
        <v>79.327731092436977</v>
      </c>
      <c r="C20" s="78">
        <v>122.54901960784315</v>
      </c>
      <c r="D20" s="78">
        <v>85.509325681492115</v>
      </c>
      <c r="E20" s="78">
        <v>74.045801526717554</v>
      </c>
      <c r="F20" s="78">
        <v>88.162544169611309</v>
      </c>
    </row>
    <row r="21" spans="1:7">
      <c r="A21" s="99">
        <v>1993</v>
      </c>
      <c r="B21" s="78">
        <v>79.826086956521735</v>
      </c>
      <c r="C21" s="78">
        <v>124.27184466019416</v>
      </c>
      <c r="D21" s="78">
        <v>86.450662739322539</v>
      </c>
      <c r="E21" s="78">
        <v>74.603174603174608</v>
      </c>
      <c r="F21" s="78">
        <v>89.311594202898547</v>
      </c>
    </row>
    <row r="22" spans="1:7">
      <c r="A22" s="99">
        <v>1994</v>
      </c>
      <c r="B22" s="78">
        <v>78.902229845626067</v>
      </c>
      <c r="C22" s="78">
        <v>121.35922330097087</v>
      </c>
      <c r="D22" s="78">
        <v>85.1528384279476</v>
      </c>
      <c r="E22" s="78">
        <v>74.615384615384613</v>
      </c>
      <c r="F22" s="78">
        <v>87.769784172661872</v>
      </c>
    </row>
    <row r="23" spans="1:7">
      <c r="A23" s="99">
        <v>1995</v>
      </c>
      <c r="B23" s="78">
        <v>79.187817258883257</v>
      </c>
      <c r="C23" s="78">
        <v>121.21212121212122</v>
      </c>
      <c r="D23" s="78">
        <v>85.341074020319311</v>
      </c>
      <c r="E23" s="78">
        <v>72.932330827067673</v>
      </c>
      <c r="F23" s="78">
        <v>88.150807899461398</v>
      </c>
    </row>
    <row r="24" spans="1:7">
      <c r="A24" s="99">
        <v>1996</v>
      </c>
      <c r="B24" s="78">
        <v>79.426644182124789</v>
      </c>
      <c r="C24" s="78">
        <v>120.40816326530613</v>
      </c>
      <c r="D24" s="78">
        <v>85.115606936416185</v>
      </c>
      <c r="E24" s="78">
        <v>73.333333333333329</v>
      </c>
      <c r="F24" s="78">
        <v>88.129496402877692</v>
      </c>
    </row>
    <row r="25" spans="1:7">
      <c r="A25" s="99">
        <v>1997</v>
      </c>
      <c r="B25" s="78">
        <v>77.5</v>
      </c>
      <c r="C25" s="78">
        <v>119.79166666666667</v>
      </c>
      <c r="D25" s="78">
        <v>83.333333333333343</v>
      </c>
      <c r="E25" s="78">
        <v>70.588235294117652</v>
      </c>
      <c r="F25" s="78">
        <v>86.428571428571431</v>
      </c>
    </row>
    <row r="26" spans="1:7">
      <c r="A26" s="99">
        <v>1998</v>
      </c>
      <c r="B26" s="78">
        <v>79.239302694136299</v>
      </c>
      <c r="C26" s="78">
        <v>116.49484536082475</v>
      </c>
      <c r="D26" s="78">
        <v>84.203296703296701</v>
      </c>
      <c r="E26" s="78">
        <v>73.426573426573427</v>
      </c>
      <c r="F26" s="78">
        <v>86.837606837606842</v>
      </c>
    </row>
    <row r="27" spans="1:7">
      <c r="A27" s="99">
        <v>1999</v>
      </c>
      <c r="B27" s="78">
        <v>79.420731707317074</v>
      </c>
      <c r="C27" s="78">
        <v>117.58241758241759</v>
      </c>
      <c r="D27" s="78">
        <v>84.069611780455162</v>
      </c>
      <c r="E27" s="78">
        <v>73.611111111111114</v>
      </c>
      <c r="F27" s="78">
        <v>86.567164179104466</v>
      </c>
    </row>
    <row r="28" spans="1:7">
      <c r="A28" s="99">
        <v>2000</v>
      </c>
      <c r="B28" s="78">
        <v>78.970588235294116</v>
      </c>
      <c r="C28" s="78">
        <v>117.97752808988764</v>
      </c>
      <c r="D28" s="78">
        <v>83.4850455136541</v>
      </c>
      <c r="E28" s="78">
        <v>71.523178807947019</v>
      </c>
      <c r="F28" s="78">
        <v>86.268174474959608</v>
      </c>
    </row>
    <row r="29" spans="1:7">
      <c r="A29" s="99">
        <v>2001</v>
      </c>
      <c r="B29" s="78">
        <v>78.779069767441854</v>
      </c>
      <c r="C29" s="78">
        <v>122.58064516129032</v>
      </c>
      <c r="D29" s="78">
        <v>83.994878361075536</v>
      </c>
      <c r="E29" s="78">
        <v>76.811594202898547</v>
      </c>
      <c r="F29" s="78">
        <v>85.536547433903579</v>
      </c>
    </row>
    <row r="30" spans="1:7">
      <c r="A30" s="99">
        <v>2002</v>
      </c>
      <c r="B30" s="78">
        <v>76.889534883720927</v>
      </c>
      <c r="C30" s="78">
        <v>121.50537634408603</v>
      </c>
      <c r="D30" s="78">
        <v>82.202304737516002</v>
      </c>
      <c r="E30" s="78">
        <v>74.264705882352942</v>
      </c>
      <c r="F30" s="78">
        <v>83.875968992248062</v>
      </c>
    </row>
    <row r="31" spans="1:7">
      <c r="A31" s="99">
        <v>2003</v>
      </c>
      <c r="B31" s="78">
        <v>77.810218978102185</v>
      </c>
      <c r="C31" s="78">
        <v>121.73913043478262</v>
      </c>
      <c r="D31" s="78">
        <v>83.011583011583014</v>
      </c>
      <c r="E31" s="78">
        <v>75.18248175182481</v>
      </c>
      <c r="F31" s="78">
        <v>84.555382215288617</v>
      </c>
    </row>
    <row r="32" spans="1:7">
      <c r="A32" s="99">
        <v>2004</v>
      </c>
      <c r="B32" s="78">
        <v>77.507163323782237</v>
      </c>
      <c r="C32" s="78">
        <v>120.43010752688173</v>
      </c>
      <c r="D32" s="78">
        <v>82.680151706700372</v>
      </c>
      <c r="E32" s="78">
        <v>74.100719424460422</v>
      </c>
      <c r="F32" s="78">
        <v>84.509202453987726</v>
      </c>
      <c r="G32" s="254"/>
    </row>
    <row r="33" spans="1:7">
      <c r="A33" s="99">
        <v>2005</v>
      </c>
      <c r="B33" s="78">
        <v>76.062322946175641</v>
      </c>
      <c r="C33" s="78">
        <v>116.4835164835165</v>
      </c>
      <c r="D33" s="78">
        <v>80.677540777917187</v>
      </c>
      <c r="E33" s="78">
        <v>70.072992700729927</v>
      </c>
      <c r="F33" s="78">
        <v>82.878787878787875</v>
      </c>
      <c r="G33" s="254"/>
    </row>
    <row r="34" spans="1:7">
      <c r="A34" s="99">
        <v>2006</v>
      </c>
      <c r="B34" s="78">
        <v>76.503496503496507</v>
      </c>
      <c r="C34" s="78">
        <v>114.73684210526316</v>
      </c>
      <c r="D34" s="78">
        <v>81.111111111111114</v>
      </c>
      <c r="E34" s="78">
        <v>72.262773722627742</v>
      </c>
      <c r="F34" s="78">
        <v>82.912332838038637</v>
      </c>
      <c r="G34" s="254"/>
    </row>
    <row r="35" spans="1:7">
      <c r="A35" s="99">
        <v>2007</v>
      </c>
      <c r="B35" s="78">
        <v>77.340569877883311</v>
      </c>
      <c r="C35" s="78">
        <v>116.66666666666667</v>
      </c>
      <c r="D35" s="78">
        <v>81.872749099639847</v>
      </c>
      <c r="E35" s="78">
        <v>72.992700729927009</v>
      </c>
      <c r="F35" s="78">
        <v>83.620689655172413</v>
      </c>
      <c r="G35" s="254"/>
    </row>
    <row r="36" spans="1:7">
      <c r="A36" s="99">
        <v>2008</v>
      </c>
      <c r="B36" s="78">
        <v>77.673796791443849</v>
      </c>
      <c r="C36" s="78">
        <v>112.37113402061856</v>
      </c>
      <c r="D36" s="78">
        <v>81.65680473372781</v>
      </c>
      <c r="E36" s="78">
        <v>75.362318840579718</v>
      </c>
      <c r="F36" s="78">
        <v>82.885431400282883</v>
      </c>
      <c r="G36" s="254"/>
    </row>
    <row r="37" spans="1:7">
      <c r="A37" s="99">
        <v>2009</v>
      </c>
      <c r="B37" s="78">
        <v>80.327868852459019</v>
      </c>
      <c r="C37" s="78">
        <v>110.37735849056605</v>
      </c>
      <c r="D37" s="78">
        <v>84.229390681003579</v>
      </c>
      <c r="E37" s="78">
        <v>76.744186046511629</v>
      </c>
      <c r="F37" s="78">
        <v>85.472496473906915</v>
      </c>
      <c r="G37" s="254"/>
    </row>
    <row r="38" spans="1:7">
      <c r="A38" s="99">
        <v>2010</v>
      </c>
      <c r="B38" s="78">
        <v>80.273972602739732</v>
      </c>
      <c r="C38" s="78">
        <v>109.1743119266055</v>
      </c>
      <c r="D38" s="78">
        <v>84.028605482717524</v>
      </c>
      <c r="E38" s="78">
        <v>76.335877862595424</v>
      </c>
      <c r="F38" s="78">
        <v>85.572842998585571</v>
      </c>
      <c r="G38" s="254"/>
    </row>
    <row r="39" spans="1:7">
      <c r="A39" s="99">
        <v>2011</v>
      </c>
      <c r="B39" s="78">
        <v>81.521739130434781</v>
      </c>
      <c r="C39" s="78">
        <v>116.1904761904762</v>
      </c>
      <c r="D39" s="78">
        <v>85.850178359096319</v>
      </c>
      <c r="E39" s="78">
        <v>76.691729323308266</v>
      </c>
      <c r="F39" s="78">
        <v>87.570621468926561</v>
      </c>
      <c r="G39" s="254"/>
    </row>
    <row r="40" spans="1:7">
      <c r="A40" s="99">
        <v>2012</v>
      </c>
      <c r="B40" s="78">
        <v>79.946879150066394</v>
      </c>
      <c r="C40" s="78">
        <v>110.47619047619048</v>
      </c>
      <c r="D40" s="78">
        <v>83.682983682983675</v>
      </c>
      <c r="E40" s="78">
        <v>73.529411764705884</v>
      </c>
      <c r="F40" s="78">
        <v>85.477178423236509</v>
      </c>
      <c r="G40" s="254"/>
    </row>
    <row r="41" spans="1:7">
      <c r="A41" s="99">
        <v>2013</v>
      </c>
      <c r="B41" s="78">
        <v>78.096479791395041</v>
      </c>
      <c r="C41" s="78">
        <v>112.96296296296295</v>
      </c>
      <c r="D41" s="78">
        <v>82.494279176201374</v>
      </c>
      <c r="E41" s="78">
        <v>72.857142857142847</v>
      </c>
      <c r="F41" s="78">
        <v>84.332425068119889</v>
      </c>
      <c r="G41" s="254"/>
    </row>
    <row r="42" spans="1:7">
      <c r="A42" s="99">
        <v>2014</v>
      </c>
      <c r="B42" s="78">
        <v>77.863577863577859</v>
      </c>
      <c r="C42" s="78">
        <v>117.9245283018868</v>
      </c>
      <c r="D42" s="78">
        <v>82.672706681766712</v>
      </c>
      <c r="E42" s="78">
        <v>75.172413793103445</v>
      </c>
      <c r="F42" s="78">
        <v>84.146341463414629</v>
      </c>
      <c r="G42" s="254"/>
    </row>
    <row r="43" spans="1:7">
      <c r="A43" s="99">
        <v>2015</v>
      </c>
      <c r="B43" s="78">
        <v>77.2609819121447</v>
      </c>
      <c r="C43" s="78">
        <v>112.5</v>
      </c>
      <c r="D43" s="78">
        <v>81.623449830890635</v>
      </c>
      <c r="E43" s="78">
        <v>75</v>
      </c>
      <c r="F43" s="78">
        <v>82.907133243607007</v>
      </c>
      <c r="G43" s="254"/>
    </row>
    <row r="44" spans="1:7">
      <c r="A44" s="99">
        <v>2016</v>
      </c>
      <c r="B44" s="78">
        <v>78.954248366013076</v>
      </c>
      <c r="C44" s="78">
        <v>112.93103448275863</v>
      </c>
      <c r="D44" s="78">
        <v>83.427922814982963</v>
      </c>
      <c r="E44" s="78">
        <v>75.177304964539005</v>
      </c>
      <c r="F44" s="78">
        <v>85</v>
      </c>
      <c r="G44" s="254"/>
    </row>
    <row r="45" spans="1:7">
      <c r="A45" s="99">
        <v>2017</v>
      </c>
      <c r="B45" s="78">
        <v>78.987341772151893</v>
      </c>
      <c r="C45" s="78">
        <v>117.64705882352942</v>
      </c>
      <c r="D45" s="78">
        <v>83.938393839383934</v>
      </c>
      <c r="E45" s="78">
        <v>78.378378378378372</v>
      </c>
      <c r="F45" s="78">
        <v>85.151116951379763</v>
      </c>
      <c r="G45" s="254"/>
    </row>
    <row r="46" spans="1:7">
      <c r="A46" s="99">
        <v>2018</v>
      </c>
      <c r="B46" s="78">
        <v>81.32832080200501</v>
      </c>
      <c r="C46" s="78">
        <v>118.64406779661016</v>
      </c>
      <c r="D46" s="78">
        <v>86.04143947655399</v>
      </c>
      <c r="E46" s="78">
        <v>85.430463576158942</v>
      </c>
      <c r="F46" s="78">
        <v>86.031331592689298</v>
      </c>
      <c r="G46" s="254"/>
    </row>
    <row r="47" spans="1:7">
      <c r="A47" s="99">
        <v>2019</v>
      </c>
      <c r="B47" s="78">
        <v>79.949874686716797</v>
      </c>
      <c r="C47" s="78">
        <v>112.39669421487604</v>
      </c>
      <c r="D47" s="78">
        <v>84.221980413492929</v>
      </c>
      <c r="E47" s="78">
        <v>81.632653061224488</v>
      </c>
      <c r="F47" s="78">
        <v>84.715025906735747</v>
      </c>
      <c r="G47" s="254"/>
    </row>
    <row r="48" spans="1:7">
      <c r="B48" s="254"/>
      <c r="C48" s="254"/>
      <c r="D48" s="254"/>
      <c r="E48" s="254"/>
      <c r="F48" s="254"/>
    </row>
    <row r="49" spans="1:7">
      <c r="A49" s="256" t="s">
        <v>22</v>
      </c>
      <c r="B49" s="78">
        <f>B47-B4</f>
        <v>5.5559352927774057</v>
      </c>
      <c r="C49" s="78">
        <f t="shared" ref="C49:F49" si="0">C47-C4</f>
        <v>-41.840593920717183</v>
      </c>
      <c r="D49" s="78">
        <f t="shared" si="0"/>
        <v>3.2762224162745639</v>
      </c>
      <c r="E49" s="78">
        <f t="shared" si="0"/>
        <v>13.775510204081627</v>
      </c>
      <c r="F49" s="78">
        <f t="shared" si="0"/>
        <v>1.3542351324359174</v>
      </c>
    </row>
    <row r="50" spans="1:7">
      <c r="A50" s="256" t="s">
        <v>23</v>
      </c>
      <c r="B50" s="78">
        <f>B28-B4</f>
        <v>4.5766488413547251</v>
      </c>
      <c r="C50" s="78">
        <f t="shared" ref="C50:F50" si="1">C28-C4</f>
        <v>-36.259760045705576</v>
      </c>
      <c r="D50" s="78">
        <f t="shared" si="1"/>
        <v>2.5392875164357349</v>
      </c>
      <c r="E50" s="78">
        <f t="shared" si="1"/>
        <v>3.666035950804158</v>
      </c>
      <c r="F50" s="78">
        <f t="shared" si="1"/>
        <v>2.9073837006597785</v>
      </c>
    </row>
    <row r="51" spans="1:7">
      <c r="A51" s="256" t="s">
        <v>24</v>
      </c>
      <c r="B51" s="78">
        <f>B47-B28</f>
        <v>0.97928645142268067</v>
      </c>
      <c r="C51" s="78">
        <f t="shared" ref="C51:F51" si="2">C47-C28</f>
        <v>-5.5808338750116064</v>
      </c>
      <c r="D51" s="78">
        <f t="shared" si="2"/>
        <v>0.73693489983882898</v>
      </c>
      <c r="E51" s="78">
        <f t="shared" si="2"/>
        <v>10.109474253277469</v>
      </c>
      <c r="F51" s="78">
        <f t="shared" si="2"/>
        <v>-1.553148568223861</v>
      </c>
    </row>
    <row r="54" spans="1:7" ht="51">
      <c r="A54" s="258" t="s">
        <v>13</v>
      </c>
      <c r="B54" s="259">
        <v>1976</v>
      </c>
      <c r="C54" s="260" t="s">
        <v>14</v>
      </c>
      <c r="D54" s="261">
        <v>2000</v>
      </c>
      <c r="E54" s="260" t="s">
        <v>14</v>
      </c>
      <c r="F54" s="261">
        <v>2019</v>
      </c>
      <c r="G54" s="260" t="s">
        <v>14</v>
      </c>
    </row>
    <row r="55" spans="1:7" ht="17">
      <c r="A55" s="262" t="s">
        <v>15</v>
      </c>
      <c r="B55" s="269">
        <v>74.393939393939391</v>
      </c>
      <c r="C55" s="264">
        <v>82.076813318234443</v>
      </c>
      <c r="D55" s="269">
        <v>78.970588235294116</v>
      </c>
      <c r="E55" s="264">
        <v>83.329063557015672</v>
      </c>
      <c r="F55" s="264">
        <v>79.949874686716797</v>
      </c>
      <c r="G55" s="264">
        <v>91.30020409450276</v>
      </c>
    </row>
    <row r="56" spans="1:7">
      <c r="A56" s="265" t="s">
        <v>16</v>
      </c>
      <c r="B56" s="269">
        <v>154.23728813559322</v>
      </c>
      <c r="C56" s="264">
        <v>1903.5497613810942</v>
      </c>
      <c r="D56" s="269">
        <v>117.97752808988764</v>
      </c>
      <c r="E56" s="264">
        <v>951.15068889554016</v>
      </c>
      <c r="F56" s="264">
        <v>112.39669421487604</v>
      </c>
      <c r="G56" s="264">
        <v>846.49621407939287</v>
      </c>
    </row>
    <row r="57" spans="1:7" ht="17">
      <c r="A57" s="262" t="s">
        <v>17</v>
      </c>
      <c r="B57" s="269">
        <v>80.945757997218365</v>
      </c>
      <c r="C57" s="264">
        <v>81.977009098927226</v>
      </c>
      <c r="D57" s="269">
        <v>83.4850455136541</v>
      </c>
      <c r="E57" s="264">
        <v>77.897297243994132</v>
      </c>
      <c r="F57" s="264">
        <v>84.221980413492929</v>
      </c>
      <c r="G57" s="264">
        <v>83.515443216691409</v>
      </c>
    </row>
    <row r="58" spans="1:7" ht="17">
      <c r="A58" s="262" t="s">
        <v>18</v>
      </c>
      <c r="B58" s="269">
        <v>67.857142857142861</v>
      </c>
      <c r="C58" s="264">
        <v>441.16841524159071</v>
      </c>
      <c r="D58" s="269">
        <v>71.523178807947019</v>
      </c>
      <c r="E58" s="264">
        <v>339.86770735957271</v>
      </c>
      <c r="F58" s="264">
        <v>81.632653061224488</v>
      </c>
      <c r="G58" s="264">
        <v>506.06165202147764</v>
      </c>
    </row>
    <row r="59" spans="1:7" ht="17">
      <c r="A59" s="262" t="s">
        <v>19</v>
      </c>
      <c r="B59" s="269">
        <v>83.360790774299829</v>
      </c>
      <c r="C59" s="264">
        <v>100</v>
      </c>
      <c r="D59" s="269">
        <v>86.268174474959608</v>
      </c>
      <c r="E59" s="264">
        <v>100</v>
      </c>
      <c r="F59" s="264">
        <v>84.715025906735747</v>
      </c>
      <c r="G59" s="264">
        <v>100</v>
      </c>
    </row>
    <row r="62" spans="1:7">
      <c r="A62" s="99" t="s">
        <v>607</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BE57E-445C-3745-A693-832688887156}">
  <dimension ref="A1:T78"/>
  <sheetViews>
    <sheetView zoomScale="81" zoomScaleNormal="123" workbookViewId="0">
      <pane xSplit="1" topLeftCell="B1" activePane="topRight" state="frozen"/>
      <selection pane="topRight"/>
    </sheetView>
  </sheetViews>
  <sheetFormatPr baseColWidth="10" defaultColWidth="10.83203125" defaultRowHeight="16"/>
  <cols>
    <col min="1" max="1" width="19.83203125" style="99" customWidth="1"/>
    <col min="2" max="20" width="14.83203125" style="99" customWidth="1"/>
    <col min="21" max="16384" width="10.83203125" style="99"/>
  </cols>
  <sheetData>
    <row r="1" spans="1:20">
      <c r="A1" s="281" t="s">
        <v>641</v>
      </c>
    </row>
    <row r="2" spans="1:20">
      <c r="A2" s="99" t="s">
        <v>136</v>
      </c>
    </row>
    <row r="3" spans="1:20">
      <c r="B3" s="280"/>
      <c r="C3" s="280"/>
      <c r="D3" s="280"/>
      <c r="E3" s="280"/>
      <c r="F3" s="280"/>
      <c r="G3" s="280"/>
      <c r="H3" s="280"/>
      <c r="I3" s="280"/>
      <c r="J3" s="280"/>
      <c r="K3" s="280"/>
      <c r="L3" s="280"/>
      <c r="M3" s="280"/>
      <c r="N3" s="280"/>
      <c r="O3" s="280"/>
      <c r="P3" s="280"/>
      <c r="Q3" s="280"/>
      <c r="R3" s="280"/>
      <c r="S3" s="280"/>
      <c r="T3" s="280"/>
    </row>
    <row r="4" spans="1:20">
      <c r="B4" s="334" t="s">
        <v>137</v>
      </c>
      <c r="C4" s="334"/>
      <c r="D4" s="334"/>
      <c r="E4" s="334"/>
      <c r="F4" s="335" t="s">
        <v>138</v>
      </c>
      <c r="G4" s="345"/>
      <c r="H4" s="345"/>
      <c r="I4" s="336"/>
      <c r="J4" s="334" t="s">
        <v>139</v>
      </c>
      <c r="K4" s="334"/>
      <c r="L4" s="334"/>
      <c r="M4" s="334"/>
      <c r="N4" s="335" t="s">
        <v>156</v>
      </c>
      <c r="O4" s="345"/>
      <c r="P4" s="345"/>
      <c r="Q4" s="336"/>
      <c r="R4" s="334" t="s">
        <v>140</v>
      </c>
      <c r="S4" s="334"/>
      <c r="T4" s="334"/>
    </row>
    <row r="5" spans="1:20" ht="47" customHeight="1">
      <c r="B5" s="100" t="s">
        <v>141</v>
      </c>
      <c r="C5" s="100" t="s">
        <v>142</v>
      </c>
      <c r="D5" s="100" t="s">
        <v>143</v>
      </c>
      <c r="E5" s="100" t="s">
        <v>144</v>
      </c>
      <c r="F5" s="275" t="s">
        <v>141</v>
      </c>
      <c r="G5" s="282" t="s">
        <v>142</v>
      </c>
      <c r="H5" s="282" t="s">
        <v>143</v>
      </c>
      <c r="I5" s="276" t="s">
        <v>144</v>
      </c>
      <c r="J5" s="100" t="s">
        <v>141</v>
      </c>
      <c r="K5" s="100" t="s">
        <v>142</v>
      </c>
      <c r="L5" s="100" t="s">
        <v>143</v>
      </c>
      <c r="M5" s="100" t="s">
        <v>144</v>
      </c>
      <c r="N5" s="275" t="s">
        <v>141</v>
      </c>
      <c r="O5" s="282" t="s">
        <v>142</v>
      </c>
      <c r="P5" s="282" t="s">
        <v>143</v>
      </c>
      <c r="Q5" s="276" t="s">
        <v>144</v>
      </c>
      <c r="R5" s="100" t="s">
        <v>142</v>
      </c>
      <c r="S5" s="100" t="s">
        <v>143</v>
      </c>
      <c r="T5" s="100" t="s">
        <v>144</v>
      </c>
    </row>
    <row r="6" spans="1:20">
      <c r="A6" s="99">
        <v>1982</v>
      </c>
      <c r="B6" s="271"/>
      <c r="C6" s="271"/>
      <c r="D6" s="271"/>
      <c r="E6" s="271"/>
      <c r="F6" s="202">
        <v>41300</v>
      </c>
      <c r="G6" s="203">
        <v>4040</v>
      </c>
      <c r="H6" s="203">
        <v>51700</v>
      </c>
      <c r="I6" s="277">
        <v>63500</v>
      </c>
      <c r="J6" s="101">
        <v>27700</v>
      </c>
      <c r="K6" s="101">
        <v>20200</v>
      </c>
      <c r="L6" s="101">
        <v>32600</v>
      </c>
      <c r="M6" s="101">
        <v>38400</v>
      </c>
      <c r="N6" s="202">
        <v>23500</v>
      </c>
      <c r="O6" s="203">
        <v>40390</v>
      </c>
      <c r="P6" s="203">
        <v>27700</v>
      </c>
      <c r="Q6" s="277">
        <v>31900</v>
      </c>
      <c r="R6" s="101">
        <v>403870</v>
      </c>
      <c r="S6" s="101">
        <v>9600</v>
      </c>
      <c r="T6" s="101">
        <v>11500</v>
      </c>
    </row>
    <row r="7" spans="1:20">
      <c r="A7" s="99">
        <v>1983</v>
      </c>
      <c r="B7" s="271"/>
      <c r="C7" s="271"/>
      <c r="D7" s="271"/>
      <c r="E7" s="271"/>
      <c r="F7" s="202">
        <v>42700</v>
      </c>
      <c r="G7" s="203">
        <v>4095</v>
      </c>
      <c r="H7" s="203">
        <v>53900</v>
      </c>
      <c r="I7" s="277">
        <v>65700</v>
      </c>
      <c r="J7" s="101">
        <v>29300</v>
      </c>
      <c r="K7" s="101">
        <v>20470</v>
      </c>
      <c r="L7" s="101">
        <v>34300</v>
      </c>
      <c r="M7" s="101">
        <v>40200</v>
      </c>
      <c r="N7" s="202">
        <v>24800</v>
      </c>
      <c r="O7" s="203">
        <v>40940</v>
      </c>
      <c r="P7" s="203">
        <v>29300</v>
      </c>
      <c r="Q7" s="277">
        <v>33500</v>
      </c>
      <c r="R7" s="101">
        <v>409390</v>
      </c>
      <c r="S7" s="101">
        <v>10000</v>
      </c>
      <c r="T7" s="101">
        <v>12000</v>
      </c>
    </row>
    <row r="8" spans="1:20">
      <c r="A8" s="99">
        <v>1984</v>
      </c>
      <c r="B8" s="271"/>
      <c r="C8" s="271"/>
      <c r="D8" s="271"/>
      <c r="E8" s="271"/>
      <c r="F8" s="202">
        <v>44600</v>
      </c>
      <c r="G8" s="203">
        <v>4105</v>
      </c>
      <c r="H8" s="203">
        <v>55500</v>
      </c>
      <c r="I8" s="277">
        <v>68500</v>
      </c>
      <c r="J8" s="101">
        <v>30800</v>
      </c>
      <c r="K8" s="101">
        <v>20510</v>
      </c>
      <c r="L8" s="101">
        <v>35900</v>
      </c>
      <c r="M8" s="101">
        <v>42000</v>
      </c>
      <c r="N8" s="202">
        <v>26000</v>
      </c>
      <c r="O8" s="203">
        <v>41020</v>
      </c>
      <c r="P8" s="203">
        <v>30800</v>
      </c>
      <c r="Q8" s="277">
        <v>35000</v>
      </c>
      <c r="R8" s="101">
        <v>410105</v>
      </c>
      <c r="S8" s="101">
        <v>10700</v>
      </c>
      <c r="T8" s="101">
        <v>12700</v>
      </c>
    </row>
    <row r="9" spans="1:20">
      <c r="A9" s="99">
        <v>1985</v>
      </c>
      <c r="B9" s="271"/>
      <c r="C9" s="271"/>
      <c r="D9" s="271"/>
      <c r="E9" s="271"/>
      <c r="F9" s="202">
        <v>47200</v>
      </c>
      <c r="G9" s="203">
        <v>4125</v>
      </c>
      <c r="H9" s="203">
        <v>59300</v>
      </c>
      <c r="I9" s="277">
        <v>71100</v>
      </c>
      <c r="J9" s="101">
        <v>32000</v>
      </c>
      <c r="K9" s="101">
        <v>20605</v>
      </c>
      <c r="L9" s="101">
        <v>37700</v>
      </c>
      <c r="M9" s="101">
        <v>43900</v>
      </c>
      <c r="N9" s="202">
        <v>26900</v>
      </c>
      <c r="O9" s="203">
        <v>41210</v>
      </c>
      <c r="P9" s="203">
        <v>32000</v>
      </c>
      <c r="Q9" s="277">
        <v>36500</v>
      </c>
      <c r="R9" s="101">
        <v>412090</v>
      </c>
      <c r="S9" s="101">
        <v>11100</v>
      </c>
      <c r="T9" s="101">
        <v>13300</v>
      </c>
    </row>
    <row r="10" spans="1:20">
      <c r="A10" s="99">
        <v>1986</v>
      </c>
      <c r="B10" s="271"/>
      <c r="C10" s="271"/>
      <c r="D10" s="271"/>
      <c r="E10" s="271"/>
      <c r="F10" s="202">
        <v>50100</v>
      </c>
      <c r="G10" s="203">
        <v>4410</v>
      </c>
      <c r="H10" s="203">
        <v>62000</v>
      </c>
      <c r="I10" s="277">
        <v>77900</v>
      </c>
      <c r="J10" s="101">
        <v>33100</v>
      </c>
      <c r="K10" s="101">
        <v>22030</v>
      </c>
      <c r="L10" s="101">
        <v>39000</v>
      </c>
      <c r="M10" s="101">
        <v>46400</v>
      </c>
      <c r="N10" s="202">
        <v>27700</v>
      </c>
      <c r="O10" s="203">
        <v>44060</v>
      </c>
      <c r="P10" s="203">
        <v>33100</v>
      </c>
      <c r="Q10" s="277">
        <v>38200</v>
      </c>
      <c r="R10" s="101">
        <v>440510</v>
      </c>
      <c r="S10" s="101">
        <v>11300</v>
      </c>
      <c r="T10" s="101">
        <v>13800</v>
      </c>
    </row>
    <row r="11" spans="1:20">
      <c r="A11" s="99">
        <v>1987</v>
      </c>
      <c r="B11" s="271"/>
      <c r="C11" s="271"/>
      <c r="D11" s="271"/>
      <c r="E11" s="271"/>
      <c r="F11" s="202">
        <v>52400</v>
      </c>
      <c r="G11" s="203">
        <v>4525</v>
      </c>
      <c r="H11" s="203">
        <v>68300</v>
      </c>
      <c r="I11" s="277">
        <v>83500</v>
      </c>
      <c r="J11" s="101">
        <v>34100</v>
      </c>
      <c r="K11" s="101">
        <v>22625</v>
      </c>
      <c r="L11" s="101">
        <v>40500</v>
      </c>
      <c r="M11" s="101">
        <v>48600</v>
      </c>
      <c r="N11" s="202">
        <v>28500</v>
      </c>
      <c r="O11" s="203">
        <v>45240</v>
      </c>
      <c r="P11" s="203">
        <v>34100</v>
      </c>
      <c r="Q11" s="277">
        <v>39800</v>
      </c>
      <c r="R11" s="101">
        <v>452370</v>
      </c>
      <c r="S11" s="101">
        <v>11700</v>
      </c>
      <c r="T11" s="101">
        <v>14300</v>
      </c>
    </row>
    <row r="12" spans="1:20">
      <c r="A12" s="99">
        <v>1988</v>
      </c>
      <c r="B12" s="271"/>
      <c r="C12" s="271"/>
      <c r="D12" s="271"/>
      <c r="E12" s="271"/>
      <c r="F12" s="202">
        <v>55400</v>
      </c>
      <c r="G12" s="203">
        <v>4650</v>
      </c>
      <c r="H12" s="203">
        <v>74300</v>
      </c>
      <c r="I12" s="277">
        <v>104700</v>
      </c>
      <c r="J12" s="101">
        <v>35200</v>
      </c>
      <c r="K12" s="101">
        <v>23235</v>
      </c>
      <c r="L12" s="101">
        <v>41700</v>
      </c>
      <c r="M12" s="101">
        <v>53900</v>
      </c>
      <c r="N12" s="202">
        <v>29800</v>
      </c>
      <c r="O12" s="203">
        <v>46465</v>
      </c>
      <c r="P12" s="203">
        <v>35200</v>
      </c>
      <c r="Q12" s="277">
        <v>43100</v>
      </c>
      <c r="R12" s="101">
        <v>464620</v>
      </c>
      <c r="S12" s="101">
        <v>12500</v>
      </c>
      <c r="T12" s="101">
        <v>15400</v>
      </c>
    </row>
    <row r="13" spans="1:20">
      <c r="A13" s="99">
        <v>1989</v>
      </c>
      <c r="B13" s="271"/>
      <c r="C13" s="271"/>
      <c r="D13" s="271"/>
      <c r="E13" s="271"/>
      <c r="F13" s="202">
        <v>58500</v>
      </c>
      <c r="G13" s="203">
        <v>4815</v>
      </c>
      <c r="H13" s="203">
        <v>77600</v>
      </c>
      <c r="I13" s="277">
        <v>109300</v>
      </c>
      <c r="J13" s="101">
        <v>37000</v>
      </c>
      <c r="K13" s="101">
        <v>24080</v>
      </c>
      <c r="L13" s="101">
        <v>44100</v>
      </c>
      <c r="M13" s="101">
        <v>56600</v>
      </c>
      <c r="N13" s="202">
        <v>31200</v>
      </c>
      <c r="O13" s="203">
        <v>48160</v>
      </c>
      <c r="P13" s="203">
        <v>37000</v>
      </c>
      <c r="Q13" s="277">
        <v>45200</v>
      </c>
      <c r="R13" s="101">
        <v>481445</v>
      </c>
      <c r="S13" s="101">
        <v>13300</v>
      </c>
      <c r="T13" s="101">
        <v>16200</v>
      </c>
    </row>
    <row r="14" spans="1:20">
      <c r="A14" s="99">
        <v>1990</v>
      </c>
      <c r="B14" s="101">
        <v>147400</v>
      </c>
      <c r="C14" s="271">
        <v>500</v>
      </c>
      <c r="D14" s="101">
        <v>203600</v>
      </c>
      <c r="E14" s="101">
        <v>286300</v>
      </c>
      <c r="F14" s="202">
        <v>58900</v>
      </c>
      <c r="G14" s="203">
        <v>4980</v>
      </c>
      <c r="H14" s="203">
        <v>77100</v>
      </c>
      <c r="I14" s="277">
        <v>101300</v>
      </c>
      <c r="J14" s="101">
        <v>37600</v>
      </c>
      <c r="K14" s="101">
        <v>24895</v>
      </c>
      <c r="L14" s="101">
        <v>44900</v>
      </c>
      <c r="M14" s="101">
        <v>55600</v>
      </c>
      <c r="N14" s="202">
        <v>31700</v>
      </c>
      <c r="O14" s="203">
        <v>49790</v>
      </c>
      <c r="P14" s="203">
        <v>37600</v>
      </c>
      <c r="Q14" s="277">
        <v>44900</v>
      </c>
      <c r="R14" s="101">
        <v>497815</v>
      </c>
      <c r="S14" s="101">
        <v>13700</v>
      </c>
      <c r="T14" s="101">
        <v>16700</v>
      </c>
    </row>
    <row r="15" spans="1:20">
      <c r="A15" s="99">
        <v>1991</v>
      </c>
      <c r="B15" s="101">
        <v>145100</v>
      </c>
      <c r="C15" s="271">
        <v>505</v>
      </c>
      <c r="D15" s="101">
        <v>204200</v>
      </c>
      <c r="E15" s="101">
        <v>251300</v>
      </c>
      <c r="F15" s="202">
        <v>60500</v>
      </c>
      <c r="G15" s="203">
        <v>5045</v>
      </c>
      <c r="H15" s="203">
        <v>77200</v>
      </c>
      <c r="I15" s="277">
        <v>98100</v>
      </c>
      <c r="J15" s="101">
        <v>38900</v>
      </c>
      <c r="K15" s="101">
        <v>25225</v>
      </c>
      <c r="L15" s="101">
        <v>46400</v>
      </c>
      <c r="M15" s="101">
        <v>56100</v>
      </c>
      <c r="N15" s="202">
        <v>32700</v>
      </c>
      <c r="O15" s="203">
        <v>50455</v>
      </c>
      <c r="P15" s="203">
        <v>38900</v>
      </c>
      <c r="Q15" s="277">
        <v>45800</v>
      </c>
      <c r="R15" s="101">
        <v>504420</v>
      </c>
      <c r="S15" s="101">
        <v>14100</v>
      </c>
      <c r="T15" s="101">
        <v>17100</v>
      </c>
    </row>
    <row r="16" spans="1:20">
      <c r="A16" s="99">
        <v>1992</v>
      </c>
      <c r="B16" s="101">
        <v>152700</v>
      </c>
      <c r="C16" s="271">
        <v>515</v>
      </c>
      <c r="D16" s="101">
        <v>226200</v>
      </c>
      <c r="E16" s="101">
        <v>276500</v>
      </c>
      <c r="F16" s="202">
        <v>61600</v>
      </c>
      <c r="G16" s="203">
        <v>5145</v>
      </c>
      <c r="H16" s="203">
        <v>78700</v>
      </c>
      <c r="I16" s="277">
        <v>102200</v>
      </c>
      <c r="J16" s="101">
        <v>39900</v>
      </c>
      <c r="K16" s="101">
        <v>25715</v>
      </c>
      <c r="L16" s="101">
        <v>47500</v>
      </c>
      <c r="M16" s="101">
        <v>57800</v>
      </c>
      <c r="N16" s="202">
        <v>33700</v>
      </c>
      <c r="O16" s="203">
        <v>51425</v>
      </c>
      <c r="P16" s="203">
        <v>39900</v>
      </c>
      <c r="Q16" s="277">
        <v>47100</v>
      </c>
      <c r="R16" s="101">
        <v>514215</v>
      </c>
      <c r="S16" s="101">
        <v>14200</v>
      </c>
      <c r="T16" s="101">
        <v>17400</v>
      </c>
    </row>
    <row r="17" spans="1:20">
      <c r="A17" s="99">
        <v>1993</v>
      </c>
      <c r="B17" s="101">
        <v>177700</v>
      </c>
      <c r="C17" s="271">
        <v>525</v>
      </c>
      <c r="D17" s="101">
        <v>287900</v>
      </c>
      <c r="E17" s="101">
        <v>367300</v>
      </c>
      <c r="F17" s="202">
        <v>64800</v>
      </c>
      <c r="G17" s="203">
        <v>5235</v>
      </c>
      <c r="H17" s="203">
        <v>83400</v>
      </c>
      <c r="I17" s="277">
        <v>117700</v>
      </c>
      <c r="J17" s="101">
        <v>40300</v>
      </c>
      <c r="K17" s="101">
        <v>26160</v>
      </c>
      <c r="L17" s="101">
        <v>48300</v>
      </c>
      <c r="M17" s="101">
        <v>61700</v>
      </c>
      <c r="N17" s="202">
        <v>33700</v>
      </c>
      <c r="O17" s="203">
        <v>52330</v>
      </c>
      <c r="P17" s="203">
        <v>40300</v>
      </c>
      <c r="Q17" s="277">
        <v>49200</v>
      </c>
      <c r="R17" s="101">
        <v>523175</v>
      </c>
      <c r="S17" s="101">
        <v>14200</v>
      </c>
      <c r="T17" s="101">
        <v>17700</v>
      </c>
    </row>
    <row r="18" spans="1:20">
      <c r="A18" s="99">
        <v>1994</v>
      </c>
      <c r="B18" s="101">
        <v>219500</v>
      </c>
      <c r="C18" s="271">
        <v>530</v>
      </c>
      <c r="D18" s="101">
        <v>361900</v>
      </c>
      <c r="E18" s="101">
        <v>397600</v>
      </c>
      <c r="F18" s="202">
        <v>94900</v>
      </c>
      <c r="G18" s="203">
        <v>5280</v>
      </c>
      <c r="H18" s="203">
        <v>124700</v>
      </c>
      <c r="I18" s="277">
        <v>154800</v>
      </c>
      <c r="J18" s="101">
        <v>45900</v>
      </c>
      <c r="K18" s="101">
        <v>26380</v>
      </c>
      <c r="L18" s="101">
        <v>61300</v>
      </c>
      <c r="M18" s="101">
        <v>79200</v>
      </c>
      <c r="N18" s="202">
        <v>36100</v>
      </c>
      <c r="O18" s="203">
        <v>52755</v>
      </c>
      <c r="P18" s="203">
        <v>45900</v>
      </c>
      <c r="Q18" s="277">
        <v>59700</v>
      </c>
      <c r="R18" s="101">
        <v>527505</v>
      </c>
      <c r="S18" s="101">
        <v>14400</v>
      </c>
      <c r="T18" s="101">
        <v>19100</v>
      </c>
    </row>
    <row r="19" spans="1:20">
      <c r="A19" s="99">
        <v>1995</v>
      </c>
      <c r="B19" s="101">
        <v>149800</v>
      </c>
      <c r="C19" s="271">
        <v>535</v>
      </c>
      <c r="D19" s="101">
        <v>213100</v>
      </c>
      <c r="E19" s="101">
        <v>253400</v>
      </c>
      <c r="F19" s="202">
        <v>66800</v>
      </c>
      <c r="G19" s="203">
        <v>5345</v>
      </c>
      <c r="H19" s="203">
        <v>83900</v>
      </c>
      <c r="I19" s="277">
        <v>104600</v>
      </c>
      <c r="J19" s="101">
        <v>41800</v>
      </c>
      <c r="K19" s="101">
        <v>26705</v>
      </c>
      <c r="L19" s="101">
        <v>50300</v>
      </c>
      <c r="M19" s="101">
        <v>60600</v>
      </c>
      <c r="N19" s="202">
        <v>34600</v>
      </c>
      <c r="O19" s="203">
        <v>53395</v>
      </c>
      <c r="P19" s="203">
        <v>41800</v>
      </c>
      <c r="Q19" s="277">
        <v>49200</v>
      </c>
      <c r="R19" s="101">
        <v>533910</v>
      </c>
      <c r="S19" s="101">
        <v>14400</v>
      </c>
      <c r="T19" s="101">
        <v>17800</v>
      </c>
    </row>
    <row r="20" spans="1:20">
      <c r="A20" s="99">
        <v>1996</v>
      </c>
      <c r="B20" s="101">
        <v>160900</v>
      </c>
      <c r="C20" s="271">
        <v>540</v>
      </c>
      <c r="D20" s="101">
        <v>226400</v>
      </c>
      <c r="E20" s="101">
        <v>348400</v>
      </c>
      <c r="F20" s="202">
        <v>67800</v>
      </c>
      <c r="G20" s="203">
        <v>5370</v>
      </c>
      <c r="H20" s="203">
        <v>86700</v>
      </c>
      <c r="I20" s="277">
        <v>116400</v>
      </c>
      <c r="J20" s="101">
        <v>42400</v>
      </c>
      <c r="K20" s="101">
        <v>26835</v>
      </c>
      <c r="L20" s="101">
        <v>51200</v>
      </c>
      <c r="M20" s="101">
        <v>63500</v>
      </c>
      <c r="N20" s="202">
        <v>34900</v>
      </c>
      <c r="O20" s="203">
        <v>53665</v>
      </c>
      <c r="P20" s="203">
        <v>42400</v>
      </c>
      <c r="Q20" s="277">
        <v>50800</v>
      </c>
      <c r="R20" s="101">
        <v>536615</v>
      </c>
      <c r="S20" s="101">
        <v>14500</v>
      </c>
      <c r="T20" s="101">
        <v>18100</v>
      </c>
    </row>
    <row r="21" spans="1:20">
      <c r="A21" s="99">
        <v>1997</v>
      </c>
      <c r="B21" s="101">
        <v>167300</v>
      </c>
      <c r="C21" s="271">
        <v>540</v>
      </c>
      <c r="D21" s="101">
        <v>225800</v>
      </c>
      <c r="E21" s="101">
        <v>287600</v>
      </c>
      <c r="F21" s="202">
        <v>68900</v>
      </c>
      <c r="G21" s="203">
        <v>5395</v>
      </c>
      <c r="H21" s="203">
        <v>87500</v>
      </c>
      <c r="I21" s="277">
        <v>112500</v>
      </c>
      <c r="J21" s="101">
        <v>42900</v>
      </c>
      <c r="K21" s="101">
        <v>26980</v>
      </c>
      <c r="L21" s="101">
        <v>51900</v>
      </c>
      <c r="M21" s="101">
        <v>63400</v>
      </c>
      <c r="N21" s="202">
        <v>35300</v>
      </c>
      <c r="O21" s="203">
        <v>53960</v>
      </c>
      <c r="P21" s="203">
        <v>42900</v>
      </c>
      <c r="Q21" s="277">
        <v>51000</v>
      </c>
      <c r="R21" s="101">
        <v>539440</v>
      </c>
      <c r="S21" s="101">
        <v>14600</v>
      </c>
      <c r="T21" s="101">
        <v>18300</v>
      </c>
    </row>
    <row r="22" spans="1:20">
      <c r="A22" s="99">
        <v>1998</v>
      </c>
      <c r="B22" s="101">
        <v>179600</v>
      </c>
      <c r="C22" s="271">
        <v>550</v>
      </c>
      <c r="D22" s="101">
        <v>238000</v>
      </c>
      <c r="E22" s="101">
        <v>294600</v>
      </c>
      <c r="F22" s="202">
        <v>70000</v>
      </c>
      <c r="G22" s="203">
        <v>5460</v>
      </c>
      <c r="H22" s="203">
        <v>92600</v>
      </c>
      <c r="I22" s="277">
        <v>117200</v>
      </c>
      <c r="J22" s="101">
        <v>43800</v>
      </c>
      <c r="K22" s="101">
        <v>27305</v>
      </c>
      <c r="L22" s="101">
        <v>53000</v>
      </c>
      <c r="M22" s="101">
        <v>65200</v>
      </c>
      <c r="N22" s="202">
        <v>36000</v>
      </c>
      <c r="O22" s="203">
        <v>54595</v>
      </c>
      <c r="P22" s="203">
        <v>43800</v>
      </c>
      <c r="Q22" s="277">
        <v>52300</v>
      </c>
      <c r="R22" s="101">
        <v>545940</v>
      </c>
      <c r="S22" s="101">
        <v>15100</v>
      </c>
      <c r="T22" s="101">
        <v>18700</v>
      </c>
    </row>
    <row r="23" spans="1:20">
      <c r="A23" s="99">
        <v>1999</v>
      </c>
      <c r="B23" s="101">
        <v>208000</v>
      </c>
      <c r="C23" s="271">
        <v>555</v>
      </c>
      <c r="D23" s="101">
        <v>290500</v>
      </c>
      <c r="E23" s="101">
        <v>382000</v>
      </c>
      <c r="F23" s="202">
        <v>73200</v>
      </c>
      <c r="G23" s="203">
        <v>5535</v>
      </c>
      <c r="H23" s="203">
        <v>96200</v>
      </c>
      <c r="I23" s="277">
        <v>130400</v>
      </c>
      <c r="J23" s="101">
        <v>46000</v>
      </c>
      <c r="K23" s="101">
        <v>27675</v>
      </c>
      <c r="L23" s="101">
        <v>55500</v>
      </c>
      <c r="M23" s="101">
        <v>69800</v>
      </c>
      <c r="N23" s="202">
        <v>37600</v>
      </c>
      <c r="O23" s="203">
        <v>55355</v>
      </c>
      <c r="P23" s="203">
        <v>46000</v>
      </c>
      <c r="Q23" s="277">
        <v>55500</v>
      </c>
      <c r="R23" s="101">
        <v>553420</v>
      </c>
      <c r="S23" s="101">
        <v>15900</v>
      </c>
      <c r="T23" s="101">
        <v>19700</v>
      </c>
    </row>
    <row r="24" spans="1:20">
      <c r="A24" s="99">
        <v>2000</v>
      </c>
      <c r="B24" s="101">
        <v>242300</v>
      </c>
      <c r="C24" s="271">
        <v>560</v>
      </c>
      <c r="D24" s="101">
        <v>337000</v>
      </c>
      <c r="E24" s="101">
        <v>461800</v>
      </c>
      <c r="F24" s="202">
        <v>83700</v>
      </c>
      <c r="G24" s="203">
        <v>5590</v>
      </c>
      <c r="H24" s="203">
        <v>109100</v>
      </c>
      <c r="I24" s="277">
        <v>152800</v>
      </c>
      <c r="J24" s="101">
        <v>49900</v>
      </c>
      <c r="K24" s="101">
        <v>27930</v>
      </c>
      <c r="L24" s="101">
        <v>61200</v>
      </c>
      <c r="M24" s="101">
        <v>78800</v>
      </c>
      <c r="N24" s="202">
        <v>39600</v>
      </c>
      <c r="O24" s="203">
        <v>55870</v>
      </c>
      <c r="P24" s="203">
        <v>49900</v>
      </c>
      <c r="Q24" s="277">
        <v>61400</v>
      </c>
      <c r="R24" s="101">
        <v>558590</v>
      </c>
      <c r="S24" s="101">
        <v>16700</v>
      </c>
      <c r="T24" s="101">
        <v>21000</v>
      </c>
    </row>
    <row r="25" spans="1:20">
      <c r="A25" s="99">
        <v>2001</v>
      </c>
      <c r="B25" s="101">
        <v>216700</v>
      </c>
      <c r="C25" s="271">
        <v>570</v>
      </c>
      <c r="D25" s="101">
        <v>316700</v>
      </c>
      <c r="E25" s="101">
        <v>395600</v>
      </c>
      <c r="F25" s="202">
        <v>83500</v>
      </c>
      <c r="G25" s="203">
        <v>5675</v>
      </c>
      <c r="H25" s="203">
        <v>110200</v>
      </c>
      <c r="I25" s="277">
        <v>144300</v>
      </c>
      <c r="J25" s="101">
        <v>50100</v>
      </c>
      <c r="K25" s="101">
        <v>28370</v>
      </c>
      <c r="L25" s="101">
        <v>61200</v>
      </c>
      <c r="M25" s="101">
        <v>77200</v>
      </c>
      <c r="N25" s="202">
        <v>40500</v>
      </c>
      <c r="O25" s="203">
        <v>56740</v>
      </c>
      <c r="P25" s="203">
        <v>50100</v>
      </c>
      <c r="Q25" s="277">
        <v>60800</v>
      </c>
      <c r="R25" s="101">
        <v>567385</v>
      </c>
      <c r="S25" s="101">
        <v>17400</v>
      </c>
      <c r="T25" s="101">
        <v>21400</v>
      </c>
    </row>
    <row r="26" spans="1:20">
      <c r="A26" s="99">
        <v>2002</v>
      </c>
      <c r="B26" s="101">
        <v>230700</v>
      </c>
      <c r="C26" s="271">
        <v>570</v>
      </c>
      <c r="D26" s="101">
        <v>324300</v>
      </c>
      <c r="E26" s="101">
        <v>422300</v>
      </c>
      <c r="F26" s="202">
        <v>84700</v>
      </c>
      <c r="G26" s="203">
        <v>5695</v>
      </c>
      <c r="H26" s="203">
        <v>112100</v>
      </c>
      <c r="I26" s="277">
        <v>148800</v>
      </c>
      <c r="J26" s="101">
        <v>51400</v>
      </c>
      <c r="K26" s="101">
        <v>28455</v>
      </c>
      <c r="L26" s="101">
        <v>62700</v>
      </c>
      <c r="M26" s="101">
        <v>79200</v>
      </c>
      <c r="N26" s="202">
        <v>41700</v>
      </c>
      <c r="O26" s="203">
        <v>56915</v>
      </c>
      <c r="P26" s="203">
        <v>51400</v>
      </c>
      <c r="Q26" s="277">
        <v>62500</v>
      </c>
      <c r="R26" s="101">
        <v>569030</v>
      </c>
      <c r="S26" s="101">
        <v>18000</v>
      </c>
      <c r="T26" s="101">
        <v>22100</v>
      </c>
    </row>
    <row r="27" spans="1:20">
      <c r="A27" s="99">
        <v>2003</v>
      </c>
      <c r="B27" s="101">
        <v>225600</v>
      </c>
      <c r="C27" s="271">
        <v>575</v>
      </c>
      <c r="D27" s="101">
        <v>342000</v>
      </c>
      <c r="E27" s="101">
        <v>489300</v>
      </c>
      <c r="F27" s="202">
        <v>85700</v>
      </c>
      <c r="G27" s="203">
        <v>5715</v>
      </c>
      <c r="H27" s="203">
        <v>111500</v>
      </c>
      <c r="I27" s="277">
        <v>155600</v>
      </c>
      <c r="J27" s="101">
        <v>52900</v>
      </c>
      <c r="K27" s="101">
        <v>28570</v>
      </c>
      <c r="L27" s="101">
        <v>64400</v>
      </c>
      <c r="M27" s="101">
        <v>81800</v>
      </c>
      <c r="N27" s="202">
        <v>42800</v>
      </c>
      <c r="O27" s="203">
        <v>57135</v>
      </c>
      <c r="P27" s="203">
        <v>52900</v>
      </c>
      <c r="Q27" s="277">
        <v>64400</v>
      </c>
      <c r="R27" s="101">
        <v>571350</v>
      </c>
      <c r="S27" s="101">
        <v>18600</v>
      </c>
      <c r="T27" s="101">
        <v>22800</v>
      </c>
    </row>
    <row r="28" spans="1:20">
      <c r="A28" s="99">
        <v>2004</v>
      </c>
      <c r="B28" s="101">
        <v>212900</v>
      </c>
      <c r="C28" s="271">
        <v>575</v>
      </c>
      <c r="D28" s="101">
        <v>300500</v>
      </c>
      <c r="E28" s="101">
        <v>477900</v>
      </c>
      <c r="F28" s="202">
        <v>91200</v>
      </c>
      <c r="G28" s="203">
        <v>5740</v>
      </c>
      <c r="H28" s="203">
        <v>119300</v>
      </c>
      <c r="I28" s="277">
        <v>158600</v>
      </c>
      <c r="J28" s="101">
        <v>54500</v>
      </c>
      <c r="K28" s="101">
        <v>28700</v>
      </c>
      <c r="L28" s="101">
        <v>67200</v>
      </c>
      <c r="M28" s="101">
        <v>84600</v>
      </c>
      <c r="N28" s="202">
        <v>44100</v>
      </c>
      <c r="O28" s="203">
        <v>57405</v>
      </c>
      <c r="P28" s="203">
        <v>54500</v>
      </c>
      <c r="Q28" s="277">
        <v>66600</v>
      </c>
      <c r="R28" s="101">
        <v>573965</v>
      </c>
      <c r="S28" s="101">
        <v>19200</v>
      </c>
      <c r="T28" s="101">
        <v>23500</v>
      </c>
    </row>
    <row r="29" spans="1:20">
      <c r="A29" s="99">
        <v>2005</v>
      </c>
      <c r="B29" s="101">
        <v>226000</v>
      </c>
      <c r="C29" s="271">
        <v>575</v>
      </c>
      <c r="D29" s="101">
        <v>308300</v>
      </c>
      <c r="E29" s="101">
        <v>480200</v>
      </c>
      <c r="F29" s="202">
        <v>95100</v>
      </c>
      <c r="G29" s="203">
        <v>5750</v>
      </c>
      <c r="H29" s="203">
        <v>122000</v>
      </c>
      <c r="I29" s="277">
        <v>163200</v>
      </c>
      <c r="J29" s="101">
        <v>57100</v>
      </c>
      <c r="K29" s="101">
        <v>28750</v>
      </c>
      <c r="L29" s="101">
        <v>69800</v>
      </c>
      <c r="M29" s="101">
        <v>87700</v>
      </c>
      <c r="N29" s="202">
        <v>46600</v>
      </c>
      <c r="O29" s="203">
        <v>57500</v>
      </c>
      <c r="P29" s="203">
        <v>57100</v>
      </c>
      <c r="Q29" s="277">
        <v>69300</v>
      </c>
      <c r="R29" s="101">
        <v>574955</v>
      </c>
      <c r="S29" s="101">
        <v>20000</v>
      </c>
      <c r="T29" s="101">
        <v>24500</v>
      </c>
    </row>
    <row r="30" spans="1:20">
      <c r="A30" s="99">
        <v>2006</v>
      </c>
      <c r="B30" s="101">
        <v>253900</v>
      </c>
      <c r="C30" s="271">
        <v>580</v>
      </c>
      <c r="D30" s="101">
        <v>351800</v>
      </c>
      <c r="E30" s="101">
        <v>464600</v>
      </c>
      <c r="F30" s="202">
        <v>99400</v>
      </c>
      <c r="G30" s="203">
        <v>5765</v>
      </c>
      <c r="H30" s="203">
        <v>131300</v>
      </c>
      <c r="I30" s="277">
        <v>170100</v>
      </c>
      <c r="J30" s="101">
        <v>59600</v>
      </c>
      <c r="K30" s="101">
        <v>28825</v>
      </c>
      <c r="L30" s="101">
        <v>73300</v>
      </c>
      <c r="M30" s="101">
        <v>91800</v>
      </c>
      <c r="N30" s="202">
        <v>48300</v>
      </c>
      <c r="O30" s="203">
        <v>57645</v>
      </c>
      <c r="P30" s="203">
        <v>59600</v>
      </c>
      <c r="Q30" s="277">
        <v>72400</v>
      </c>
      <c r="R30" s="101">
        <v>576435</v>
      </c>
      <c r="S30" s="101">
        <v>21100</v>
      </c>
      <c r="T30" s="101">
        <v>25700</v>
      </c>
    </row>
    <row r="31" spans="1:20">
      <c r="A31" s="99">
        <v>2007</v>
      </c>
      <c r="B31" s="101">
        <v>274900</v>
      </c>
      <c r="C31" s="271">
        <v>585</v>
      </c>
      <c r="D31" s="101">
        <v>366700</v>
      </c>
      <c r="E31" s="101">
        <v>495500</v>
      </c>
      <c r="F31" s="202">
        <v>103500</v>
      </c>
      <c r="G31" s="203">
        <v>5825</v>
      </c>
      <c r="H31" s="203">
        <v>139900</v>
      </c>
      <c r="I31" s="277">
        <v>181300</v>
      </c>
      <c r="J31" s="101">
        <v>62500</v>
      </c>
      <c r="K31" s="101">
        <v>29115</v>
      </c>
      <c r="L31" s="101">
        <v>76700</v>
      </c>
      <c r="M31" s="101">
        <v>96700</v>
      </c>
      <c r="N31" s="202">
        <v>50600</v>
      </c>
      <c r="O31" s="203">
        <v>58230</v>
      </c>
      <c r="P31" s="203">
        <v>62500</v>
      </c>
      <c r="Q31" s="277">
        <v>76200</v>
      </c>
      <c r="R31" s="101">
        <v>582275</v>
      </c>
      <c r="S31" s="101">
        <v>22200</v>
      </c>
      <c r="T31" s="101">
        <v>27000</v>
      </c>
    </row>
    <row r="32" spans="1:20">
      <c r="A32" s="99">
        <v>2008</v>
      </c>
      <c r="B32" s="101">
        <v>255900</v>
      </c>
      <c r="C32" s="271">
        <v>590</v>
      </c>
      <c r="D32" s="101">
        <v>339700</v>
      </c>
      <c r="E32" s="101">
        <v>448800</v>
      </c>
      <c r="F32" s="202">
        <v>108300</v>
      </c>
      <c r="G32" s="203">
        <v>5865</v>
      </c>
      <c r="H32" s="203">
        <v>138100</v>
      </c>
      <c r="I32" s="277">
        <v>173600</v>
      </c>
      <c r="J32" s="101">
        <v>65100</v>
      </c>
      <c r="K32" s="101">
        <v>29325</v>
      </c>
      <c r="L32" s="101">
        <v>80100</v>
      </c>
      <c r="M32" s="101">
        <v>97700</v>
      </c>
      <c r="N32" s="202">
        <v>52600</v>
      </c>
      <c r="O32" s="203">
        <v>58655</v>
      </c>
      <c r="P32" s="203">
        <v>65100</v>
      </c>
      <c r="Q32" s="277">
        <v>77800</v>
      </c>
      <c r="R32" s="101">
        <v>586420</v>
      </c>
      <c r="S32" s="101">
        <v>22900</v>
      </c>
      <c r="T32" s="101">
        <v>27800</v>
      </c>
    </row>
    <row r="33" spans="1:20">
      <c r="A33" s="99">
        <v>2009</v>
      </c>
      <c r="B33" s="101">
        <v>267200</v>
      </c>
      <c r="C33" s="271">
        <v>595</v>
      </c>
      <c r="D33" s="101">
        <v>355800</v>
      </c>
      <c r="E33" s="101">
        <v>500500</v>
      </c>
      <c r="F33" s="202">
        <v>109500</v>
      </c>
      <c r="G33" s="203">
        <v>5910</v>
      </c>
      <c r="H33" s="203">
        <v>139600</v>
      </c>
      <c r="I33" s="277">
        <v>182000</v>
      </c>
      <c r="J33" s="101">
        <v>67000</v>
      </c>
      <c r="K33" s="101">
        <v>29545</v>
      </c>
      <c r="L33" s="101">
        <v>81700</v>
      </c>
      <c r="M33" s="101">
        <v>100800</v>
      </c>
      <c r="N33" s="202">
        <v>55100</v>
      </c>
      <c r="O33" s="203">
        <v>59080</v>
      </c>
      <c r="P33" s="203">
        <v>67000</v>
      </c>
      <c r="Q33" s="277">
        <v>80500</v>
      </c>
      <c r="R33" s="101">
        <v>590780</v>
      </c>
      <c r="S33" s="101">
        <v>23700</v>
      </c>
      <c r="T33" s="101">
        <v>28800</v>
      </c>
    </row>
    <row r="34" spans="1:20">
      <c r="A34" s="99">
        <v>2010</v>
      </c>
      <c r="B34" s="101">
        <v>280400</v>
      </c>
      <c r="C34" s="271">
        <v>595</v>
      </c>
      <c r="D34" s="101">
        <v>442400</v>
      </c>
      <c r="E34" s="101">
        <v>618800</v>
      </c>
      <c r="F34" s="202">
        <v>114400</v>
      </c>
      <c r="G34" s="203">
        <v>5930</v>
      </c>
      <c r="H34" s="203">
        <v>147300</v>
      </c>
      <c r="I34" s="277">
        <v>202600</v>
      </c>
      <c r="J34" s="101">
        <v>68600</v>
      </c>
      <c r="K34" s="101">
        <v>29635</v>
      </c>
      <c r="L34" s="101">
        <v>84600</v>
      </c>
      <c r="M34" s="101">
        <v>107100</v>
      </c>
      <c r="N34" s="202">
        <v>56400</v>
      </c>
      <c r="O34" s="203">
        <v>59280</v>
      </c>
      <c r="P34" s="203">
        <v>68600</v>
      </c>
      <c r="Q34" s="277">
        <v>84300</v>
      </c>
      <c r="R34" s="101">
        <v>592690</v>
      </c>
      <c r="S34" s="101">
        <v>24300</v>
      </c>
      <c r="T34" s="101">
        <v>29700</v>
      </c>
    </row>
    <row r="35" spans="1:20">
      <c r="A35" s="99">
        <v>2011</v>
      </c>
      <c r="B35" s="101">
        <v>300900</v>
      </c>
      <c r="C35" s="271">
        <v>600</v>
      </c>
      <c r="D35" s="101">
        <v>432100</v>
      </c>
      <c r="E35" s="101">
        <v>781500</v>
      </c>
      <c r="F35" s="202">
        <v>118900</v>
      </c>
      <c r="G35" s="203">
        <v>5965</v>
      </c>
      <c r="H35" s="203">
        <v>154500</v>
      </c>
      <c r="I35" s="277">
        <v>224800</v>
      </c>
      <c r="J35" s="101">
        <v>71500</v>
      </c>
      <c r="K35" s="101">
        <v>29805</v>
      </c>
      <c r="L35" s="101">
        <v>87900</v>
      </c>
      <c r="M35" s="101">
        <v>114400</v>
      </c>
      <c r="N35" s="202">
        <v>58400</v>
      </c>
      <c r="O35" s="203">
        <v>59610</v>
      </c>
      <c r="P35" s="203">
        <v>71500</v>
      </c>
      <c r="Q35" s="277">
        <v>89200</v>
      </c>
      <c r="R35" s="101">
        <v>596040</v>
      </c>
      <c r="S35" s="101">
        <v>24900</v>
      </c>
      <c r="T35" s="101">
        <v>30800</v>
      </c>
    </row>
    <row r="36" spans="1:20">
      <c r="A36" s="99">
        <v>2012</v>
      </c>
      <c r="B36" s="101">
        <v>291200</v>
      </c>
      <c r="C36" s="271">
        <v>595</v>
      </c>
      <c r="D36" s="101">
        <v>410700</v>
      </c>
      <c r="E36" s="101">
        <v>652200</v>
      </c>
      <c r="F36" s="202">
        <v>121900</v>
      </c>
      <c r="G36" s="203">
        <v>5950</v>
      </c>
      <c r="H36" s="203">
        <v>154800</v>
      </c>
      <c r="I36" s="277">
        <v>212500</v>
      </c>
      <c r="J36" s="101">
        <v>73700</v>
      </c>
      <c r="K36" s="101">
        <v>29740</v>
      </c>
      <c r="L36" s="101">
        <v>91200</v>
      </c>
      <c r="M36" s="101">
        <v>114200</v>
      </c>
      <c r="N36" s="202">
        <v>59600</v>
      </c>
      <c r="O36" s="203">
        <v>59475</v>
      </c>
      <c r="P36" s="203">
        <v>73700</v>
      </c>
      <c r="Q36" s="277">
        <v>89800</v>
      </c>
      <c r="R36" s="101">
        <v>594730</v>
      </c>
      <c r="S36" s="101">
        <v>25700</v>
      </c>
      <c r="T36" s="101">
        <v>31500</v>
      </c>
    </row>
    <row r="37" spans="1:20">
      <c r="A37" s="99">
        <v>2013</v>
      </c>
      <c r="B37" s="101">
        <v>308300</v>
      </c>
      <c r="C37" s="271">
        <v>600</v>
      </c>
      <c r="D37" s="101">
        <v>414900</v>
      </c>
      <c r="E37" s="101">
        <v>581500</v>
      </c>
      <c r="F37" s="202">
        <v>126400</v>
      </c>
      <c r="G37" s="203">
        <v>5955</v>
      </c>
      <c r="H37" s="203">
        <v>161500</v>
      </c>
      <c r="I37" s="277">
        <v>211400</v>
      </c>
      <c r="J37" s="101">
        <v>76000</v>
      </c>
      <c r="K37" s="101">
        <v>29760</v>
      </c>
      <c r="L37" s="101">
        <v>94600</v>
      </c>
      <c r="M37" s="101">
        <v>116400</v>
      </c>
      <c r="N37" s="202">
        <v>61300</v>
      </c>
      <c r="O37" s="203">
        <v>59520</v>
      </c>
      <c r="P37" s="203">
        <v>76000</v>
      </c>
      <c r="Q37" s="277">
        <v>92000</v>
      </c>
      <c r="R37" s="101">
        <v>595200</v>
      </c>
      <c r="S37" s="101">
        <v>26300</v>
      </c>
      <c r="T37" s="101">
        <v>32200</v>
      </c>
    </row>
    <row r="38" spans="1:20">
      <c r="A38" s="99">
        <v>2014</v>
      </c>
      <c r="B38" s="101">
        <v>306400</v>
      </c>
      <c r="C38" s="271">
        <v>600</v>
      </c>
      <c r="D38" s="101">
        <v>420200</v>
      </c>
      <c r="E38" s="101">
        <v>641400</v>
      </c>
      <c r="F38" s="202">
        <v>126400</v>
      </c>
      <c r="G38" s="203">
        <v>5990</v>
      </c>
      <c r="H38" s="203">
        <v>161300</v>
      </c>
      <c r="I38" s="277">
        <v>216700</v>
      </c>
      <c r="J38" s="101">
        <v>77700</v>
      </c>
      <c r="K38" s="101">
        <v>29935</v>
      </c>
      <c r="L38" s="101">
        <v>95300</v>
      </c>
      <c r="M38" s="101">
        <v>118300</v>
      </c>
      <c r="N38" s="202">
        <v>62400</v>
      </c>
      <c r="O38" s="203">
        <v>59860</v>
      </c>
      <c r="P38" s="203">
        <v>77700</v>
      </c>
      <c r="Q38" s="277">
        <v>93600</v>
      </c>
      <c r="R38" s="101">
        <v>598565</v>
      </c>
      <c r="S38" s="101">
        <v>27000</v>
      </c>
      <c r="T38" s="101">
        <v>33000</v>
      </c>
    </row>
    <row r="39" spans="1:20">
      <c r="A39" s="99">
        <v>2015</v>
      </c>
      <c r="B39" s="101">
        <v>307800</v>
      </c>
      <c r="C39" s="271">
        <v>605</v>
      </c>
      <c r="D39" s="101">
        <v>398500</v>
      </c>
      <c r="E39" s="101">
        <v>556000</v>
      </c>
      <c r="F39" s="202">
        <v>126200</v>
      </c>
      <c r="G39" s="203">
        <v>6010</v>
      </c>
      <c r="H39" s="203">
        <v>158900</v>
      </c>
      <c r="I39" s="277">
        <v>207000</v>
      </c>
      <c r="J39" s="101">
        <v>77300</v>
      </c>
      <c r="K39" s="101">
        <v>30055</v>
      </c>
      <c r="L39" s="101">
        <v>94500</v>
      </c>
      <c r="M39" s="101">
        <v>115700</v>
      </c>
      <c r="N39" s="202">
        <v>62900</v>
      </c>
      <c r="O39" s="203">
        <v>60100</v>
      </c>
      <c r="P39" s="203">
        <v>77300</v>
      </c>
      <c r="Q39" s="277">
        <v>92400</v>
      </c>
      <c r="R39" s="101">
        <v>601000</v>
      </c>
      <c r="S39" s="101">
        <v>27800</v>
      </c>
      <c r="T39" s="101">
        <v>33400</v>
      </c>
    </row>
    <row r="40" spans="1:20">
      <c r="A40" s="99">
        <v>2016</v>
      </c>
      <c r="B40" s="101">
        <v>308800</v>
      </c>
      <c r="C40" s="271">
        <v>610</v>
      </c>
      <c r="D40" s="101">
        <v>451100</v>
      </c>
      <c r="E40" s="101">
        <v>731800</v>
      </c>
      <c r="F40" s="202">
        <v>129400</v>
      </c>
      <c r="G40" s="203">
        <v>6060</v>
      </c>
      <c r="H40" s="203">
        <v>162400</v>
      </c>
      <c r="I40" s="277">
        <v>227600</v>
      </c>
      <c r="J40" s="101">
        <v>78800</v>
      </c>
      <c r="K40" s="101">
        <v>30285</v>
      </c>
      <c r="L40" s="101">
        <v>97000</v>
      </c>
      <c r="M40" s="101">
        <v>121700</v>
      </c>
      <c r="N40" s="202">
        <v>63900</v>
      </c>
      <c r="O40" s="203">
        <v>60565</v>
      </c>
      <c r="P40" s="203">
        <v>78800</v>
      </c>
      <c r="Q40" s="277">
        <v>96000</v>
      </c>
      <c r="R40" s="101">
        <v>605650</v>
      </c>
      <c r="S40" s="101">
        <v>28500</v>
      </c>
      <c r="T40" s="101">
        <v>34300</v>
      </c>
    </row>
    <row r="41" spans="1:20">
      <c r="A41" s="99">
        <v>2017</v>
      </c>
      <c r="B41" s="101">
        <v>337700</v>
      </c>
      <c r="C41" s="271">
        <v>610</v>
      </c>
      <c r="D41" s="101">
        <v>551600</v>
      </c>
      <c r="E41" s="101">
        <v>782000</v>
      </c>
      <c r="F41" s="202">
        <v>133300</v>
      </c>
      <c r="G41" s="203">
        <v>6095</v>
      </c>
      <c r="H41" s="203">
        <v>168600</v>
      </c>
      <c r="I41" s="277">
        <v>241300</v>
      </c>
      <c r="J41" s="101">
        <v>80900</v>
      </c>
      <c r="K41" s="101">
        <v>30475</v>
      </c>
      <c r="L41" s="101">
        <v>99900</v>
      </c>
      <c r="M41" s="101">
        <v>126800</v>
      </c>
      <c r="N41" s="202">
        <v>65900</v>
      </c>
      <c r="O41" s="203">
        <v>60950</v>
      </c>
      <c r="P41" s="203">
        <v>80900</v>
      </c>
      <c r="Q41" s="277">
        <v>99500</v>
      </c>
      <c r="R41" s="101">
        <v>609460</v>
      </c>
      <c r="S41" s="101">
        <v>29600</v>
      </c>
      <c r="T41" s="101">
        <v>35500</v>
      </c>
    </row>
    <row r="42" spans="1:20">
      <c r="A42" s="99">
        <v>2018</v>
      </c>
      <c r="B42" s="101">
        <v>374900</v>
      </c>
      <c r="C42" s="271">
        <v>620</v>
      </c>
      <c r="D42" s="101">
        <v>615300</v>
      </c>
      <c r="E42" s="101">
        <v>893200</v>
      </c>
      <c r="F42" s="202">
        <v>136900</v>
      </c>
      <c r="G42" s="203">
        <v>6160</v>
      </c>
      <c r="H42" s="203">
        <v>176600</v>
      </c>
      <c r="I42" s="277">
        <v>258700</v>
      </c>
      <c r="J42" s="101">
        <v>82400</v>
      </c>
      <c r="K42" s="101">
        <v>30795</v>
      </c>
      <c r="L42" s="101">
        <v>101200</v>
      </c>
      <c r="M42" s="101">
        <v>131400</v>
      </c>
      <c r="N42" s="202">
        <v>66700</v>
      </c>
      <c r="O42" s="203">
        <v>61595</v>
      </c>
      <c r="P42" s="203">
        <v>82400</v>
      </c>
      <c r="Q42" s="277">
        <v>102300</v>
      </c>
      <c r="R42" s="101">
        <v>615870</v>
      </c>
      <c r="S42" s="101">
        <v>30400</v>
      </c>
      <c r="T42" s="101">
        <v>36500</v>
      </c>
    </row>
    <row r="43" spans="1:20">
      <c r="F43" s="283"/>
      <c r="G43" s="284"/>
      <c r="H43" s="284"/>
      <c r="I43" s="285"/>
      <c r="N43" s="283"/>
      <c r="O43" s="284"/>
      <c r="P43" s="284"/>
      <c r="Q43" s="285"/>
    </row>
    <row r="44" spans="1:20">
      <c r="A44" s="99" t="s">
        <v>148</v>
      </c>
      <c r="B44" s="268">
        <f>100*((B42/B14)^(1/28)-1)</f>
        <v>3.3901612696657368</v>
      </c>
      <c r="C44" s="268">
        <f t="shared" ref="C44:E44" si="0">100*((C42/C14)^(1/28)-1)</f>
        <v>0.77121357717413463</v>
      </c>
      <c r="D44" s="268">
        <f t="shared" si="0"/>
        <v>4.0288740389419209</v>
      </c>
      <c r="E44" s="268">
        <f t="shared" si="0"/>
        <v>4.1471538415754017</v>
      </c>
      <c r="F44" s="286">
        <f>100*((F42/F6)^(1/36)-1)</f>
        <v>3.3848825696409568</v>
      </c>
      <c r="G44" s="287">
        <f t="shared" ref="G44:T44" si="1">100*((G42/G6)^(1/36)-1)</f>
        <v>1.1786477440902443</v>
      </c>
      <c r="H44" s="287">
        <f t="shared" si="1"/>
        <v>3.4711911765468617</v>
      </c>
      <c r="I44" s="288">
        <f t="shared" si="1"/>
        <v>3.9788656203883832</v>
      </c>
      <c r="J44" s="268">
        <f t="shared" si="1"/>
        <v>3.0745192419894707</v>
      </c>
      <c r="K44" s="268">
        <f t="shared" si="1"/>
        <v>1.1781914551606709</v>
      </c>
      <c r="L44" s="268">
        <f t="shared" si="1"/>
        <v>3.1966588232053006</v>
      </c>
      <c r="M44" s="268">
        <f t="shared" si="1"/>
        <v>3.4762474192683968</v>
      </c>
      <c r="N44" s="286">
        <f t="shared" si="1"/>
        <v>2.9401848210920178</v>
      </c>
      <c r="O44" s="287">
        <f t="shared" si="1"/>
        <v>1.1791153683343714</v>
      </c>
      <c r="P44" s="287">
        <f t="shared" si="1"/>
        <v>3.0745192419894707</v>
      </c>
      <c r="Q44" s="288">
        <f t="shared" si="1"/>
        <v>3.289913873593342</v>
      </c>
      <c r="R44" s="268">
        <f t="shared" si="1"/>
        <v>1.1789590733152888</v>
      </c>
      <c r="S44" s="268">
        <f t="shared" si="1"/>
        <v>3.2536994542005981</v>
      </c>
      <c r="T44" s="268">
        <f t="shared" si="1"/>
        <v>3.260255455621297</v>
      </c>
    </row>
    <row r="45" spans="1:20">
      <c r="A45" s="99" t="s">
        <v>149</v>
      </c>
      <c r="B45" s="268">
        <f>100*((B24/B14)^(1/10)-1)</f>
        <v>5.0958562947294173</v>
      </c>
      <c r="C45" s="268">
        <f t="shared" ref="C45:E45" si="2">100*((C24/C14)^(1/10)-1)</f>
        <v>1.1397328761565628</v>
      </c>
      <c r="D45" s="268">
        <f t="shared" si="2"/>
        <v>5.1683869174089292</v>
      </c>
      <c r="E45" s="268">
        <f t="shared" si="2"/>
        <v>4.897045959772317</v>
      </c>
      <c r="F45" s="286">
        <f>100*((F24/F6)^(1/18)-1)</f>
        <v>4.0023321728163141</v>
      </c>
      <c r="G45" s="287">
        <f t="shared" ref="G45:T45" si="3">100*((G24/G6)^(1/18)-1)</f>
        <v>1.8204529328199603</v>
      </c>
      <c r="H45" s="287">
        <f t="shared" si="3"/>
        <v>4.2361991801410648</v>
      </c>
      <c r="I45" s="288">
        <f t="shared" si="3"/>
        <v>4.9992242616055727</v>
      </c>
      <c r="J45" s="268">
        <f t="shared" si="3"/>
        <v>3.3239865600161789</v>
      </c>
      <c r="K45" s="268">
        <f t="shared" si="3"/>
        <v>1.8164038422002982</v>
      </c>
      <c r="L45" s="268">
        <f t="shared" si="3"/>
        <v>3.5610209974991314</v>
      </c>
      <c r="M45" s="268">
        <f t="shared" si="3"/>
        <v>4.0744600232795358</v>
      </c>
      <c r="N45" s="286">
        <f t="shared" si="3"/>
        <v>2.9414797665762604</v>
      </c>
      <c r="O45" s="287">
        <f t="shared" si="3"/>
        <v>1.8188166839450792</v>
      </c>
      <c r="P45" s="287">
        <f t="shared" si="3"/>
        <v>3.3239865600161789</v>
      </c>
      <c r="Q45" s="288">
        <f t="shared" si="3"/>
        <v>3.704776640946128</v>
      </c>
      <c r="R45" s="268">
        <f t="shared" si="3"/>
        <v>1.8181230374598734</v>
      </c>
      <c r="S45" s="268">
        <f t="shared" si="3"/>
        <v>3.1236007461705295</v>
      </c>
      <c r="T45" s="268">
        <f t="shared" si="3"/>
        <v>3.4020073168017362</v>
      </c>
    </row>
    <row r="46" spans="1:20">
      <c r="A46" s="99" t="s">
        <v>150</v>
      </c>
      <c r="B46" s="268">
        <f>100*((B42/B24)^(1/18)-1)</f>
        <v>2.4545437547091709</v>
      </c>
      <c r="C46" s="268">
        <f t="shared" ref="C46:E46" si="4">100*((C42/C24)^(1/18)-1)</f>
        <v>0.56706115220968023</v>
      </c>
      <c r="D46" s="268">
        <f t="shared" si="4"/>
        <v>3.4011549490748028</v>
      </c>
      <c r="E46" s="268">
        <f t="shared" si="4"/>
        <v>3.7328659891001204</v>
      </c>
      <c r="F46" s="286">
        <f>100*((F42/F24)^(1/18)-1)</f>
        <v>2.7710986920747915</v>
      </c>
      <c r="G46" s="287">
        <f t="shared" ref="G46:T46" si="5">100*((G42/G24)^(1/18)-1)</f>
        <v>0.54088804807264079</v>
      </c>
      <c r="H46" s="287">
        <f t="shared" si="5"/>
        <v>2.7117977027433238</v>
      </c>
      <c r="I46" s="288">
        <f t="shared" si="5"/>
        <v>2.9684225929676566</v>
      </c>
      <c r="J46" s="268">
        <f t="shared" si="5"/>
        <v>2.8256542424063058</v>
      </c>
      <c r="K46" s="268">
        <f t="shared" si="5"/>
        <v>0.54397955365776962</v>
      </c>
      <c r="L46" s="268">
        <f t="shared" si="5"/>
        <v>2.833578596431674</v>
      </c>
      <c r="M46" s="268">
        <f t="shared" si="5"/>
        <v>2.8814732988152292</v>
      </c>
      <c r="N46" s="286">
        <f t="shared" si="5"/>
        <v>2.9388898918974782</v>
      </c>
      <c r="O46" s="287">
        <f t="shared" si="5"/>
        <v>0.54343313079314726</v>
      </c>
      <c r="P46" s="287">
        <f t="shared" si="5"/>
        <v>2.8256542424063058</v>
      </c>
      <c r="Q46" s="288">
        <f t="shared" si="5"/>
        <v>2.8767107319715102</v>
      </c>
      <c r="R46" s="268">
        <f t="shared" si="5"/>
        <v>0.54380746532964874</v>
      </c>
      <c r="S46" s="268">
        <f t="shared" si="5"/>
        <v>3.3839622922039236</v>
      </c>
      <c r="T46" s="268">
        <f t="shared" si="5"/>
        <v>3.1186979193932318</v>
      </c>
    </row>
    <row r="47" spans="1:20">
      <c r="B47" s="268"/>
      <c r="C47" s="268"/>
      <c r="D47" s="268"/>
      <c r="E47" s="268"/>
      <c r="F47" s="268"/>
      <c r="G47" s="268"/>
      <c r="H47" s="268"/>
      <c r="I47" s="268"/>
      <c r="J47" s="268"/>
      <c r="K47" s="268"/>
      <c r="L47" s="268"/>
      <c r="M47" s="268"/>
      <c r="N47" s="268"/>
      <c r="O47" s="268"/>
      <c r="P47" s="268"/>
      <c r="Q47" s="268"/>
      <c r="R47" s="268"/>
      <c r="S47" s="268"/>
      <c r="T47" s="268"/>
    </row>
    <row r="48" spans="1:20">
      <c r="A48" s="99" t="s">
        <v>151</v>
      </c>
      <c r="B48" s="268"/>
      <c r="C48" s="268"/>
      <c r="D48" s="268"/>
      <c r="E48" s="268"/>
      <c r="F48" s="268"/>
      <c r="G48" s="268"/>
      <c r="H48" s="268"/>
      <c r="I48" s="268"/>
      <c r="J48" s="268"/>
      <c r="K48" s="268"/>
      <c r="L48" s="268"/>
      <c r="M48" s="268"/>
      <c r="N48" s="268"/>
      <c r="O48" s="268"/>
      <c r="P48" s="268"/>
      <c r="Q48" s="268"/>
      <c r="R48" s="268"/>
      <c r="S48" s="268"/>
      <c r="T48" s="268"/>
    </row>
    <row r="49" spans="1:20">
      <c r="A49" s="99" t="s">
        <v>152</v>
      </c>
      <c r="B49" s="268"/>
      <c r="C49" s="268"/>
      <c r="D49" s="268"/>
      <c r="E49" s="268"/>
      <c r="F49" s="268"/>
      <c r="G49" s="268"/>
      <c r="H49" s="268"/>
      <c r="I49" s="268"/>
      <c r="J49" s="268"/>
      <c r="K49" s="268"/>
      <c r="L49" s="268"/>
      <c r="M49" s="268"/>
      <c r="N49" s="268"/>
      <c r="O49" s="268"/>
      <c r="P49" s="268"/>
      <c r="Q49" s="268"/>
      <c r="R49" s="268"/>
      <c r="S49" s="268"/>
      <c r="T49" s="268"/>
    </row>
    <row r="52" spans="1:20">
      <c r="A52" s="99" t="s">
        <v>153</v>
      </c>
    </row>
    <row r="53" spans="1:20">
      <c r="A53" s="99">
        <v>1</v>
      </c>
      <c r="B53" s="99" t="s">
        <v>154</v>
      </c>
    </row>
    <row r="54" spans="1:20">
      <c r="A54" s="99">
        <v>2</v>
      </c>
      <c r="B54" s="99" t="s">
        <v>155</v>
      </c>
    </row>
    <row r="57" spans="1:20">
      <c r="A57" s="99" t="s">
        <v>546</v>
      </c>
    </row>
    <row r="59" spans="1:20">
      <c r="A59" s="267"/>
    </row>
    <row r="60" spans="1:20">
      <c r="A60" s="99" t="s">
        <v>550</v>
      </c>
    </row>
    <row r="62" spans="1:20">
      <c r="A62" s="337" t="s">
        <v>141</v>
      </c>
      <c r="B62" s="334" t="s">
        <v>162</v>
      </c>
      <c r="C62" s="334"/>
      <c r="D62" s="334"/>
      <c r="E62" s="334"/>
      <c r="F62" s="334"/>
      <c r="G62" s="334"/>
      <c r="H62" s="280"/>
    </row>
    <row r="63" spans="1:20">
      <c r="A63" s="337"/>
      <c r="B63" s="334" t="s">
        <v>145</v>
      </c>
      <c r="C63" s="334"/>
      <c r="D63" s="334" t="s">
        <v>146</v>
      </c>
      <c r="E63" s="334"/>
      <c r="F63" s="334" t="s">
        <v>147</v>
      </c>
      <c r="G63" s="334"/>
      <c r="H63" s="280"/>
    </row>
    <row r="64" spans="1:20">
      <c r="A64" s="337"/>
      <c r="B64" s="271" t="s">
        <v>43</v>
      </c>
      <c r="C64" s="271" t="s">
        <v>44</v>
      </c>
      <c r="D64" s="271" t="s">
        <v>43</v>
      </c>
      <c r="E64" s="271" t="s">
        <v>44</v>
      </c>
      <c r="F64" s="271" t="s">
        <v>43</v>
      </c>
      <c r="G64" s="271" t="s">
        <v>44</v>
      </c>
      <c r="H64" s="271"/>
    </row>
    <row r="65" spans="1:7">
      <c r="A65" s="289" t="s">
        <v>547</v>
      </c>
      <c r="B65" s="202">
        <v>238900</v>
      </c>
      <c r="C65" s="101">
        <v>147400</v>
      </c>
      <c r="D65" s="203">
        <v>52000</v>
      </c>
      <c r="E65" s="203">
        <v>41300</v>
      </c>
      <c r="F65" s="203">
        <v>32400</v>
      </c>
      <c r="G65" s="101">
        <v>27700</v>
      </c>
    </row>
    <row r="66" spans="1:7">
      <c r="A66" s="99">
        <v>2000</v>
      </c>
      <c r="B66" s="202">
        <v>441900</v>
      </c>
      <c r="C66" s="101">
        <v>242300</v>
      </c>
      <c r="D66" s="203">
        <v>113700</v>
      </c>
      <c r="E66" s="203">
        <v>83700</v>
      </c>
      <c r="F66" s="203">
        <v>59500</v>
      </c>
      <c r="G66" s="101">
        <v>49900</v>
      </c>
    </row>
    <row r="67" spans="1:7">
      <c r="A67" s="99">
        <v>2018</v>
      </c>
      <c r="B67" s="202">
        <v>688900</v>
      </c>
      <c r="C67" s="101">
        <v>374900</v>
      </c>
      <c r="D67" s="203">
        <v>194500</v>
      </c>
      <c r="E67" s="203">
        <v>136900</v>
      </c>
      <c r="F67" s="203">
        <v>102500</v>
      </c>
      <c r="G67" s="101">
        <v>82400</v>
      </c>
    </row>
    <row r="68" spans="1:7">
      <c r="D68" s="284"/>
      <c r="E68" s="284"/>
      <c r="F68" s="284"/>
    </row>
    <row r="70" spans="1:7">
      <c r="A70" s="99" t="s">
        <v>548</v>
      </c>
    </row>
    <row r="76" spans="1:7">
      <c r="A76" s="289"/>
      <c r="B76" s="78"/>
      <c r="C76" s="78"/>
      <c r="D76" s="78"/>
    </row>
    <row r="77" spans="1:7">
      <c r="B77" s="78"/>
      <c r="C77" s="78"/>
      <c r="D77" s="78"/>
    </row>
    <row r="78" spans="1:7">
      <c r="B78" s="78"/>
      <c r="C78" s="78"/>
      <c r="D78" s="78"/>
    </row>
  </sheetData>
  <mergeCells count="10">
    <mergeCell ref="R4:T4"/>
    <mergeCell ref="B4:E4"/>
    <mergeCell ref="F4:I4"/>
    <mergeCell ref="J4:M4"/>
    <mergeCell ref="N4:Q4"/>
    <mergeCell ref="A62:A64"/>
    <mergeCell ref="B62:G62"/>
    <mergeCell ref="F63:G63"/>
    <mergeCell ref="B63:C63"/>
    <mergeCell ref="D63:E6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B635C-50E2-7941-AB95-8B8EE6D718DB}">
  <dimension ref="A1:BF58"/>
  <sheetViews>
    <sheetView zoomScale="83" zoomScaleNormal="44" workbookViewId="0"/>
  </sheetViews>
  <sheetFormatPr baseColWidth="10" defaultColWidth="10.83203125" defaultRowHeight="16"/>
  <cols>
    <col min="1" max="1" width="21.83203125" style="5" customWidth="1"/>
    <col min="2" max="39" width="10.83203125" style="5" hidden="1" customWidth="1"/>
    <col min="40" max="16384" width="10.83203125" style="5"/>
  </cols>
  <sheetData>
    <row r="1" spans="1:58">
      <c r="A1" s="3" t="s">
        <v>642</v>
      </c>
    </row>
    <row r="2" spans="1:58">
      <c r="A2" s="3"/>
    </row>
    <row r="3" spans="1:58">
      <c r="A3" s="25"/>
      <c r="B3" s="328" t="s">
        <v>42</v>
      </c>
      <c r="C3" s="328"/>
      <c r="D3" s="328"/>
      <c r="E3" s="328"/>
      <c r="F3" s="328"/>
      <c r="G3" s="328"/>
      <c r="H3" s="328"/>
      <c r="I3" s="328"/>
      <c r="J3" s="328"/>
      <c r="K3" s="328"/>
      <c r="L3" s="328"/>
      <c r="M3" s="328"/>
      <c r="N3" s="328"/>
      <c r="O3" s="328"/>
      <c r="P3" s="328"/>
      <c r="Q3" s="328"/>
      <c r="U3" s="328" t="s">
        <v>54</v>
      </c>
      <c r="V3" s="328"/>
      <c r="W3" s="328"/>
      <c r="X3" s="328"/>
      <c r="Y3" s="328"/>
      <c r="Z3" s="328"/>
      <c r="AA3" s="328"/>
      <c r="AB3" s="328"/>
      <c r="AC3" s="328"/>
      <c r="AD3" s="328"/>
      <c r="AE3" s="328"/>
      <c r="AF3" s="328"/>
      <c r="AG3" s="328"/>
      <c r="AH3" s="328"/>
      <c r="AI3" s="328"/>
      <c r="AJ3" s="328"/>
      <c r="AK3" s="328"/>
      <c r="AL3" s="328"/>
      <c r="AM3" s="328"/>
      <c r="AN3" s="77"/>
      <c r="AO3" s="77"/>
      <c r="AP3" s="77"/>
      <c r="AQ3" s="77"/>
      <c r="AR3" s="77"/>
      <c r="AS3" s="77"/>
      <c r="AT3" s="77"/>
      <c r="AU3" s="77"/>
      <c r="AV3" s="77"/>
      <c r="AW3" s="77"/>
      <c r="AX3" s="77"/>
      <c r="AY3" s="77"/>
      <c r="AZ3" s="77"/>
      <c r="BA3" s="77"/>
      <c r="BB3" s="77"/>
      <c r="BC3" s="77"/>
      <c r="BD3" s="77"/>
      <c r="BE3" s="77"/>
      <c r="BF3" s="77"/>
    </row>
    <row r="4" spans="1:58">
      <c r="B4" s="328" t="s">
        <v>137</v>
      </c>
      <c r="C4" s="328"/>
      <c r="D4" s="328"/>
      <c r="E4" s="328"/>
      <c r="F4" s="328" t="s">
        <v>138</v>
      </c>
      <c r="G4" s="328"/>
      <c r="H4" s="328"/>
      <c r="I4" s="328"/>
      <c r="J4" s="328" t="s">
        <v>139</v>
      </c>
      <c r="K4" s="328"/>
      <c r="L4" s="328"/>
      <c r="M4" s="328"/>
      <c r="N4" s="328" t="s">
        <v>156</v>
      </c>
      <c r="O4" s="328"/>
      <c r="P4" s="328"/>
      <c r="Q4" s="328"/>
      <c r="R4" s="328" t="s">
        <v>140</v>
      </c>
      <c r="S4" s="328"/>
      <c r="T4" s="328"/>
      <c r="U4" s="328" t="s">
        <v>137</v>
      </c>
      <c r="V4" s="328"/>
      <c r="W4" s="328"/>
      <c r="X4" s="328"/>
      <c r="Y4" s="328" t="s">
        <v>138</v>
      </c>
      <c r="Z4" s="328"/>
      <c r="AA4" s="328"/>
      <c r="AB4" s="328"/>
      <c r="AC4" s="328" t="s">
        <v>139</v>
      </c>
      <c r="AD4" s="328"/>
      <c r="AE4" s="328"/>
      <c r="AF4" s="328"/>
      <c r="AG4" s="328" t="s">
        <v>156</v>
      </c>
      <c r="AH4" s="328"/>
      <c r="AI4" s="328"/>
      <c r="AJ4" s="328"/>
      <c r="AK4" s="328" t="s">
        <v>140</v>
      </c>
      <c r="AL4" s="328"/>
      <c r="AM4" s="328"/>
      <c r="AN4" s="328" t="s">
        <v>137</v>
      </c>
      <c r="AO4" s="328"/>
      <c r="AP4" s="328"/>
      <c r="AQ4" s="328"/>
      <c r="AR4" s="331" t="s">
        <v>138</v>
      </c>
      <c r="AS4" s="332"/>
      <c r="AT4" s="332"/>
      <c r="AU4" s="333"/>
      <c r="AV4" s="328" t="s">
        <v>139</v>
      </c>
      <c r="AW4" s="328"/>
      <c r="AX4" s="328"/>
      <c r="AY4" s="328"/>
      <c r="AZ4" s="331" t="s">
        <v>156</v>
      </c>
      <c r="BA4" s="332"/>
      <c r="BB4" s="332"/>
      <c r="BC4" s="333"/>
      <c r="BD4" s="328" t="s">
        <v>140</v>
      </c>
      <c r="BE4" s="328"/>
      <c r="BF4" s="328"/>
    </row>
    <row r="5" spans="1:58" ht="34">
      <c r="B5" s="137" t="s">
        <v>141</v>
      </c>
      <c r="C5" s="137" t="s">
        <v>142</v>
      </c>
      <c r="D5" s="137" t="s">
        <v>143</v>
      </c>
      <c r="E5" s="137" t="s">
        <v>144</v>
      </c>
      <c r="F5" s="137" t="s">
        <v>141</v>
      </c>
      <c r="G5" s="137" t="s">
        <v>142</v>
      </c>
      <c r="H5" s="137" t="s">
        <v>143</v>
      </c>
      <c r="I5" s="137" t="s">
        <v>144</v>
      </c>
      <c r="J5" s="137" t="s">
        <v>141</v>
      </c>
      <c r="K5" s="137" t="s">
        <v>142</v>
      </c>
      <c r="L5" s="137" t="s">
        <v>143</v>
      </c>
      <c r="M5" s="137" t="s">
        <v>144</v>
      </c>
      <c r="N5" s="137" t="s">
        <v>141</v>
      </c>
      <c r="O5" s="137" t="s">
        <v>142</v>
      </c>
      <c r="P5" s="137" t="s">
        <v>143</v>
      </c>
      <c r="Q5" s="137" t="s">
        <v>144</v>
      </c>
      <c r="R5" s="137" t="s">
        <v>142</v>
      </c>
      <c r="S5" s="137" t="s">
        <v>143</v>
      </c>
      <c r="T5" s="137" t="s">
        <v>144</v>
      </c>
      <c r="U5" s="137" t="s">
        <v>141</v>
      </c>
      <c r="V5" s="137" t="s">
        <v>142</v>
      </c>
      <c r="W5" s="137" t="s">
        <v>143</v>
      </c>
      <c r="X5" s="137" t="s">
        <v>144</v>
      </c>
      <c r="Y5" s="137" t="s">
        <v>141</v>
      </c>
      <c r="Z5" s="137" t="s">
        <v>142</v>
      </c>
      <c r="AA5" s="137" t="s">
        <v>143</v>
      </c>
      <c r="AB5" s="137" t="s">
        <v>144</v>
      </c>
      <c r="AC5" s="137" t="s">
        <v>141</v>
      </c>
      <c r="AD5" s="137" t="s">
        <v>142</v>
      </c>
      <c r="AE5" s="137" t="s">
        <v>143</v>
      </c>
      <c r="AF5" s="137" t="s">
        <v>144</v>
      </c>
      <c r="AG5" s="137" t="s">
        <v>141</v>
      </c>
      <c r="AH5" s="137" t="s">
        <v>142</v>
      </c>
      <c r="AI5" s="137" t="s">
        <v>143</v>
      </c>
      <c r="AJ5" s="137" t="s">
        <v>144</v>
      </c>
      <c r="AK5" s="137" t="s">
        <v>142</v>
      </c>
      <c r="AL5" s="137" t="s">
        <v>143</v>
      </c>
      <c r="AM5" s="137" t="s">
        <v>144</v>
      </c>
      <c r="AN5" s="137" t="s">
        <v>141</v>
      </c>
      <c r="AO5" s="137" t="s">
        <v>142</v>
      </c>
      <c r="AP5" s="137" t="s">
        <v>143</v>
      </c>
      <c r="AQ5" s="137" t="s">
        <v>144</v>
      </c>
      <c r="AR5" s="128" t="s">
        <v>141</v>
      </c>
      <c r="AS5" s="189" t="s">
        <v>142</v>
      </c>
      <c r="AT5" s="189" t="s">
        <v>143</v>
      </c>
      <c r="AU5" s="129" t="s">
        <v>144</v>
      </c>
      <c r="AV5" s="137" t="s">
        <v>141</v>
      </c>
      <c r="AW5" s="137" t="s">
        <v>142</v>
      </c>
      <c r="AX5" s="137" t="s">
        <v>143</v>
      </c>
      <c r="AY5" s="137" t="s">
        <v>144</v>
      </c>
      <c r="AZ5" s="128" t="s">
        <v>141</v>
      </c>
      <c r="BA5" s="189" t="s">
        <v>142</v>
      </c>
      <c r="BB5" s="189" t="s">
        <v>143</v>
      </c>
      <c r="BC5" s="129" t="s">
        <v>144</v>
      </c>
      <c r="BD5" s="137" t="s">
        <v>142</v>
      </c>
      <c r="BE5" s="137" t="s">
        <v>143</v>
      </c>
      <c r="BF5" s="137" t="s">
        <v>144</v>
      </c>
    </row>
    <row r="6" spans="1:58">
      <c r="A6" s="5">
        <v>1982</v>
      </c>
      <c r="B6" s="20">
        <v>125400</v>
      </c>
      <c r="C6" s="20">
        <v>15135</v>
      </c>
      <c r="D6" s="20">
        <v>175500</v>
      </c>
      <c r="E6" s="20">
        <v>247400</v>
      </c>
      <c r="F6" s="20">
        <v>52000</v>
      </c>
      <c r="G6" s="20">
        <v>151340</v>
      </c>
      <c r="H6" s="20">
        <v>66300</v>
      </c>
      <c r="I6" s="20">
        <v>87600</v>
      </c>
      <c r="J6" s="20">
        <v>32400</v>
      </c>
      <c r="K6" s="20">
        <v>756725</v>
      </c>
      <c r="L6" s="20">
        <v>39100</v>
      </c>
      <c r="M6" s="20">
        <v>48400</v>
      </c>
      <c r="N6" s="20">
        <v>26800</v>
      </c>
      <c r="O6" s="20">
        <v>1513410</v>
      </c>
      <c r="P6" s="20">
        <v>32400</v>
      </c>
      <c r="Q6" s="20">
        <v>38800</v>
      </c>
      <c r="R6" s="20">
        <v>15133935</v>
      </c>
      <c r="S6" s="20">
        <v>12000</v>
      </c>
      <c r="T6" s="20">
        <v>14000</v>
      </c>
      <c r="U6" s="135" t="s">
        <v>87</v>
      </c>
      <c r="V6" s="135" t="s">
        <v>87</v>
      </c>
      <c r="W6" s="135" t="s">
        <v>87</v>
      </c>
      <c r="X6" s="135" t="s">
        <v>87</v>
      </c>
      <c r="Y6" s="20">
        <v>41300</v>
      </c>
      <c r="Z6" s="20">
        <v>4040</v>
      </c>
      <c r="AA6" s="20">
        <v>51700</v>
      </c>
      <c r="AB6" s="20">
        <v>63500</v>
      </c>
      <c r="AC6" s="20">
        <v>27700</v>
      </c>
      <c r="AD6" s="20">
        <v>20200</v>
      </c>
      <c r="AE6" s="20">
        <v>32600</v>
      </c>
      <c r="AF6" s="20">
        <v>38400</v>
      </c>
      <c r="AG6" s="20">
        <v>23500</v>
      </c>
      <c r="AH6" s="20">
        <v>40390</v>
      </c>
      <c r="AI6" s="20">
        <v>27700</v>
      </c>
      <c r="AJ6" s="20">
        <v>31900</v>
      </c>
      <c r="AK6" s="20">
        <v>403870</v>
      </c>
      <c r="AL6" s="20">
        <v>9600</v>
      </c>
      <c r="AM6" s="20">
        <v>11500</v>
      </c>
      <c r="AN6" s="8"/>
      <c r="AO6" s="8"/>
      <c r="AP6" s="8"/>
      <c r="AQ6" s="8"/>
      <c r="AR6" s="130">
        <f t="shared" ref="AR6:BF22" si="0">100*Y6/F6</f>
        <v>79.42307692307692</v>
      </c>
      <c r="AS6" s="131">
        <f t="shared" si="0"/>
        <v>2.669485925730144</v>
      </c>
      <c r="AT6" s="131">
        <f t="shared" si="0"/>
        <v>77.978883861236795</v>
      </c>
      <c r="AU6" s="132">
        <f t="shared" si="0"/>
        <v>72.48858447488584</v>
      </c>
      <c r="AV6" s="8">
        <f t="shared" si="0"/>
        <v>85.493827160493822</v>
      </c>
      <c r="AW6" s="8">
        <f t="shared" si="0"/>
        <v>2.6693977336548946</v>
      </c>
      <c r="AX6" s="8">
        <f t="shared" si="0"/>
        <v>83.375959079283888</v>
      </c>
      <c r="AY6" s="8">
        <f t="shared" si="0"/>
        <v>79.338842975206617</v>
      </c>
      <c r="AZ6" s="130">
        <f t="shared" si="0"/>
        <v>87.68656716417911</v>
      </c>
      <c r="BA6" s="131">
        <f t="shared" si="0"/>
        <v>2.6688075273719614</v>
      </c>
      <c r="BB6" s="131">
        <f t="shared" si="0"/>
        <v>85.493827160493822</v>
      </c>
      <c r="BC6" s="132">
        <f t="shared" si="0"/>
        <v>82.216494845360828</v>
      </c>
      <c r="BD6" s="8">
        <f t="shared" si="0"/>
        <v>2.6686383944426879</v>
      </c>
      <c r="BE6" s="8">
        <f t="shared" si="0"/>
        <v>80</v>
      </c>
      <c r="BF6" s="8">
        <f t="shared" si="0"/>
        <v>82.142857142857139</v>
      </c>
    </row>
    <row r="7" spans="1:58">
      <c r="A7" s="5">
        <v>1983</v>
      </c>
      <c r="B7" s="20">
        <v>132500</v>
      </c>
      <c r="C7" s="20">
        <v>15160</v>
      </c>
      <c r="D7" s="20">
        <v>181000</v>
      </c>
      <c r="E7" s="20">
        <v>241800</v>
      </c>
      <c r="F7" s="20">
        <v>54800</v>
      </c>
      <c r="G7" s="20">
        <v>151580</v>
      </c>
      <c r="H7" s="20">
        <v>70300</v>
      </c>
      <c r="I7" s="20">
        <v>90500</v>
      </c>
      <c r="J7" s="20">
        <v>33900</v>
      </c>
      <c r="K7" s="20">
        <v>757900</v>
      </c>
      <c r="L7" s="20">
        <v>40800</v>
      </c>
      <c r="M7" s="20">
        <v>50400</v>
      </c>
      <c r="N7" s="20">
        <v>28200</v>
      </c>
      <c r="O7" s="20">
        <v>1515735</v>
      </c>
      <c r="P7" s="20">
        <v>33900</v>
      </c>
      <c r="Q7" s="20">
        <v>40500</v>
      </c>
      <c r="R7" s="20">
        <v>15156670</v>
      </c>
      <c r="S7" s="20">
        <v>12300</v>
      </c>
      <c r="T7" s="20">
        <v>14500</v>
      </c>
      <c r="U7" s="135" t="s">
        <v>87</v>
      </c>
      <c r="V7" s="135" t="s">
        <v>87</v>
      </c>
      <c r="W7" s="135" t="s">
        <v>87</v>
      </c>
      <c r="X7" s="135" t="s">
        <v>87</v>
      </c>
      <c r="Y7" s="20">
        <v>42700</v>
      </c>
      <c r="Z7" s="20">
        <v>4095</v>
      </c>
      <c r="AA7" s="20">
        <v>53900</v>
      </c>
      <c r="AB7" s="20">
        <v>65700</v>
      </c>
      <c r="AC7" s="20">
        <v>29300</v>
      </c>
      <c r="AD7" s="20">
        <v>20470</v>
      </c>
      <c r="AE7" s="20">
        <v>34300</v>
      </c>
      <c r="AF7" s="20">
        <v>40200</v>
      </c>
      <c r="AG7" s="20">
        <v>24800</v>
      </c>
      <c r="AH7" s="20">
        <v>40940</v>
      </c>
      <c r="AI7" s="20">
        <v>29300</v>
      </c>
      <c r="AJ7" s="20">
        <v>33500</v>
      </c>
      <c r="AK7" s="20">
        <v>409390</v>
      </c>
      <c r="AL7" s="20">
        <v>10000</v>
      </c>
      <c r="AM7" s="20">
        <v>12000</v>
      </c>
      <c r="AN7" s="8"/>
      <c r="AO7" s="8"/>
      <c r="AP7" s="8"/>
      <c r="AQ7" s="8"/>
      <c r="AR7" s="130">
        <f t="shared" si="0"/>
        <v>77.919708029197082</v>
      </c>
      <c r="AS7" s="131">
        <f t="shared" si="0"/>
        <v>2.7015437392795882</v>
      </c>
      <c r="AT7" s="131">
        <f t="shared" si="0"/>
        <v>76.671408250355626</v>
      </c>
      <c r="AU7" s="132">
        <f t="shared" si="0"/>
        <v>72.596685082872924</v>
      </c>
      <c r="AV7" s="8">
        <f t="shared" si="0"/>
        <v>86.430678466076699</v>
      </c>
      <c r="AW7" s="8">
        <f t="shared" si="0"/>
        <v>2.7008840216387386</v>
      </c>
      <c r="AX7" s="8">
        <f t="shared" si="0"/>
        <v>84.068627450980387</v>
      </c>
      <c r="AY7" s="8">
        <f t="shared" si="0"/>
        <v>79.761904761904759</v>
      </c>
      <c r="AZ7" s="130">
        <f t="shared" si="0"/>
        <v>87.943262411347519</v>
      </c>
      <c r="BA7" s="131">
        <f t="shared" si="0"/>
        <v>2.7009998449597061</v>
      </c>
      <c r="BB7" s="131">
        <f t="shared" si="0"/>
        <v>86.430678466076699</v>
      </c>
      <c r="BC7" s="132">
        <f t="shared" si="0"/>
        <v>82.716049382716051</v>
      </c>
      <c r="BD7" s="8">
        <f t="shared" si="0"/>
        <v>2.7010550470518919</v>
      </c>
      <c r="BE7" s="8">
        <f t="shared" si="0"/>
        <v>81.300813008130078</v>
      </c>
      <c r="BF7" s="8">
        <f t="shared" si="0"/>
        <v>82.758620689655174</v>
      </c>
    </row>
    <row r="8" spans="1:58">
      <c r="A8" s="5">
        <v>1984</v>
      </c>
      <c r="B8" s="20">
        <v>140300</v>
      </c>
      <c r="C8" s="20">
        <v>15320</v>
      </c>
      <c r="D8" s="20">
        <v>192500</v>
      </c>
      <c r="E8" s="20">
        <v>271900</v>
      </c>
      <c r="F8" s="20">
        <v>56600</v>
      </c>
      <c r="G8" s="20">
        <v>153175</v>
      </c>
      <c r="H8" s="20">
        <v>72900</v>
      </c>
      <c r="I8" s="20">
        <v>96200</v>
      </c>
      <c r="J8" s="20">
        <v>35300</v>
      </c>
      <c r="K8" s="20">
        <v>765855</v>
      </c>
      <c r="L8" s="20">
        <v>42200</v>
      </c>
      <c r="M8" s="20">
        <v>52700</v>
      </c>
      <c r="N8" s="20">
        <v>29600</v>
      </c>
      <c r="O8" s="20">
        <v>1531780</v>
      </c>
      <c r="P8" s="20">
        <v>35300</v>
      </c>
      <c r="Q8" s="20">
        <v>42400</v>
      </c>
      <c r="R8" s="20">
        <v>15316705</v>
      </c>
      <c r="S8" s="20">
        <v>13000</v>
      </c>
      <c r="T8" s="20">
        <v>15300</v>
      </c>
      <c r="U8" s="135" t="s">
        <v>87</v>
      </c>
      <c r="V8" s="135" t="s">
        <v>87</v>
      </c>
      <c r="W8" s="135" t="s">
        <v>87</v>
      </c>
      <c r="X8" s="135" t="s">
        <v>87</v>
      </c>
      <c r="Y8" s="20">
        <v>44600</v>
      </c>
      <c r="Z8" s="20">
        <v>4105</v>
      </c>
      <c r="AA8" s="20">
        <v>55500</v>
      </c>
      <c r="AB8" s="20">
        <v>68500</v>
      </c>
      <c r="AC8" s="20">
        <v>30800</v>
      </c>
      <c r="AD8" s="20">
        <v>20510</v>
      </c>
      <c r="AE8" s="20">
        <v>35900</v>
      </c>
      <c r="AF8" s="20">
        <v>42000</v>
      </c>
      <c r="AG8" s="20">
        <v>26000</v>
      </c>
      <c r="AH8" s="20">
        <v>41020</v>
      </c>
      <c r="AI8" s="20">
        <v>30800</v>
      </c>
      <c r="AJ8" s="20">
        <v>35000</v>
      </c>
      <c r="AK8" s="20">
        <v>410105</v>
      </c>
      <c r="AL8" s="20">
        <v>10700</v>
      </c>
      <c r="AM8" s="20">
        <v>12700</v>
      </c>
      <c r="AN8" s="8"/>
      <c r="AO8" s="8"/>
      <c r="AP8" s="8"/>
      <c r="AQ8" s="8"/>
      <c r="AR8" s="130">
        <f t="shared" si="0"/>
        <v>78.798586572438168</v>
      </c>
      <c r="AS8" s="131">
        <f t="shared" si="0"/>
        <v>2.6799412436755343</v>
      </c>
      <c r="AT8" s="131">
        <f t="shared" si="0"/>
        <v>76.13168724279835</v>
      </c>
      <c r="AU8" s="132">
        <f t="shared" si="0"/>
        <v>71.205821205821209</v>
      </c>
      <c r="AV8" s="8">
        <f t="shared" si="0"/>
        <v>87.252124645892351</v>
      </c>
      <c r="AW8" s="8">
        <f t="shared" si="0"/>
        <v>2.6780526339842399</v>
      </c>
      <c r="AX8" s="8">
        <f t="shared" si="0"/>
        <v>85.071090047393369</v>
      </c>
      <c r="AY8" s="8">
        <f t="shared" si="0"/>
        <v>79.696394686907027</v>
      </c>
      <c r="AZ8" s="130">
        <f t="shared" si="0"/>
        <v>87.837837837837839</v>
      </c>
      <c r="BA8" s="131">
        <f t="shared" si="0"/>
        <v>2.6779302510804426</v>
      </c>
      <c r="BB8" s="131">
        <f t="shared" si="0"/>
        <v>87.252124645892351</v>
      </c>
      <c r="BC8" s="132">
        <f t="shared" si="0"/>
        <v>82.547169811320757</v>
      </c>
      <c r="BD8" s="8">
        <f t="shared" si="0"/>
        <v>2.6775014600072273</v>
      </c>
      <c r="BE8" s="8">
        <f t="shared" si="0"/>
        <v>82.307692307692307</v>
      </c>
      <c r="BF8" s="8">
        <f t="shared" si="0"/>
        <v>83.006535947712422</v>
      </c>
    </row>
    <row r="9" spans="1:58">
      <c r="A9" s="5">
        <v>1985</v>
      </c>
      <c r="B9" s="20">
        <v>153900</v>
      </c>
      <c r="C9" s="20">
        <v>15455</v>
      </c>
      <c r="D9" s="20">
        <v>213600</v>
      </c>
      <c r="E9" s="20">
        <v>303200</v>
      </c>
      <c r="F9" s="20">
        <v>61200</v>
      </c>
      <c r="G9" s="20">
        <v>154555</v>
      </c>
      <c r="H9" s="20">
        <v>79400</v>
      </c>
      <c r="I9" s="20">
        <v>105500</v>
      </c>
      <c r="J9" s="20">
        <v>37200</v>
      </c>
      <c r="K9" s="20">
        <v>772710</v>
      </c>
      <c r="L9" s="20">
        <v>45000</v>
      </c>
      <c r="M9" s="20">
        <v>56700</v>
      </c>
      <c r="N9" s="20">
        <v>31000</v>
      </c>
      <c r="O9" s="20">
        <v>1545550</v>
      </c>
      <c r="P9" s="20">
        <v>37200</v>
      </c>
      <c r="Q9" s="20">
        <v>45200</v>
      </c>
      <c r="R9" s="20">
        <v>15453795</v>
      </c>
      <c r="S9" s="20">
        <v>13500</v>
      </c>
      <c r="T9" s="20">
        <v>16100</v>
      </c>
      <c r="U9" s="135" t="s">
        <v>87</v>
      </c>
      <c r="V9" s="135" t="s">
        <v>87</v>
      </c>
      <c r="W9" s="135" t="s">
        <v>87</v>
      </c>
      <c r="X9" s="135" t="s">
        <v>87</v>
      </c>
      <c r="Y9" s="20">
        <v>47200</v>
      </c>
      <c r="Z9" s="20">
        <v>4125</v>
      </c>
      <c r="AA9" s="20">
        <v>59300</v>
      </c>
      <c r="AB9" s="20">
        <v>71100</v>
      </c>
      <c r="AC9" s="20">
        <v>32000</v>
      </c>
      <c r="AD9" s="20">
        <v>20605</v>
      </c>
      <c r="AE9" s="20">
        <v>37700</v>
      </c>
      <c r="AF9" s="20">
        <v>43900</v>
      </c>
      <c r="AG9" s="20">
        <v>26900</v>
      </c>
      <c r="AH9" s="20">
        <v>41210</v>
      </c>
      <c r="AI9" s="20">
        <v>32000</v>
      </c>
      <c r="AJ9" s="20">
        <v>36500</v>
      </c>
      <c r="AK9" s="20">
        <v>412090</v>
      </c>
      <c r="AL9" s="20">
        <v>11100</v>
      </c>
      <c r="AM9" s="20">
        <v>13300</v>
      </c>
      <c r="AN9" s="8"/>
      <c r="AO9" s="8"/>
      <c r="AP9" s="8"/>
      <c r="AQ9" s="8"/>
      <c r="AR9" s="130">
        <f t="shared" si="0"/>
        <v>77.124183006535944</v>
      </c>
      <c r="AS9" s="131">
        <f t="shared" si="0"/>
        <v>2.6689527999741194</v>
      </c>
      <c r="AT9" s="131">
        <f t="shared" si="0"/>
        <v>74.685138539042825</v>
      </c>
      <c r="AU9" s="132">
        <f t="shared" si="0"/>
        <v>67.393364928909946</v>
      </c>
      <c r="AV9" s="8">
        <f t="shared" si="0"/>
        <v>86.021505376344081</v>
      </c>
      <c r="AW9" s="8">
        <f t="shared" si="0"/>
        <v>2.6665890178721643</v>
      </c>
      <c r="AX9" s="8">
        <f t="shared" si="0"/>
        <v>83.777777777777771</v>
      </c>
      <c r="AY9" s="8">
        <f t="shared" si="0"/>
        <v>77.42504409171076</v>
      </c>
      <c r="AZ9" s="130">
        <f t="shared" si="0"/>
        <v>86.774193548387103</v>
      </c>
      <c r="BA9" s="131">
        <f t="shared" si="0"/>
        <v>2.6663647245317201</v>
      </c>
      <c r="BB9" s="131">
        <f t="shared" si="0"/>
        <v>86.021505376344081</v>
      </c>
      <c r="BC9" s="132">
        <f t="shared" si="0"/>
        <v>80.752212389380531</v>
      </c>
      <c r="BD9" s="8">
        <f t="shared" si="0"/>
        <v>2.6665941925591738</v>
      </c>
      <c r="BE9" s="8">
        <f t="shared" si="0"/>
        <v>82.222222222222229</v>
      </c>
      <c r="BF9" s="8">
        <f t="shared" si="0"/>
        <v>82.608695652173907</v>
      </c>
    </row>
    <row r="10" spans="1:58">
      <c r="A10" s="5">
        <v>1986</v>
      </c>
      <c r="B10" s="20">
        <v>166300</v>
      </c>
      <c r="C10" s="20">
        <v>16435</v>
      </c>
      <c r="D10" s="20">
        <v>226700</v>
      </c>
      <c r="E10" s="20">
        <v>315100</v>
      </c>
      <c r="F10" s="20">
        <v>66900</v>
      </c>
      <c r="G10" s="20">
        <v>164320</v>
      </c>
      <c r="H10" s="20">
        <v>87200</v>
      </c>
      <c r="I10" s="20">
        <v>113800</v>
      </c>
      <c r="J10" s="20">
        <v>38500</v>
      </c>
      <c r="K10" s="20">
        <v>821590</v>
      </c>
      <c r="L10" s="20">
        <v>47500</v>
      </c>
      <c r="M10" s="20">
        <v>60300</v>
      </c>
      <c r="N10" s="20">
        <v>31800</v>
      </c>
      <c r="O10" s="20">
        <v>1643230</v>
      </c>
      <c r="P10" s="20">
        <v>38500</v>
      </c>
      <c r="Q10" s="20">
        <v>47500</v>
      </c>
      <c r="R10" s="20">
        <v>16431720</v>
      </c>
      <c r="S10" s="20">
        <v>13700</v>
      </c>
      <c r="T10" s="20">
        <v>16600</v>
      </c>
      <c r="U10" s="135" t="s">
        <v>87</v>
      </c>
      <c r="V10" s="135" t="s">
        <v>87</v>
      </c>
      <c r="W10" s="135" t="s">
        <v>87</v>
      </c>
      <c r="X10" s="135" t="s">
        <v>87</v>
      </c>
      <c r="Y10" s="20">
        <v>50100</v>
      </c>
      <c r="Z10" s="20">
        <v>4410</v>
      </c>
      <c r="AA10" s="20">
        <v>62000</v>
      </c>
      <c r="AB10" s="20">
        <v>77900</v>
      </c>
      <c r="AC10" s="20">
        <v>33100</v>
      </c>
      <c r="AD10" s="20">
        <v>22030</v>
      </c>
      <c r="AE10" s="20">
        <v>39000</v>
      </c>
      <c r="AF10" s="20">
        <v>46400</v>
      </c>
      <c r="AG10" s="20">
        <v>27700</v>
      </c>
      <c r="AH10" s="20">
        <v>44060</v>
      </c>
      <c r="AI10" s="20">
        <v>33100</v>
      </c>
      <c r="AJ10" s="20">
        <v>38200</v>
      </c>
      <c r="AK10" s="20">
        <v>440510</v>
      </c>
      <c r="AL10" s="20">
        <v>11300</v>
      </c>
      <c r="AM10" s="20">
        <v>13800</v>
      </c>
      <c r="AN10" s="8"/>
      <c r="AO10" s="8"/>
      <c r="AP10" s="8"/>
      <c r="AQ10" s="8"/>
      <c r="AR10" s="130">
        <f t="shared" si="0"/>
        <v>74.88789237668162</v>
      </c>
      <c r="AS10" s="131">
        <f t="shared" si="0"/>
        <v>2.6837877312560856</v>
      </c>
      <c r="AT10" s="131">
        <f t="shared" si="0"/>
        <v>71.100917431192656</v>
      </c>
      <c r="AU10" s="132">
        <f t="shared" si="0"/>
        <v>68.453427065026361</v>
      </c>
      <c r="AV10" s="8">
        <f t="shared" si="0"/>
        <v>85.974025974025977</v>
      </c>
      <c r="AW10" s="8">
        <f t="shared" si="0"/>
        <v>2.6813860928200199</v>
      </c>
      <c r="AX10" s="8">
        <f t="shared" si="0"/>
        <v>82.10526315789474</v>
      </c>
      <c r="AY10" s="8">
        <f t="shared" si="0"/>
        <v>76.9485903814262</v>
      </c>
      <c r="AZ10" s="130">
        <f t="shared" si="0"/>
        <v>87.106918238993714</v>
      </c>
      <c r="BA10" s="131">
        <f t="shared" si="0"/>
        <v>2.6813045039343244</v>
      </c>
      <c r="BB10" s="131">
        <f t="shared" si="0"/>
        <v>85.974025974025977</v>
      </c>
      <c r="BC10" s="132">
        <f t="shared" si="0"/>
        <v>80.421052631578945</v>
      </c>
      <c r="BD10" s="8">
        <f t="shared" si="0"/>
        <v>2.6808514263874992</v>
      </c>
      <c r="BE10" s="8">
        <f t="shared" si="0"/>
        <v>82.481751824817522</v>
      </c>
      <c r="BF10" s="8">
        <f t="shared" si="0"/>
        <v>83.132530120481931</v>
      </c>
    </row>
    <row r="11" spans="1:58">
      <c r="A11" s="5">
        <v>1987</v>
      </c>
      <c r="B11" s="20">
        <v>202600</v>
      </c>
      <c r="C11" s="20">
        <v>16675</v>
      </c>
      <c r="D11" s="20">
        <v>277000</v>
      </c>
      <c r="E11" s="20">
        <v>389600</v>
      </c>
      <c r="F11" s="20">
        <v>74900</v>
      </c>
      <c r="G11" s="20">
        <v>166755</v>
      </c>
      <c r="H11" s="20">
        <v>102700</v>
      </c>
      <c r="I11" s="20">
        <v>136100</v>
      </c>
      <c r="J11" s="20">
        <v>40000</v>
      </c>
      <c r="K11" s="20">
        <v>833735</v>
      </c>
      <c r="L11" s="20">
        <v>50400</v>
      </c>
      <c r="M11" s="20">
        <v>67200</v>
      </c>
      <c r="N11" s="20">
        <v>32900</v>
      </c>
      <c r="O11" s="20">
        <v>1667470</v>
      </c>
      <c r="P11" s="20">
        <v>40000</v>
      </c>
      <c r="Q11" s="20">
        <v>51600</v>
      </c>
      <c r="R11" s="20">
        <v>16674615</v>
      </c>
      <c r="S11" s="20">
        <v>14200</v>
      </c>
      <c r="T11" s="20">
        <v>17600</v>
      </c>
      <c r="U11" s="135" t="s">
        <v>87</v>
      </c>
      <c r="V11" s="135" t="s">
        <v>87</v>
      </c>
      <c r="W11" s="135" t="s">
        <v>87</v>
      </c>
      <c r="X11" s="135" t="s">
        <v>87</v>
      </c>
      <c r="Y11" s="20">
        <v>52400</v>
      </c>
      <c r="Z11" s="20">
        <v>4525</v>
      </c>
      <c r="AA11" s="20">
        <v>68300</v>
      </c>
      <c r="AB11" s="20">
        <v>83500</v>
      </c>
      <c r="AC11" s="20">
        <v>34100</v>
      </c>
      <c r="AD11" s="20">
        <v>22625</v>
      </c>
      <c r="AE11" s="20">
        <v>40500</v>
      </c>
      <c r="AF11" s="20">
        <v>48600</v>
      </c>
      <c r="AG11" s="20">
        <v>28500</v>
      </c>
      <c r="AH11" s="20">
        <v>45240</v>
      </c>
      <c r="AI11" s="20">
        <v>34100</v>
      </c>
      <c r="AJ11" s="20">
        <v>39800</v>
      </c>
      <c r="AK11" s="20">
        <v>452370</v>
      </c>
      <c r="AL11" s="20">
        <v>11700</v>
      </c>
      <c r="AM11" s="20">
        <v>14300</v>
      </c>
      <c r="AN11" s="8"/>
      <c r="AO11" s="8"/>
      <c r="AP11" s="8"/>
      <c r="AQ11" s="8"/>
      <c r="AR11" s="130">
        <f t="shared" si="0"/>
        <v>69.959946595460607</v>
      </c>
      <c r="AS11" s="131">
        <f t="shared" si="0"/>
        <v>2.7135618122395129</v>
      </c>
      <c r="AT11" s="131">
        <f t="shared" si="0"/>
        <v>66.504381694255116</v>
      </c>
      <c r="AU11" s="132">
        <f t="shared" si="0"/>
        <v>61.35194709772226</v>
      </c>
      <c r="AV11" s="8">
        <f t="shared" si="0"/>
        <v>85.25</v>
      </c>
      <c r="AW11" s="8">
        <f t="shared" si="0"/>
        <v>2.7136920004557803</v>
      </c>
      <c r="AX11" s="8">
        <f t="shared" si="0"/>
        <v>80.357142857142861</v>
      </c>
      <c r="AY11" s="8">
        <f t="shared" si="0"/>
        <v>72.321428571428569</v>
      </c>
      <c r="AZ11" s="130">
        <f t="shared" si="0"/>
        <v>86.626139817629181</v>
      </c>
      <c r="BA11" s="131">
        <f t="shared" si="0"/>
        <v>2.7130922895164531</v>
      </c>
      <c r="BB11" s="131">
        <f t="shared" si="0"/>
        <v>85.25</v>
      </c>
      <c r="BC11" s="132">
        <f t="shared" si="0"/>
        <v>77.131782945736433</v>
      </c>
      <c r="BD11" s="8">
        <f t="shared" si="0"/>
        <v>2.7129262054926007</v>
      </c>
      <c r="BE11" s="8">
        <f t="shared" si="0"/>
        <v>82.394366197183103</v>
      </c>
      <c r="BF11" s="8">
        <f t="shared" si="0"/>
        <v>81.25</v>
      </c>
    </row>
    <row r="12" spans="1:58">
      <c r="A12" s="5">
        <v>1988</v>
      </c>
      <c r="B12" s="20">
        <v>244500</v>
      </c>
      <c r="C12" s="20">
        <v>17165</v>
      </c>
      <c r="D12" s="20">
        <v>369200</v>
      </c>
      <c r="E12" s="20">
        <v>500500</v>
      </c>
      <c r="F12" s="20">
        <v>77900</v>
      </c>
      <c r="G12" s="20">
        <v>171615</v>
      </c>
      <c r="H12" s="20">
        <v>108600</v>
      </c>
      <c r="I12" s="20">
        <v>154600</v>
      </c>
      <c r="J12" s="20">
        <v>41900</v>
      </c>
      <c r="K12" s="20">
        <v>858095</v>
      </c>
      <c r="L12" s="20">
        <v>52300</v>
      </c>
      <c r="M12" s="20">
        <v>72500</v>
      </c>
      <c r="N12" s="20">
        <v>34300</v>
      </c>
      <c r="O12" s="20">
        <v>1716215</v>
      </c>
      <c r="P12" s="20">
        <v>41900</v>
      </c>
      <c r="Q12" s="20">
        <v>55000</v>
      </c>
      <c r="R12" s="20">
        <v>17161055</v>
      </c>
      <c r="S12" s="20">
        <v>15200</v>
      </c>
      <c r="T12" s="20">
        <v>18800</v>
      </c>
      <c r="U12" s="135" t="s">
        <v>87</v>
      </c>
      <c r="V12" s="135" t="s">
        <v>87</v>
      </c>
      <c r="W12" s="135" t="s">
        <v>87</v>
      </c>
      <c r="X12" s="135" t="s">
        <v>87</v>
      </c>
      <c r="Y12" s="20">
        <v>55400</v>
      </c>
      <c r="Z12" s="20">
        <v>4650</v>
      </c>
      <c r="AA12" s="20">
        <v>74300</v>
      </c>
      <c r="AB12" s="20">
        <v>104700</v>
      </c>
      <c r="AC12" s="20">
        <v>35200</v>
      </c>
      <c r="AD12" s="20">
        <v>23235</v>
      </c>
      <c r="AE12" s="20">
        <v>41700</v>
      </c>
      <c r="AF12" s="20">
        <v>53900</v>
      </c>
      <c r="AG12" s="20">
        <v>29800</v>
      </c>
      <c r="AH12" s="20">
        <v>46465</v>
      </c>
      <c r="AI12" s="20">
        <v>35200</v>
      </c>
      <c r="AJ12" s="20">
        <v>43100</v>
      </c>
      <c r="AK12" s="20">
        <v>464620</v>
      </c>
      <c r="AL12" s="20">
        <v>12500</v>
      </c>
      <c r="AM12" s="20">
        <v>15400</v>
      </c>
      <c r="AN12" s="8"/>
      <c r="AO12" s="8"/>
      <c r="AP12" s="8"/>
      <c r="AQ12" s="8"/>
      <c r="AR12" s="130">
        <f t="shared" si="0"/>
        <v>71.116816431322206</v>
      </c>
      <c r="AS12" s="131">
        <f t="shared" si="0"/>
        <v>2.7095533607202169</v>
      </c>
      <c r="AT12" s="131">
        <f t="shared" si="0"/>
        <v>68.416206261510126</v>
      </c>
      <c r="AU12" s="132">
        <f t="shared" si="0"/>
        <v>67.723156532988355</v>
      </c>
      <c r="AV12" s="8">
        <f t="shared" si="0"/>
        <v>84.009546539379471</v>
      </c>
      <c r="AW12" s="8">
        <f t="shared" si="0"/>
        <v>2.7077421497619727</v>
      </c>
      <c r="AX12" s="8">
        <f t="shared" si="0"/>
        <v>79.732313575525808</v>
      </c>
      <c r="AY12" s="8">
        <f t="shared" si="0"/>
        <v>74.34482758620689</v>
      </c>
      <c r="AZ12" s="130">
        <f t="shared" si="0"/>
        <v>86.880466472303212</v>
      </c>
      <c r="BA12" s="131">
        <f t="shared" si="0"/>
        <v>2.7074113674568747</v>
      </c>
      <c r="BB12" s="131">
        <f t="shared" si="0"/>
        <v>84.009546539379471</v>
      </c>
      <c r="BC12" s="132">
        <f t="shared" si="0"/>
        <v>78.36363636363636</v>
      </c>
      <c r="BD12" s="8">
        <f t="shared" si="0"/>
        <v>2.7074093055467743</v>
      </c>
      <c r="BE12" s="8">
        <f t="shared" si="0"/>
        <v>82.236842105263165</v>
      </c>
      <c r="BF12" s="8">
        <f t="shared" si="0"/>
        <v>81.914893617021278</v>
      </c>
    </row>
    <row r="13" spans="1:58">
      <c r="A13" s="5">
        <v>1989</v>
      </c>
      <c r="B13" s="20">
        <v>284900</v>
      </c>
      <c r="C13" s="20">
        <v>17860</v>
      </c>
      <c r="D13" s="20">
        <v>444300</v>
      </c>
      <c r="E13" s="20">
        <v>733300</v>
      </c>
      <c r="F13" s="20">
        <v>83800</v>
      </c>
      <c r="G13" s="20">
        <v>178560</v>
      </c>
      <c r="H13" s="20">
        <v>118700</v>
      </c>
      <c r="I13" s="20">
        <v>188700</v>
      </c>
      <c r="J13" s="20">
        <v>43900</v>
      </c>
      <c r="K13" s="20">
        <v>892830</v>
      </c>
      <c r="L13" s="20">
        <v>55400</v>
      </c>
      <c r="M13" s="20">
        <v>81800</v>
      </c>
      <c r="N13" s="20">
        <v>35900</v>
      </c>
      <c r="O13" s="20">
        <v>1785675</v>
      </c>
      <c r="P13" s="20">
        <v>43900</v>
      </c>
      <c r="Q13" s="20">
        <v>60600</v>
      </c>
      <c r="R13" s="20">
        <v>17855585</v>
      </c>
      <c r="S13" s="20">
        <v>15900</v>
      </c>
      <c r="T13" s="20">
        <v>19900</v>
      </c>
      <c r="U13" s="135" t="s">
        <v>87</v>
      </c>
      <c r="V13" s="135" t="s">
        <v>87</v>
      </c>
      <c r="W13" s="135" t="s">
        <v>87</v>
      </c>
      <c r="X13" s="135" t="s">
        <v>87</v>
      </c>
      <c r="Y13" s="20">
        <v>58500</v>
      </c>
      <c r="Z13" s="20">
        <v>4815</v>
      </c>
      <c r="AA13" s="20">
        <v>77600</v>
      </c>
      <c r="AB13" s="20">
        <v>109300</v>
      </c>
      <c r="AC13" s="20">
        <v>37000</v>
      </c>
      <c r="AD13" s="20">
        <v>24080</v>
      </c>
      <c r="AE13" s="20">
        <v>44100</v>
      </c>
      <c r="AF13" s="20">
        <v>56600</v>
      </c>
      <c r="AG13" s="20">
        <v>31200</v>
      </c>
      <c r="AH13" s="20">
        <v>48160</v>
      </c>
      <c r="AI13" s="20">
        <v>37000</v>
      </c>
      <c r="AJ13" s="20">
        <v>45200</v>
      </c>
      <c r="AK13" s="20">
        <v>481445</v>
      </c>
      <c r="AL13" s="20">
        <v>13300</v>
      </c>
      <c r="AM13" s="20">
        <v>16200</v>
      </c>
      <c r="AN13" s="8"/>
      <c r="AO13" s="8"/>
      <c r="AP13" s="8"/>
      <c r="AQ13" s="8"/>
      <c r="AR13" s="130">
        <f t="shared" si="0"/>
        <v>69.809069212410506</v>
      </c>
      <c r="AS13" s="131">
        <f t="shared" si="0"/>
        <v>2.6965725806451615</v>
      </c>
      <c r="AT13" s="131">
        <f t="shared" si="0"/>
        <v>65.37489469250211</v>
      </c>
      <c r="AU13" s="132">
        <f t="shared" si="0"/>
        <v>57.922628510863802</v>
      </c>
      <c r="AV13" s="8">
        <f t="shared" si="0"/>
        <v>84.28246013667426</v>
      </c>
      <c r="AW13" s="8">
        <f t="shared" si="0"/>
        <v>2.6970419900764981</v>
      </c>
      <c r="AX13" s="8">
        <f t="shared" si="0"/>
        <v>79.602888086642594</v>
      </c>
      <c r="AY13" s="8">
        <f t="shared" si="0"/>
        <v>69.193154034229835</v>
      </c>
      <c r="AZ13" s="130">
        <f t="shared" si="0"/>
        <v>86.908077994428965</v>
      </c>
      <c r="BA13" s="131">
        <f t="shared" si="0"/>
        <v>2.6970193344253572</v>
      </c>
      <c r="BB13" s="131">
        <f t="shared" si="0"/>
        <v>84.28246013667426</v>
      </c>
      <c r="BC13" s="132">
        <f t="shared" si="0"/>
        <v>74.587458745874585</v>
      </c>
      <c r="BD13" s="8">
        <f t="shared" si="0"/>
        <v>2.6963272275873349</v>
      </c>
      <c r="BE13" s="8">
        <f t="shared" si="0"/>
        <v>83.647798742138363</v>
      </c>
      <c r="BF13" s="8">
        <f t="shared" si="0"/>
        <v>81.4070351758794</v>
      </c>
    </row>
    <row r="14" spans="1:58">
      <c r="A14" s="5">
        <v>1990</v>
      </c>
      <c r="B14" s="20">
        <v>238900</v>
      </c>
      <c r="C14" s="20">
        <v>18440</v>
      </c>
      <c r="D14" s="20">
        <v>348000</v>
      </c>
      <c r="E14" s="20">
        <v>475100</v>
      </c>
      <c r="F14" s="20">
        <v>79500</v>
      </c>
      <c r="G14" s="20">
        <v>184390</v>
      </c>
      <c r="H14" s="20">
        <v>109100</v>
      </c>
      <c r="I14" s="20">
        <v>152500</v>
      </c>
      <c r="J14" s="20">
        <v>44700</v>
      </c>
      <c r="K14" s="20">
        <v>921945</v>
      </c>
      <c r="L14" s="20">
        <v>55200</v>
      </c>
      <c r="M14" s="20">
        <v>74300</v>
      </c>
      <c r="N14" s="20">
        <v>36800</v>
      </c>
      <c r="O14" s="20">
        <v>1843985</v>
      </c>
      <c r="P14" s="20">
        <v>44700</v>
      </c>
      <c r="Q14" s="20">
        <v>57200</v>
      </c>
      <c r="R14" s="20">
        <v>18437820</v>
      </c>
      <c r="S14" s="20">
        <v>16600</v>
      </c>
      <c r="T14" s="20">
        <v>20100</v>
      </c>
      <c r="U14" s="20">
        <v>147400</v>
      </c>
      <c r="V14" s="135">
        <v>500</v>
      </c>
      <c r="W14" s="20">
        <v>203600</v>
      </c>
      <c r="X14" s="20">
        <v>286300</v>
      </c>
      <c r="Y14" s="20">
        <v>58900</v>
      </c>
      <c r="Z14" s="20">
        <v>4980</v>
      </c>
      <c r="AA14" s="20">
        <v>77100</v>
      </c>
      <c r="AB14" s="20">
        <v>101300</v>
      </c>
      <c r="AC14" s="20">
        <v>37600</v>
      </c>
      <c r="AD14" s="20">
        <v>24895</v>
      </c>
      <c r="AE14" s="20">
        <v>44900</v>
      </c>
      <c r="AF14" s="20">
        <v>55600</v>
      </c>
      <c r="AG14" s="20">
        <v>31700</v>
      </c>
      <c r="AH14" s="20">
        <v>49790</v>
      </c>
      <c r="AI14" s="20">
        <v>37600</v>
      </c>
      <c r="AJ14" s="20">
        <v>44900</v>
      </c>
      <c r="AK14" s="20">
        <v>497815</v>
      </c>
      <c r="AL14" s="20">
        <v>13700</v>
      </c>
      <c r="AM14" s="20">
        <v>16700</v>
      </c>
      <c r="AN14" s="8">
        <f t="shared" ref="AN14:BC36" si="1">100*U14/B14</f>
        <v>61.699455839263287</v>
      </c>
      <c r="AO14" s="8">
        <f t="shared" si="1"/>
        <v>2.7114967462039044</v>
      </c>
      <c r="AP14" s="8">
        <f t="shared" si="1"/>
        <v>58.505747126436781</v>
      </c>
      <c r="AQ14" s="8">
        <f t="shared" si="1"/>
        <v>60.260997684697955</v>
      </c>
      <c r="AR14" s="130">
        <f t="shared" si="0"/>
        <v>74.088050314465406</v>
      </c>
      <c r="AS14" s="131">
        <f t="shared" si="0"/>
        <v>2.7007972232767505</v>
      </c>
      <c r="AT14" s="131">
        <f t="shared" si="0"/>
        <v>70.669110907424383</v>
      </c>
      <c r="AU14" s="132">
        <f t="shared" si="0"/>
        <v>66.426229508196727</v>
      </c>
      <c r="AV14" s="8">
        <f t="shared" si="0"/>
        <v>84.116331096196873</v>
      </c>
      <c r="AW14" s="8">
        <f t="shared" si="0"/>
        <v>2.7002695388553546</v>
      </c>
      <c r="AX14" s="8">
        <f t="shared" si="0"/>
        <v>81.340579710144922</v>
      </c>
      <c r="AY14" s="8">
        <f t="shared" si="0"/>
        <v>74.831763122476445</v>
      </c>
      <c r="AZ14" s="130">
        <f t="shared" si="0"/>
        <v>86.141304347826093</v>
      </c>
      <c r="BA14" s="131">
        <f t="shared" si="0"/>
        <v>2.7001304240544255</v>
      </c>
      <c r="BB14" s="131">
        <f t="shared" si="0"/>
        <v>84.116331096196873</v>
      </c>
      <c r="BC14" s="132">
        <f t="shared" si="0"/>
        <v>78.496503496503493</v>
      </c>
      <c r="BD14" s="8">
        <f t="shared" si="0"/>
        <v>2.6999666988830566</v>
      </c>
      <c r="BE14" s="8">
        <f t="shared" si="0"/>
        <v>82.53012048192771</v>
      </c>
      <c r="BF14" s="8">
        <f t="shared" si="0"/>
        <v>83.084577114427859</v>
      </c>
    </row>
    <row r="15" spans="1:58">
      <c r="A15" s="5">
        <v>1991</v>
      </c>
      <c r="B15" s="20">
        <v>234200</v>
      </c>
      <c r="C15" s="20">
        <v>18780</v>
      </c>
      <c r="D15" s="20">
        <v>342100</v>
      </c>
      <c r="E15" s="20">
        <v>477300</v>
      </c>
      <c r="F15" s="20">
        <v>79900</v>
      </c>
      <c r="G15" s="20">
        <v>187775</v>
      </c>
      <c r="H15" s="20">
        <v>108300</v>
      </c>
      <c r="I15" s="20">
        <v>151900</v>
      </c>
      <c r="J15" s="20">
        <v>46200</v>
      </c>
      <c r="K15" s="20">
        <v>938880</v>
      </c>
      <c r="L15" s="20">
        <v>56600</v>
      </c>
      <c r="M15" s="20">
        <v>75200</v>
      </c>
      <c r="N15" s="20">
        <v>37900</v>
      </c>
      <c r="O15" s="20">
        <v>1877830</v>
      </c>
      <c r="P15" s="20">
        <v>46200</v>
      </c>
      <c r="Q15" s="20">
        <v>58400</v>
      </c>
      <c r="R15" s="20">
        <v>18777380</v>
      </c>
      <c r="S15" s="20">
        <v>16800</v>
      </c>
      <c r="T15" s="20">
        <v>20400</v>
      </c>
      <c r="U15" s="20">
        <v>145100</v>
      </c>
      <c r="V15" s="135">
        <v>505</v>
      </c>
      <c r="W15" s="20">
        <v>204200</v>
      </c>
      <c r="X15" s="20">
        <v>251300</v>
      </c>
      <c r="Y15" s="20">
        <v>60500</v>
      </c>
      <c r="Z15" s="20">
        <v>5045</v>
      </c>
      <c r="AA15" s="20">
        <v>77200</v>
      </c>
      <c r="AB15" s="20">
        <v>98100</v>
      </c>
      <c r="AC15" s="20">
        <v>38900</v>
      </c>
      <c r="AD15" s="20">
        <v>25225</v>
      </c>
      <c r="AE15" s="20">
        <v>46400</v>
      </c>
      <c r="AF15" s="20">
        <v>56100</v>
      </c>
      <c r="AG15" s="20">
        <v>32700</v>
      </c>
      <c r="AH15" s="20">
        <v>50455</v>
      </c>
      <c r="AI15" s="20">
        <v>38900</v>
      </c>
      <c r="AJ15" s="20">
        <v>45800</v>
      </c>
      <c r="AK15" s="20">
        <v>504420</v>
      </c>
      <c r="AL15" s="20">
        <v>14100</v>
      </c>
      <c r="AM15" s="20">
        <v>17100</v>
      </c>
      <c r="AN15" s="8">
        <f t="shared" si="1"/>
        <v>61.955593509820666</v>
      </c>
      <c r="AO15" s="8">
        <f t="shared" si="1"/>
        <v>2.6890308839190626</v>
      </c>
      <c r="AP15" s="8">
        <f t="shared" si="1"/>
        <v>59.690149079216603</v>
      </c>
      <c r="AQ15" s="8">
        <f t="shared" si="1"/>
        <v>52.650324743348001</v>
      </c>
      <c r="AR15" s="130">
        <f t="shared" si="0"/>
        <v>75.719649561952437</v>
      </c>
      <c r="AS15" s="131">
        <f t="shared" si="0"/>
        <v>2.6867261350019969</v>
      </c>
      <c r="AT15" s="131">
        <f t="shared" si="0"/>
        <v>71.283471837488463</v>
      </c>
      <c r="AU15" s="132">
        <f t="shared" si="0"/>
        <v>64.581961816984858</v>
      </c>
      <c r="AV15" s="8">
        <f t="shared" si="0"/>
        <v>84.199134199134193</v>
      </c>
      <c r="AW15" s="8">
        <f t="shared" si="0"/>
        <v>2.6867118268575325</v>
      </c>
      <c r="AX15" s="8">
        <f t="shared" si="0"/>
        <v>81.978798586572438</v>
      </c>
      <c r="AY15" s="8">
        <f t="shared" si="0"/>
        <v>74.601063829787236</v>
      </c>
      <c r="AZ15" s="130">
        <f t="shared" si="0"/>
        <v>86.2796833773087</v>
      </c>
      <c r="BA15" s="131">
        <f t="shared" si="0"/>
        <v>2.6868779388975574</v>
      </c>
      <c r="BB15" s="131">
        <f t="shared" si="0"/>
        <v>84.199134199134193</v>
      </c>
      <c r="BC15" s="132">
        <f t="shared" si="0"/>
        <v>78.424657534246577</v>
      </c>
      <c r="BD15" s="8">
        <f t="shared" si="0"/>
        <v>2.686317260448476</v>
      </c>
      <c r="BE15" s="8">
        <f t="shared" si="0"/>
        <v>83.928571428571431</v>
      </c>
      <c r="BF15" s="8">
        <f t="shared" si="0"/>
        <v>83.82352941176471</v>
      </c>
    </row>
    <row r="16" spans="1:58">
      <c r="A16" s="5">
        <v>1992</v>
      </c>
      <c r="B16" s="20">
        <v>247700</v>
      </c>
      <c r="C16" s="20">
        <v>19260</v>
      </c>
      <c r="D16" s="20">
        <v>374200</v>
      </c>
      <c r="E16" s="20">
        <v>483800</v>
      </c>
      <c r="F16" s="20">
        <v>81400</v>
      </c>
      <c r="G16" s="20">
        <v>192560</v>
      </c>
      <c r="H16" s="20">
        <v>111200</v>
      </c>
      <c r="I16" s="20">
        <v>155700</v>
      </c>
      <c r="J16" s="20">
        <v>47300</v>
      </c>
      <c r="K16" s="20">
        <v>962815</v>
      </c>
      <c r="L16" s="20">
        <v>57600</v>
      </c>
      <c r="M16" s="20">
        <v>76800</v>
      </c>
      <c r="N16" s="20">
        <v>38900</v>
      </c>
      <c r="O16" s="20">
        <v>1925690</v>
      </c>
      <c r="P16" s="20">
        <v>47300</v>
      </c>
      <c r="Q16" s="20">
        <v>59700</v>
      </c>
      <c r="R16" s="20">
        <v>19255815</v>
      </c>
      <c r="S16" s="20">
        <v>16900</v>
      </c>
      <c r="T16" s="20">
        <v>20800</v>
      </c>
      <c r="U16" s="20">
        <v>152700</v>
      </c>
      <c r="V16" s="135">
        <v>515</v>
      </c>
      <c r="W16" s="20">
        <v>226200</v>
      </c>
      <c r="X16" s="20">
        <v>276500</v>
      </c>
      <c r="Y16" s="20">
        <v>61600</v>
      </c>
      <c r="Z16" s="20">
        <v>5145</v>
      </c>
      <c r="AA16" s="20">
        <v>78700</v>
      </c>
      <c r="AB16" s="20">
        <v>102200</v>
      </c>
      <c r="AC16" s="20">
        <v>39900</v>
      </c>
      <c r="AD16" s="20">
        <v>25715</v>
      </c>
      <c r="AE16" s="20">
        <v>47500</v>
      </c>
      <c r="AF16" s="20">
        <v>57800</v>
      </c>
      <c r="AG16" s="20">
        <v>33700</v>
      </c>
      <c r="AH16" s="20">
        <v>51425</v>
      </c>
      <c r="AI16" s="20">
        <v>39900</v>
      </c>
      <c r="AJ16" s="20">
        <v>47100</v>
      </c>
      <c r="AK16" s="20">
        <v>514215</v>
      </c>
      <c r="AL16" s="20">
        <v>14200</v>
      </c>
      <c r="AM16" s="20">
        <v>17400</v>
      </c>
      <c r="AN16" s="8">
        <f t="shared" si="1"/>
        <v>61.64715381509891</v>
      </c>
      <c r="AO16" s="8">
        <f t="shared" si="1"/>
        <v>2.6739356178608515</v>
      </c>
      <c r="AP16" s="8">
        <f t="shared" si="1"/>
        <v>60.448957776590056</v>
      </c>
      <c r="AQ16" s="8">
        <f t="shared" si="1"/>
        <v>57.151715584952463</v>
      </c>
      <c r="AR16" s="130">
        <f t="shared" si="0"/>
        <v>75.675675675675677</v>
      </c>
      <c r="AS16" s="131">
        <f t="shared" si="0"/>
        <v>2.6718944744495223</v>
      </c>
      <c r="AT16" s="131">
        <f t="shared" si="0"/>
        <v>70.773381294964025</v>
      </c>
      <c r="AU16" s="132">
        <f t="shared" si="0"/>
        <v>65.639049454078361</v>
      </c>
      <c r="AV16" s="8">
        <f t="shared" si="0"/>
        <v>84.355179704016919</v>
      </c>
      <c r="AW16" s="8">
        <f t="shared" si="0"/>
        <v>2.6708142270321922</v>
      </c>
      <c r="AX16" s="8">
        <f t="shared" si="0"/>
        <v>82.465277777777771</v>
      </c>
      <c r="AY16" s="8">
        <f t="shared" si="0"/>
        <v>75.260416666666671</v>
      </c>
      <c r="AZ16" s="130">
        <f t="shared" si="0"/>
        <v>86.632390745501283</v>
      </c>
      <c r="BA16" s="131">
        <f t="shared" si="0"/>
        <v>2.6704713635112607</v>
      </c>
      <c r="BB16" s="131">
        <f t="shared" si="0"/>
        <v>84.355179704016919</v>
      </c>
      <c r="BC16" s="132">
        <f t="shared" si="0"/>
        <v>78.894472361809051</v>
      </c>
      <c r="BD16" s="8">
        <f t="shared" si="0"/>
        <v>2.6704400722586916</v>
      </c>
      <c r="BE16" s="8">
        <f t="shared" si="0"/>
        <v>84.023668639053255</v>
      </c>
      <c r="BF16" s="8">
        <f t="shared" si="0"/>
        <v>83.65384615384616</v>
      </c>
    </row>
    <row r="17" spans="1:58">
      <c r="A17" s="5">
        <v>1993</v>
      </c>
      <c r="B17" s="20">
        <v>283600</v>
      </c>
      <c r="C17" s="20">
        <v>19870</v>
      </c>
      <c r="D17" s="20">
        <v>425100</v>
      </c>
      <c r="E17" s="20">
        <v>541200</v>
      </c>
      <c r="F17" s="20">
        <v>86900</v>
      </c>
      <c r="G17" s="20">
        <v>198690</v>
      </c>
      <c r="H17" s="20">
        <v>121300</v>
      </c>
      <c r="I17" s="20">
        <v>172500</v>
      </c>
      <c r="J17" s="20">
        <v>47900</v>
      </c>
      <c r="K17" s="20">
        <v>993470</v>
      </c>
      <c r="L17" s="20">
        <v>59200</v>
      </c>
      <c r="M17" s="20">
        <v>81600</v>
      </c>
      <c r="N17" s="20">
        <v>39200</v>
      </c>
      <c r="O17" s="20">
        <v>1986890</v>
      </c>
      <c r="P17" s="20">
        <v>47900</v>
      </c>
      <c r="Q17" s="20">
        <v>62300</v>
      </c>
      <c r="R17" s="20">
        <v>19868775</v>
      </c>
      <c r="S17" s="20">
        <v>16600</v>
      </c>
      <c r="T17" s="20">
        <v>20900</v>
      </c>
      <c r="U17" s="20">
        <v>177700</v>
      </c>
      <c r="V17" s="135">
        <v>525</v>
      </c>
      <c r="W17" s="20">
        <v>287900</v>
      </c>
      <c r="X17" s="20">
        <v>367300</v>
      </c>
      <c r="Y17" s="20">
        <v>64800</v>
      </c>
      <c r="Z17" s="20">
        <v>5235</v>
      </c>
      <c r="AA17" s="20">
        <v>83400</v>
      </c>
      <c r="AB17" s="20">
        <v>117700</v>
      </c>
      <c r="AC17" s="20">
        <v>40300</v>
      </c>
      <c r="AD17" s="20">
        <v>26160</v>
      </c>
      <c r="AE17" s="20">
        <v>48300</v>
      </c>
      <c r="AF17" s="20">
        <v>61700</v>
      </c>
      <c r="AG17" s="20">
        <v>33700</v>
      </c>
      <c r="AH17" s="20">
        <v>52330</v>
      </c>
      <c r="AI17" s="20">
        <v>40300</v>
      </c>
      <c r="AJ17" s="20">
        <v>49200</v>
      </c>
      <c r="AK17" s="20">
        <v>523175</v>
      </c>
      <c r="AL17" s="20">
        <v>14200</v>
      </c>
      <c r="AM17" s="20">
        <v>17700</v>
      </c>
      <c r="AN17" s="8">
        <f t="shared" si="1"/>
        <v>62.658674188998589</v>
      </c>
      <c r="AO17" s="8">
        <f t="shared" si="1"/>
        <v>2.6421741318570708</v>
      </c>
      <c r="AP17" s="8">
        <f t="shared" si="1"/>
        <v>67.725241119736538</v>
      </c>
      <c r="AQ17" s="8">
        <f t="shared" si="1"/>
        <v>67.867701404286777</v>
      </c>
      <c r="AR17" s="130">
        <f t="shared" si="0"/>
        <v>74.568469505178371</v>
      </c>
      <c r="AS17" s="131">
        <f t="shared" si="0"/>
        <v>2.6347576626906237</v>
      </c>
      <c r="AT17" s="131">
        <f t="shared" si="0"/>
        <v>68.755152514427039</v>
      </c>
      <c r="AU17" s="132">
        <f t="shared" si="0"/>
        <v>68.231884057971016</v>
      </c>
      <c r="AV17" s="8">
        <f t="shared" si="0"/>
        <v>84.133611691022963</v>
      </c>
      <c r="AW17" s="8">
        <f t="shared" si="0"/>
        <v>2.6331947617945182</v>
      </c>
      <c r="AX17" s="8">
        <f t="shared" si="0"/>
        <v>81.587837837837839</v>
      </c>
      <c r="AY17" s="8">
        <f t="shared" si="0"/>
        <v>75.612745098039213</v>
      </c>
      <c r="AZ17" s="130">
        <f t="shared" si="0"/>
        <v>85.969387755102048</v>
      </c>
      <c r="BA17" s="131">
        <f t="shared" si="0"/>
        <v>2.6337643251513674</v>
      </c>
      <c r="BB17" s="131">
        <f t="shared" si="0"/>
        <v>84.133611691022963</v>
      </c>
      <c r="BC17" s="132">
        <f t="shared" si="0"/>
        <v>78.972712680577843</v>
      </c>
      <c r="BD17" s="8">
        <f t="shared" si="0"/>
        <v>2.6331517670314351</v>
      </c>
      <c r="BE17" s="8">
        <f t="shared" si="0"/>
        <v>85.5421686746988</v>
      </c>
      <c r="BF17" s="8">
        <f t="shared" si="0"/>
        <v>84.68899521531101</v>
      </c>
    </row>
    <row r="18" spans="1:58">
      <c r="A18" s="5">
        <v>1994</v>
      </c>
      <c r="B18" s="20">
        <v>328500</v>
      </c>
      <c r="C18" s="20">
        <v>20175</v>
      </c>
      <c r="D18" s="20">
        <v>480500</v>
      </c>
      <c r="E18" s="20">
        <v>566300</v>
      </c>
      <c r="F18" s="20">
        <v>126700</v>
      </c>
      <c r="G18" s="20">
        <v>201745</v>
      </c>
      <c r="H18" s="20">
        <v>154300</v>
      </c>
      <c r="I18" s="20">
        <v>206500</v>
      </c>
      <c r="J18" s="20">
        <v>58200</v>
      </c>
      <c r="K18" s="20">
        <v>1008650</v>
      </c>
      <c r="L18" s="20">
        <v>85400</v>
      </c>
      <c r="M18" s="20">
        <v>107000</v>
      </c>
      <c r="N18" s="20">
        <v>43400</v>
      </c>
      <c r="O18" s="20">
        <v>2017425</v>
      </c>
      <c r="P18" s="20">
        <v>58200</v>
      </c>
      <c r="Q18" s="20">
        <v>78200</v>
      </c>
      <c r="R18" s="20">
        <v>20172785</v>
      </c>
      <c r="S18" s="20">
        <v>17200</v>
      </c>
      <c r="T18" s="20">
        <v>23200</v>
      </c>
      <c r="U18" s="20">
        <v>219500</v>
      </c>
      <c r="V18" s="135">
        <v>530</v>
      </c>
      <c r="W18" s="20">
        <v>361900</v>
      </c>
      <c r="X18" s="20">
        <v>397600</v>
      </c>
      <c r="Y18" s="20">
        <v>94900</v>
      </c>
      <c r="Z18" s="20">
        <v>5280</v>
      </c>
      <c r="AA18" s="20">
        <v>124700</v>
      </c>
      <c r="AB18" s="20">
        <v>154800</v>
      </c>
      <c r="AC18" s="20">
        <v>45900</v>
      </c>
      <c r="AD18" s="20">
        <v>26380</v>
      </c>
      <c r="AE18" s="20">
        <v>61300</v>
      </c>
      <c r="AF18" s="20">
        <v>79200</v>
      </c>
      <c r="AG18" s="20">
        <v>36100</v>
      </c>
      <c r="AH18" s="20">
        <v>52755</v>
      </c>
      <c r="AI18" s="20">
        <v>45900</v>
      </c>
      <c r="AJ18" s="20">
        <v>59700</v>
      </c>
      <c r="AK18" s="20">
        <v>527505</v>
      </c>
      <c r="AL18" s="20">
        <v>14400</v>
      </c>
      <c r="AM18" s="20">
        <v>19100</v>
      </c>
      <c r="AN18" s="8">
        <f t="shared" si="1"/>
        <v>66.818873668188743</v>
      </c>
      <c r="AO18" s="8">
        <f t="shared" si="1"/>
        <v>2.6270136307311027</v>
      </c>
      <c r="AP18" s="8">
        <f t="shared" si="1"/>
        <v>75.31737773152966</v>
      </c>
      <c r="AQ18" s="8">
        <f t="shared" si="1"/>
        <v>70.210135970333752</v>
      </c>
      <c r="AR18" s="130">
        <f t="shared" si="0"/>
        <v>74.901341752170481</v>
      </c>
      <c r="AS18" s="131">
        <f t="shared" si="0"/>
        <v>2.617165233339116</v>
      </c>
      <c r="AT18" s="131">
        <f t="shared" si="0"/>
        <v>80.816591056383672</v>
      </c>
      <c r="AU18" s="132">
        <f t="shared" si="0"/>
        <v>74.963680387409198</v>
      </c>
      <c r="AV18" s="8">
        <f t="shared" si="0"/>
        <v>78.865979381443296</v>
      </c>
      <c r="AW18" s="8">
        <f t="shared" si="0"/>
        <v>2.6153769890447629</v>
      </c>
      <c r="AX18" s="8">
        <f t="shared" si="0"/>
        <v>71.779859484777518</v>
      </c>
      <c r="AY18" s="8">
        <f t="shared" si="0"/>
        <v>74.018691588785046</v>
      </c>
      <c r="AZ18" s="130">
        <f t="shared" si="0"/>
        <v>83.179723502304142</v>
      </c>
      <c r="BA18" s="131">
        <f t="shared" si="0"/>
        <v>2.6149670991486671</v>
      </c>
      <c r="BB18" s="131">
        <f t="shared" si="0"/>
        <v>78.865979381443296</v>
      </c>
      <c r="BC18" s="132">
        <f t="shared" si="0"/>
        <v>76.342710997442452</v>
      </c>
      <c r="BD18" s="8">
        <f t="shared" si="0"/>
        <v>2.6149339320277294</v>
      </c>
      <c r="BE18" s="8">
        <f t="shared" si="0"/>
        <v>83.720930232558146</v>
      </c>
      <c r="BF18" s="8">
        <f t="shared" si="0"/>
        <v>82.327586206896555</v>
      </c>
    </row>
    <row r="19" spans="1:58">
      <c r="A19" s="5">
        <v>1995</v>
      </c>
      <c r="B19" s="20">
        <v>250600</v>
      </c>
      <c r="C19" s="20">
        <v>20525</v>
      </c>
      <c r="D19" s="20">
        <v>363700</v>
      </c>
      <c r="E19" s="20">
        <v>495800</v>
      </c>
      <c r="F19" s="20">
        <v>83200</v>
      </c>
      <c r="G19" s="20">
        <v>205245</v>
      </c>
      <c r="H19" s="20">
        <v>112300</v>
      </c>
      <c r="I19" s="20">
        <v>158400</v>
      </c>
      <c r="J19" s="20">
        <v>48800</v>
      </c>
      <c r="K19" s="20">
        <v>1026190</v>
      </c>
      <c r="L19" s="20">
        <v>59500</v>
      </c>
      <c r="M19" s="20">
        <v>78800</v>
      </c>
      <c r="N19" s="20">
        <v>40100</v>
      </c>
      <c r="O19" s="20">
        <v>2052385</v>
      </c>
      <c r="P19" s="20">
        <v>48700</v>
      </c>
      <c r="Q19" s="20">
        <v>61300</v>
      </c>
      <c r="R19" s="20">
        <v>20523495</v>
      </c>
      <c r="S19" s="20">
        <v>16900</v>
      </c>
      <c r="T19" s="20">
        <v>21000</v>
      </c>
      <c r="U19" s="20">
        <v>149800</v>
      </c>
      <c r="V19" s="135">
        <v>535</v>
      </c>
      <c r="W19" s="20">
        <v>213100</v>
      </c>
      <c r="X19" s="20">
        <v>253400</v>
      </c>
      <c r="Y19" s="20">
        <v>66800</v>
      </c>
      <c r="Z19" s="20">
        <v>5345</v>
      </c>
      <c r="AA19" s="20">
        <v>83900</v>
      </c>
      <c r="AB19" s="20">
        <v>104600</v>
      </c>
      <c r="AC19" s="20">
        <v>41800</v>
      </c>
      <c r="AD19" s="20">
        <v>26705</v>
      </c>
      <c r="AE19" s="20">
        <v>50300</v>
      </c>
      <c r="AF19" s="20">
        <v>60600</v>
      </c>
      <c r="AG19" s="20">
        <v>34600</v>
      </c>
      <c r="AH19" s="20">
        <v>53395</v>
      </c>
      <c r="AI19" s="20">
        <v>41800</v>
      </c>
      <c r="AJ19" s="20">
        <v>49200</v>
      </c>
      <c r="AK19" s="20">
        <v>533910</v>
      </c>
      <c r="AL19" s="20">
        <v>14400</v>
      </c>
      <c r="AM19" s="20">
        <v>17800</v>
      </c>
      <c r="AN19" s="8">
        <f t="shared" si="1"/>
        <v>59.77653631284916</v>
      </c>
      <c r="AO19" s="8">
        <f t="shared" si="1"/>
        <v>2.6065773447015834</v>
      </c>
      <c r="AP19" s="8">
        <f t="shared" si="1"/>
        <v>58.592246356887543</v>
      </c>
      <c r="AQ19" s="8">
        <f t="shared" si="1"/>
        <v>51.109318273497379</v>
      </c>
      <c r="AR19" s="130">
        <f t="shared" si="0"/>
        <v>80.288461538461533</v>
      </c>
      <c r="AS19" s="131">
        <f t="shared" si="0"/>
        <v>2.6042047309313259</v>
      </c>
      <c r="AT19" s="131">
        <f t="shared" si="0"/>
        <v>74.710596616206587</v>
      </c>
      <c r="AU19" s="132">
        <f t="shared" si="0"/>
        <v>66.035353535353536</v>
      </c>
      <c r="AV19" s="8">
        <f t="shared" si="0"/>
        <v>85.655737704918039</v>
      </c>
      <c r="AW19" s="8">
        <f t="shared" si="0"/>
        <v>2.6023445950554964</v>
      </c>
      <c r="AX19" s="8">
        <f t="shared" si="0"/>
        <v>84.537815126050418</v>
      </c>
      <c r="AY19" s="8">
        <f t="shared" si="0"/>
        <v>76.903553299492387</v>
      </c>
      <c r="AZ19" s="130">
        <f t="shared" si="0"/>
        <v>86.284289276807982</v>
      </c>
      <c r="BA19" s="131">
        <f t="shared" si="0"/>
        <v>2.6016073982220687</v>
      </c>
      <c r="BB19" s="131">
        <f t="shared" si="0"/>
        <v>85.831622176591381</v>
      </c>
      <c r="BC19" s="132">
        <f t="shared" si="0"/>
        <v>80.261011419249598</v>
      </c>
      <c r="BD19" s="8">
        <f t="shared" si="0"/>
        <v>2.6014575002941749</v>
      </c>
      <c r="BE19" s="8">
        <f t="shared" si="0"/>
        <v>85.207100591715971</v>
      </c>
      <c r="BF19" s="8">
        <f t="shared" si="0"/>
        <v>84.761904761904759</v>
      </c>
    </row>
    <row r="20" spans="1:58">
      <c r="A20" s="5">
        <v>1996</v>
      </c>
      <c r="B20" s="20">
        <v>266800</v>
      </c>
      <c r="C20" s="20">
        <v>20765</v>
      </c>
      <c r="D20" s="20">
        <v>387400</v>
      </c>
      <c r="E20" s="20">
        <v>549500</v>
      </c>
      <c r="F20" s="20">
        <v>86500</v>
      </c>
      <c r="G20" s="20">
        <v>207620</v>
      </c>
      <c r="H20" s="20">
        <v>116900</v>
      </c>
      <c r="I20" s="20">
        <v>168800</v>
      </c>
      <c r="J20" s="20">
        <v>50000</v>
      </c>
      <c r="K20" s="20">
        <v>1038105</v>
      </c>
      <c r="L20" s="20">
        <v>61500</v>
      </c>
      <c r="M20" s="20">
        <v>82400</v>
      </c>
      <c r="N20" s="20">
        <v>41000</v>
      </c>
      <c r="O20" s="20">
        <v>2076300</v>
      </c>
      <c r="P20" s="20">
        <v>50000</v>
      </c>
      <c r="Q20" s="20">
        <v>63700</v>
      </c>
      <c r="R20" s="20">
        <v>20761725</v>
      </c>
      <c r="S20" s="20">
        <v>17000</v>
      </c>
      <c r="T20" s="20">
        <v>21400</v>
      </c>
      <c r="U20" s="20">
        <v>160900</v>
      </c>
      <c r="V20" s="135">
        <v>540</v>
      </c>
      <c r="W20" s="20">
        <v>226400</v>
      </c>
      <c r="X20" s="20">
        <v>348400</v>
      </c>
      <c r="Y20" s="20">
        <v>67800</v>
      </c>
      <c r="Z20" s="20">
        <v>5370</v>
      </c>
      <c r="AA20" s="20">
        <v>86700</v>
      </c>
      <c r="AB20" s="20">
        <v>116400</v>
      </c>
      <c r="AC20" s="20">
        <v>42400</v>
      </c>
      <c r="AD20" s="20">
        <v>26835</v>
      </c>
      <c r="AE20" s="20">
        <v>51200</v>
      </c>
      <c r="AF20" s="20">
        <v>63500</v>
      </c>
      <c r="AG20" s="20">
        <v>34900</v>
      </c>
      <c r="AH20" s="20">
        <v>53665</v>
      </c>
      <c r="AI20" s="20">
        <v>42400</v>
      </c>
      <c r="AJ20" s="20">
        <v>50800</v>
      </c>
      <c r="AK20" s="20">
        <v>536615</v>
      </c>
      <c r="AL20" s="20">
        <v>14500</v>
      </c>
      <c r="AM20" s="20">
        <v>18100</v>
      </c>
      <c r="AN20" s="8">
        <f t="shared" si="1"/>
        <v>60.30734632683658</v>
      </c>
      <c r="AO20" s="8">
        <f t="shared" si="1"/>
        <v>2.6005297375391283</v>
      </c>
      <c r="AP20" s="8">
        <f t="shared" si="1"/>
        <v>58.44088797108931</v>
      </c>
      <c r="AQ20" s="8">
        <f t="shared" si="1"/>
        <v>63.403093721565057</v>
      </c>
      <c r="AR20" s="130">
        <f t="shared" si="0"/>
        <v>78.381502890173408</v>
      </c>
      <c r="AS20" s="131">
        <f t="shared" si="0"/>
        <v>2.586456025431076</v>
      </c>
      <c r="AT20" s="131">
        <f t="shared" si="0"/>
        <v>74.165953806672363</v>
      </c>
      <c r="AU20" s="132">
        <f t="shared" si="0"/>
        <v>68.957345971563981</v>
      </c>
      <c r="AV20" s="8">
        <f t="shared" si="0"/>
        <v>84.8</v>
      </c>
      <c r="AW20" s="8">
        <f t="shared" si="0"/>
        <v>2.5849986273064864</v>
      </c>
      <c r="AX20" s="8">
        <f t="shared" si="0"/>
        <v>83.252032520325201</v>
      </c>
      <c r="AY20" s="8">
        <f t="shared" si="0"/>
        <v>77.0631067961165</v>
      </c>
      <c r="AZ20" s="130">
        <f t="shared" si="0"/>
        <v>85.121951219512198</v>
      </c>
      <c r="BA20" s="131">
        <f t="shared" si="0"/>
        <v>2.5846457640996001</v>
      </c>
      <c r="BB20" s="131">
        <f t="shared" si="0"/>
        <v>84.8</v>
      </c>
      <c r="BC20" s="132">
        <f t="shared" si="0"/>
        <v>79.748822605965458</v>
      </c>
      <c r="BD20" s="8">
        <f t="shared" si="0"/>
        <v>2.5846359105517487</v>
      </c>
      <c r="BE20" s="8">
        <f t="shared" si="0"/>
        <v>85.294117647058826</v>
      </c>
      <c r="BF20" s="8">
        <f t="shared" si="0"/>
        <v>84.579439252336442</v>
      </c>
    </row>
    <row r="21" spans="1:58">
      <c r="A21" s="5">
        <v>1997</v>
      </c>
      <c r="B21" s="20">
        <v>303600</v>
      </c>
      <c r="C21" s="20">
        <v>21105</v>
      </c>
      <c r="D21" s="20">
        <v>451100</v>
      </c>
      <c r="E21" s="20">
        <v>656500</v>
      </c>
      <c r="F21" s="20">
        <v>91600</v>
      </c>
      <c r="G21" s="20">
        <v>211020</v>
      </c>
      <c r="H21" s="20">
        <v>127100</v>
      </c>
      <c r="I21" s="20">
        <v>190100</v>
      </c>
      <c r="J21" s="20">
        <v>51700</v>
      </c>
      <c r="K21" s="20">
        <v>1055155</v>
      </c>
      <c r="L21" s="20">
        <v>64100</v>
      </c>
      <c r="M21" s="20">
        <v>88700</v>
      </c>
      <c r="N21" s="20">
        <v>42100</v>
      </c>
      <c r="O21" s="20">
        <v>2110270</v>
      </c>
      <c r="P21" s="20">
        <v>51700</v>
      </c>
      <c r="Q21" s="20">
        <v>67500</v>
      </c>
      <c r="R21" s="20">
        <v>21101850</v>
      </c>
      <c r="S21" s="20">
        <v>17300</v>
      </c>
      <c r="T21" s="20">
        <v>22100</v>
      </c>
      <c r="U21" s="20">
        <v>167300</v>
      </c>
      <c r="V21" s="135">
        <v>540</v>
      </c>
      <c r="W21" s="20">
        <v>225800</v>
      </c>
      <c r="X21" s="20">
        <v>287600</v>
      </c>
      <c r="Y21" s="20">
        <v>68900</v>
      </c>
      <c r="Z21" s="20">
        <v>5395</v>
      </c>
      <c r="AA21" s="20">
        <v>87500</v>
      </c>
      <c r="AB21" s="20">
        <v>112500</v>
      </c>
      <c r="AC21" s="20">
        <v>42900</v>
      </c>
      <c r="AD21" s="20">
        <v>26980</v>
      </c>
      <c r="AE21" s="20">
        <v>51900</v>
      </c>
      <c r="AF21" s="20">
        <v>63400</v>
      </c>
      <c r="AG21" s="20">
        <v>35300</v>
      </c>
      <c r="AH21" s="20">
        <v>53960</v>
      </c>
      <c r="AI21" s="20">
        <v>42900</v>
      </c>
      <c r="AJ21" s="20">
        <v>51000</v>
      </c>
      <c r="AK21" s="20">
        <v>539440</v>
      </c>
      <c r="AL21" s="20">
        <v>14600</v>
      </c>
      <c r="AM21" s="20">
        <v>18300</v>
      </c>
      <c r="AN21" s="8">
        <f t="shared" si="1"/>
        <v>55.105401844532281</v>
      </c>
      <c r="AO21" s="8">
        <f t="shared" si="1"/>
        <v>2.5586353944562901</v>
      </c>
      <c r="AP21" s="8">
        <f t="shared" si="1"/>
        <v>50.055420084238527</v>
      </c>
      <c r="AQ21" s="8">
        <f t="shared" si="1"/>
        <v>43.808073115003808</v>
      </c>
      <c r="AR21" s="130">
        <f t="shared" si="0"/>
        <v>75.21834061135371</v>
      </c>
      <c r="AS21" s="131">
        <f t="shared" si="0"/>
        <v>2.5566297033456546</v>
      </c>
      <c r="AT21" s="131">
        <f t="shared" si="0"/>
        <v>68.843430369787569</v>
      </c>
      <c r="AU21" s="132">
        <f t="shared" si="0"/>
        <v>59.179379274066278</v>
      </c>
      <c r="AV21" s="8">
        <f t="shared" si="0"/>
        <v>82.978723404255319</v>
      </c>
      <c r="AW21" s="8">
        <f t="shared" si="0"/>
        <v>2.556970302941274</v>
      </c>
      <c r="AX21" s="8">
        <f t="shared" si="0"/>
        <v>80.967238689547585</v>
      </c>
      <c r="AY21" s="8">
        <f t="shared" si="0"/>
        <v>71.476888387824133</v>
      </c>
      <c r="AZ21" s="130">
        <f t="shared" si="0"/>
        <v>83.847980997624703</v>
      </c>
      <c r="BA21" s="131">
        <f t="shared" si="0"/>
        <v>2.5570187701099858</v>
      </c>
      <c r="BB21" s="131">
        <f t="shared" si="0"/>
        <v>82.978723404255319</v>
      </c>
      <c r="BC21" s="132">
        <f t="shared" si="0"/>
        <v>75.555555555555557</v>
      </c>
      <c r="BD21" s="8">
        <f t="shared" si="0"/>
        <v>2.5563635415852164</v>
      </c>
      <c r="BE21" s="8">
        <f t="shared" si="0"/>
        <v>84.393063583815035</v>
      </c>
      <c r="BF21" s="8">
        <f t="shared" si="0"/>
        <v>82.805429864253398</v>
      </c>
    </row>
    <row r="22" spans="1:58">
      <c r="A22" s="5">
        <v>1998</v>
      </c>
      <c r="B22" s="20">
        <v>331300</v>
      </c>
      <c r="C22" s="20">
        <v>21420</v>
      </c>
      <c r="D22" s="20">
        <v>496100</v>
      </c>
      <c r="E22" s="20">
        <v>733300</v>
      </c>
      <c r="F22" s="20">
        <v>96200</v>
      </c>
      <c r="G22" s="20">
        <v>214195</v>
      </c>
      <c r="H22" s="20">
        <v>134800</v>
      </c>
      <c r="I22" s="20">
        <v>206200</v>
      </c>
      <c r="J22" s="20">
        <v>53300</v>
      </c>
      <c r="K22" s="20">
        <v>1071000</v>
      </c>
      <c r="L22" s="20">
        <v>66400</v>
      </c>
      <c r="M22" s="20">
        <v>93800</v>
      </c>
      <c r="N22" s="20">
        <v>43200</v>
      </c>
      <c r="O22" s="20">
        <v>2141985</v>
      </c>
      <c r="P22" s="20">
        <v>53300</v>
      </c>
      <c r="Q22" s="20">
        <v>70700</v>
      </c>
      <c r="R22" s="20">
        <v>21418880</v>
      </c>
      <c r="S22" s="20">
        <v>17800</v>
      </c>
      <c r="T22" s="20">
        <v>22800</v>
      </c>
      <c r="U22" s="20">
        <v>179600</v>
      </c>
      <c r="V22" s="135">
        <v>550</v>
      </c>
      <c r="W22" s="20">
        <v>238000</v>
      </c>
      <c r="X22" s="20">
        <v>294600</v>
      </c>
      <c r="Y22" s="20">
        <v>70000</v>
      </c>
      <c r="Z22" s="20">
        <v>5460</v>
      </c>
      <c r="AA22" s="20">
        <v>92600</v>
      </c>
      <c r="AB22" s="20">
        <v>117200</v>
      </c>
      <c r="AC22" s="20">
        <v>43800</v>
      </c>
      <c r="AD22" s="20">
        <v>27305</v>
      </c>
      <c r="AE22" s="20">
        <v>53000</v>
      </c>
      <c r="AF22" s="20">
        <v>65200</v>
      </c>
      <c r="AG22" s="20">
        <v>36000</v>
      </c>
      <c r="AH22" s="20">
        <v>54595</v>
      </c>
      <c r="AI22" s="20">
        <v>43800</v>
      </c>
      <c r="AJ22" s="20">
        <v>52300</v>
      </c>
      <c r="AK22" s="20">
        <v>545940</v>
      </c>
      <c r="AL22" s="20">
        <v>15100</v>
      </c>
      <c r="AM22" s="20">
        <v>18700</v>
      </c>
      <c r="AN22" s="8">
        <f t="shared" si="1"/>
        <v>54.210685179595529</v>
      </c>
      <c r="AO22" s="8">
        <f t="shared" si="1"/>
        <v>2.5676937441643326</v>
      </c>
      <c r="AP22" s="8">
        <f t="shared" si="1"/>
        <v>47.974198750251965</v>
      </c>
      <c r="AQ22" s="8">
        <f t="shared" si="1"/>
        <v>40.1745533887904</v>
      </c>
      <c r="AR22" s="130">
        <f t="shared" si="0"/>
        <v>72.765072765072759</v>
      </c>
      <c r="AS22" s="131">
        <f t="shared" si="0"/>
        <v>2.549079110156633</v>
      </c>
      <c r="AT22" s="131">
        <f t="shared" si="0"/>
        <v>68.694362017804153</v>
      </c>
      <c r="AU22" s="132">
        <f t="shared" si="0"/>
        <v>56.838021338506302</v>
      </c>
      <c r="AV22" s="8">
        <f t="shared" si="0"/>
        <v>82.176360225140712</v>
      </c>
      <c r="AW22" s="8">
        <f t="shared" si="0"/>
        <v>2.549486461251167</v>
      </c>
      <c r="AX22" s="8">
        <f t="shared" si="0"/>
        <v>79.819277108433738</v>
      </c>
      <c r="AY22" s="8">
        <f t="shared" si="0"/>
        <v>69.509594882729218</v>
      </c>
      <c r="AZ22" s="130">
        <f t="shared" si="0"/>
        <v>83.333333333333329</v>
      </c>
      <c r="BA22" s="131">
        <f t="shared" si="0"/>
        <v>2.5488040299068389</v>
      </c>
      <c r="BB22" s="131">
        <f t="shared" si="0"/>
        <v>82.176360225140712</v>
      </c>
      <c r="BC22" s="132">
        <f t="shared" si="0"/>
        <v>73.974540311173968</v>
      </c>
      <c r="BD22" s="8">
        <f t="shared" si="0"/>
        <v>2.5488727701915321</v>
      </c>
      <c r="BE22" s="8">
        <f t="shared" si="0"/>
        <v>84.831460674157299</v>
      </c>
      <c r="BF22" s="8">
        <f t="shared" si="0"/>
        <v>82.017543859649123</v>
      </c>
    </row>
    <row r="23" spans="1:58">
      <c r="A23" s="5">
        <v>1999</v>
      </c>
      <c r="B23" s="20">
        <v>357800</v>
      </c>
      <c r="C23" s="20">
        <v>21875</v>
      </c>
      <c r="D23" s="20">
        <v>520300</v>
      </c>
      <c r="E23" s="20">
        <v>797800</v>
      </c>
      <c r="F23" s="20">
        <v>100800</v>
      </c>
      <c r="G23" s="20">
        <v>218720</v>
      </c>
      <c r="H23" s="20">
        <v>142800</v>
      </c>
      <c r="I23" s="20">
        <v>221000</v>
      </c>
      <c r="J23" s="20">
        <v>55300</v>
      </c>
      <c r="K23" s="20">
        <v>1093540</v>
      </c>
      <c r="L23" s="20">
        <v>69100</v>
      </c>
      <c r="M23" s="20">
        <v>98900</v>
      </c>
      <c r="N23" s="20">
        <v>44800</v>
      </c>
      <c r="O23" s="20">
        <v>2187175</v>
      </c>
      <c r="P23" s="20">
        <v>55300</v>
      </c>
      <c r="Q23" s="20">
        <v>74100</v>
      </c>
      <c r="R23" s="20">
        <v>21870385</v>
      </c>
      <c r="S23" s="20">
        <v>18600</v>
      </c>
      <c r="T23" s="20">
        <v>23800</v>
      </c>
      <c r="U23" s="20">
        <v>208000</v>
      </c>
      <c r="V23" s="135">
        <v>555</v>
      </c>
      <c r="W23" s="20">
        <v>290500</v>
      </c>
      <c r="X23" s="20">
        <v>382000</v>
      </c>
      <c r="Y23" s="20">
        <v>73200</v>
      </c>
      <c r="Z23" s="20">
        <v>5535</v>
      </c>
      <c r="AA23" s="20">
        <v>96200</v>
      </c>
      <c r="AB23" s="20">
        <v>130400</v>
      </c>
      <c r="AC23" s="20">
        <v>46000</v>
      </c>
      <c r="AD23" s="20">
        <v>27675</v>
      </c>
      <c r="AE23" s="20">
        <v>55500</v>
      </c>
      <c r="AF23" s="20">
        <v>69800</v>
      </c>
      <c r="AG23" s="20">
        <v>37600</v>
      </c>
      <c r="AH23" s="20">
        <v>55355</v>
      </c>
      <c r="AI23" s="20">
        <v>46000</v>
      </c>
      <c r="AJ23" s="20">
        <v>55500</v>
      </c>
      <c r="AK23" s="20">
        <v>553420</v>
      </c>
      <c r="AL23" s="20">
        <v>15900</v>
      </c>
      <c r="AM23" s="20">
        <v>19700</v>
      </c>
      <c r="AN23" s="8">
        <f t="shared" si="1"/>
        <v>58.133035215204025</v>
      </c>
      <c r="AO23" s="8">
        <f t="shared" si="1"/>
        <v>2.5371428571428569</v>
      </c>
      <c r="AP23" s="8">
        <f t="shared" si="1"/>
        <v>55.833173169325391</v>
      </c>
      <c r="AQ23" s="8">
        <f t="shared" si="1"/>
        <v>47.8816746051642</v>
      </c>
      <c r="AR23" s="130">
        <f t="shared" si="1"/>
        <v>72.61904761904762</v>
      </c>
      <c r="AS23" s="131">
        <f t="shared" si="1"/>
        <v>2.5306327724945135</v>
      </c>
      <c r="AT23" s="131">
        <f t="shared" si="1"/>
        <v>67.36694677871148</v>
      </c>
      <c r="AU23" s="132">
        <f t="shared" si="1"/>
        <v>59.004524886877832</v>
      </c>
      <c r="AV23" s="8">
        <f t="shared" si="1"/>
        <v>83.182640144665456</v>
      </c>
      <c r="AW23" s="8">
        <f t="shared" si="1"/>
        <v>2.5307716224372223</v>
      </c>
      <c r="AX23" s="8">
        <f t="shared" si="1"/>
        <v>80.318379160636752</v>
      </c>
      <c r="AY23" s="8">
        <f t="shared" si="1"/>
        <v>70.576339737108185</v>
      </c>
      <c r="AZ23" s="130">
        <f t="shared" si="1"/>
        <v>83.928571428571431</v>
      </c>
      <c r="BA23" s="131">
        <f t="shared" si="1"/>
        <v>2.5308903037022645</v>
      </c>
      <c r="BB23" s="131">
        <f t="shared" si="1"/>
        <v>83.182640144665456</v>
      </c>
      <c r="BC23" s="132">
        <f t="shared" si="1"/>
        <v>74.89878542510121</v>
      </c>
      <c r="BD23" s="8">
        <f t="shared" ref="BD23:BF42" si="2">100*AK23/R23</f>
        <v>2.5304538534643997</v>
      </c>
      <c r="BE23" s="8">
        <f t="shared" si="2"/>
        <v>85.483870967741936</v>
      </c>
      <c r="BF23" s="8">
        <f t="shared" si="2"/>
        <v>82.773109243697476</v>
      </c>
    </row>
    <row r="24" spans="1:58">
      <c r="A24" s="5">
        <v>2000</v>
      </c>
      <c r="B24" s="20">
        <v>441900</v>
      </c>
      <c r="C24" s="20">
        <v>22230</v>
      </c>
      <c r="D24" s="20">
        <v>657700</v>
      </c>
      <c r="E24" s="20">
        <v>1047900</v>
      </c>
      <c r="F24" s="20">
        <v>113700</v>
      </c>
      <c r="G24" s="20">
        <v>222295</v>
      </c>
      <c r="H24" s="20">
        <v>164500</v>
      </c>
      <c r="I24" s="20">
        <v>269700</v>
      </c>
      <c r="J24" s="20">
        <v>59500</v>
      </c>
      <c r="K24" s="20">
        <v>1111490</v>
      </c>
      <c r="L24" s="20">
        <v>75500</v>
      </c>
      <c r="M24" s="20">
        <v>113800</v>
      </c>
      <c r="N24" s="20">
        <v>47600</v>
      </c>
      <c r="O24" s="20">
        <v>2222980</v>
      </c>
      <c r="P24" s="20">
        <v>59500</v>
      </c>
      <c r="Q24" s="20">
        <v>83200</v>
      </c>
      <c r="R24" s="20">
        <v>22229295</v>
      </c>
      <c r="S24" s="20">
        <v>19500</v>
      </c>
      <c r="T24" s="20">
        <v>25500</v>
      </c>
      <c r="U24" s="20">
        <v>242300</v>
      </c>
      <c r="V24" s="135">
        <v>560</v>
      </c>
      <c r="W24" s="20">
        <v>337000</v>
      </c>
      <c r="X24" s="20">
        <v>461800</v>
      </c>
      <c r="Y24" s="20">
        <v>83700</v>
      </c>
      <c r="Z24" s="20">
        <v>5590</v>
      </c>
      <c r="AA24" s="20">
        <v>109100</v>
      </c>
      <c r="AB24" s="20">
        <v>152800</v>
      </c>
      <c r="AC24" s="20">
        <v>49900</v>
      </c>
      <c r="AD24" s="20">
        <v>27930</v>
      </c>
      <c r="AE24" s="20">
        <v>61200</v>
      </c>
      <c r="AF24" s="20">
        <v>78800</v>
      </c>
      <c r="AG24" s="20">
        <v>39600</v>
      </c>
      <c r="AH24" s="20">
        <v>55870</v>
      </c>
      <c r="AI24" s="20">
        <v>49900</v>
      </c>
      <c r="AJ24" s="20">
        <v>61400</v>
      </c>
      <c r="AK24" s="20">
        <v>558590</v>
      </c>
      <c r="AL24" s="20">
        <v>16700</v>
      </c>
      <c r="AM24" s="20">
        <v>21000</v>
      </c>
      <c r="AN24" s="8">
        <f t="shared" si="1"/>
        <v>54.831409821226522</v>
      </c>
      <c r="AO24" s="8">
        <f t="shared" si="1"/>
        <v>2.5191183085919926</v>
      </c>
      <c r="AP24" s="8">
        <f t="shared" si="1"/>
        <v>51.239166793370835</v>
      </c>
      <c r="AQ24" s="8">
        <f t="shared" si="1"/>
        <v>44.069090562076532</v>
      </c>
      <c r="AR24" s="130">
        <f t="shared" si="1"/>
        <v>73.614775725593674</v>
      </c>
      <c r="AS24" s="131">
        <f t="shared" si="1"/>
        <v>2.5146764434647655</v>
      </c>
      <c r="AT24" s="131">
        <f t="shared" si="1"/>
        <v>66.322188449848028</v>
      </c>
      <c r="AU24" s="132">
        <f t="shared" si="1"/>
        <v>56.65554319614386</v>
      </c>
      <c r="AV24" s="8">
        <f t="shared" si="1"/>
        <v>83.865546218487395</v>
      </c>
      <c r="AW24" s="8">
        <f t="shared" si="1"/>
        <v>2.5128431204959107</v>
      </c>
      <c r="AX24" s="8">
        <f t="shared" si="1"/>
        <v>81.059602649006621</v>
      </c>
      <c r="AY24" s="8">
        <f t="shared" si="1"/>
        <v>69.244288224956065</v>
      </c>
      <c r="AZ24" s="130">
        <f t="shared" si="1"/>
        <v>83.193277310924373</v>
      </c>
      <c r="BA24" s="131">
        <f t="shared" si="1"/>
        <v>2.5132929670982196</v>
      </c>
      <c r="BB24" s="131">
        <f t="shared" si="1"/>
        <v>83.865546218487395</v>
      </c>
      <c r="BC24" s="132">
        <f t="shared" si="1"/>
        <v>73.79807692307692</v>
      </c>
      <c r="BD24" s="8">
        <f t="shared" si="2"/>
        <v>2.5128552210045347</v>
      </c>
      <c r="BE24" s="8">
        <f t="shared" si="2"/>
        <v>85.641025641025635</v>
      </c>
      <c r="BF24" s="8">
        <f t="shared" si="2"/>
        <v>82.352941176470594</v>
      </c>
    </row>
    <row r="25" spans="1:58">
      <c r="A25" s="5">
        <v>2001</v>
      </c>
      <c r="B25" s="20">
        <v>427500</v>
      </c>
      <c r="C25" s="20">
        <v>22785</v>
      </c>
      <c r="D25" s="20">
        <v>646300</v>
      </c>
      <c r="E25" s="20">
        <v>1014100</v>
      </c>
      <c r="F25" s="20">
        <v>116900</v>
      </c>
      <c r="G25" s="20">
        <v>227830</v>
      </c>
      <c r="H25" s="20">
        <v>166000</v>
      </c>
      <c r="I25" s="20">
        <v>266300</v>
      </c>
      <c r="J25" s="20">
        <v>62100</v>
      </c>
      <c r="K25" s="20">
        <v>1139145</v>
      </c>
      <c r="L25" s="20">
        <v>79000</v>
      </c>
      <c r="M25" s="20">
        <v>115700</v>
      </c>
      <c r="N25" s="20">
        <v>49700</v>
      </c>
      <c r="O25" s="20">
        <v>2278330</v>
      </c>
      <c r="P25" s="20">
        <v>62100</v>
      </c>
      <c r="Q25" s="20">
        <v>85300</v>
      </c>
      <c r="R25" s="20">
        <v>22782880</v>
      </c>
      <c r="S25" s="20">
        <v>20400</v>
      </c>
      <c r="T25" s="20">
        <v>26400</v>
      </c>
      <c r="U25" s="20">
        <v>216700</v>
      </c>
      <c r="V25" s="135">
        <v>570</v>
      </c>
      <c r="W25" s="20">
        <v>316700</v>
      </c>
      <c r="X25" s="20">
        <v>395600</v>
      </c>
      <c r="Y25" s="20">
        <v>83500</v>
      </c>
      <c r="Z25" s="20">
        <v>5675</v>
      </c>
      <c r="AA25" s="20">
        <v>110200</v>
      </c>
      <c r="AB25" s="20">
        <v>144300</v>
      </c>
      <c r="AC25" s="20">
        <v>50100</v>
      </c>
      <c r="AD25" s="20">
        <v>28370</v>
      </c>
      <c r="AE25" s="20">
        <v>61200</v>
      </c>
      <c r="AF25" s="20">
        <v>77200</v>
      </c>
      <c r="AG25" s="20">
        <v>40500</v>
      </c>
      <c r="AH25" s="20">
        <v>56740</v>
      </c>
      <c r="AI25" s="20">
        <v>50100</v>
      </c>
      <c r="AJ25" s="20">
        <v>60800</v>
      </c>
      <c r="AK25" s="20">
        <v>567385</v>
      </c>
      <c r="AL25" s="20">
        <v>17400</v>
      </c>
      <c r="AM25" s="20">
        <v>21400</v>
      </c>
      <c r="AN25" s="8">
        <f t="shared" si="1"/>
        <v>50.690058479532162</v>
      </c>
      <c r="AO25" s="8">
        <f t="shared" si="1"/>
        <v>2.5016458196181697</v>
      </c>
      <c r="AP25" s="8">
        <f t="shared" si="1"/>
        <v>49.002011449791119</v>
      </c>
      <c r="AQ25" s="8">
        <f t="shared" si="1"/>
        <v>39.009959570062122</v>
      </c>
      <c r="AR25" s="130">
        <f t="shared" si="1"/>
        <v>71.428571428571431</v>
      </c>
      <c r="AS25" s="131">
        <f t="shared" si="1"/>
        <v>2.4908923320019314</v>
      </c>
      <c r="AT25" s="131">
        <f t="shared" si="1"/>
        <v>66.385542168674704</v>
      </c>
      <c r="AU25" s="132">
        <f t="shared" si="1"/>
        <v>54.187007134810365</v>
      </c>
      <c r="AV25" s="8">
        <f t="shared" si="1"/>
        <v>80.676328502415458</v>
      </c>
      <c r="AW25" s="8">
        <f t="shared" si="1"/>
        <v>2.4904643394826822</v>
      </c>
      <c r="AX25" s="8">
        <f t="shared" si="1"/>
        <v>77.468354430379748</v>
      </c>
      <c r="AY25" s="8">
        <f t="shared" si="1"/>
        <v>66.724286949006057</v>
      </c>
      <c r="AZ25" s="130">
        <f t="shared" si="1"/>
        <v>81.488933601609659</v>
      </c>
      <c r="BA25" s="131">
        <f t="shared" si="1"/>
        <v>2.4904206150996564</v>
      </c>
      <c r="BB25" s="131">
        <f t="shared" si="1"/>
        <v>80.676328502415458</v>
      </c>
      <c r="BC25" s="132">
        <f t="shared" si="1"/>
        <v>71.277842907385704</v>
      </c>
      <c r="BD25" s="8">
        <f t="shared" si="2"/>
        <v>2.4904006868315154</v>
      </c>
      <c r="BE25" s="8">
        <f t="shared" si="2"/>
        <v>85.294117647058826</v>
      </c>
      <c r="BF25" s="8">
        <f t="shared" si="2"/>
        <v>81.060606060606062</v>
      </c>
    </row>
    <row r="26" spans="1:58">
      <c r="A26" s="5">
        <v>2002</v>
      </c>
      <c r="B26" s="20">
        <v>419000</v>
      </c>
      <c r="C26" s="20">
        <v>22950</v>
      </c>
      <c r="D26" s="20">
        <v>619700</v>
      </c>
      <c r="E26" s="20">
        <v>951800</v>
      </c>
      <c r="F26" s="20">
        <v>118000</v>
      </c>
      <c r="G26" s="20">
        <v>229505</v>
      </c>
      <c r="H26" s="20">
        <v>165900</v>
      </c>
      <c r="I26" s="20">
        <v>258900</v>
      </c>
      <c r="J26" s="20">
        <v>63800</v>
      </c>
      <c r="K26" s="20">
        <v>1147520</v>
      </c>
      <c r="L26" s="20">
        <v>80800</v>
      </c>
      <c r="M26" s="20">
        <v>115600</v>
      </c>
      <c r="N26" s="20">
        <v>51200</v>
      </c>
      <c r="O26" s="20">
        <v>2295070</v>
      </c>
      <c r="P26" s="20">
        <v>63800</v>
      </c>
      <c r="Q26" s="20">
        <v>86100</v>
      </c>
      <c r="R26" s="20">
        <v>22949645</v>
      </c>
      <c r="S26" s="20">
        <v>20800</v>
      </c>
      <c r="T26" s="20">
        <v>26900</v>
      </c>
      <c r="U26" s="20">
        <v>230700</v>
      </c>
      <c r="V26" s="135">
        <v>570</v>
      </c>
      <c r="W26" s="20">
        <v>324300</v>
      </c>
      <c r="X26" s="20">
        <v>422300</v>
      </c>
      <c r="Y26" s="20">
        <v>84700</v>
      </c>
      <c r="Z26" s="20">
        <v>5695</v>
      </c>
      <c r="AA26" s="20">
        <v>112100</v>
      </c>
      <c r="AB26" s="20">
        <v>148800</v>
      </c>
      <c r="AC26" s="20">
        <v>51400</v>
      </c>
      <c r="AD26" s="20">
        <v>28455</v>
      </c>
      <c r="AE26" s="20">
        <v>62700</v>
      </c>
      <c r="AF26" s="20">
        <v>79200</v>
      </c>
      <c r="AG26" s="20">
        <v>41700</v>
      </c>
      <c r="AH26" s="20">
        <v>56915</v>
      </c>
      <c r="AI26" s="20">
        <v>51400</v>
      </c>
      <c r="AJ26" s="20">
        <v>62500</v>
      </c>
      <c r="AK26" s="20">
        <v>569030</v>
      </c>
      <c r="AL26" s="20">
        <v>18000</v>
      </c>
      <c r="AM26" s="20">
        <v>22100</v>
      </c>
      <c r="AN26" s="8">
        <f t="shared" si="1"/>
        <v>55.059665871121716</v>
      </c>
      <c r="AO26" s="8">
        <f t="shared" si="1"/>
        <v>2.4836601307189543</v>
      </c>
      <c r="AP26" s="8">
        <f t="shared" si="1"/>
        <v>52.331773438760692</v>
      </c>
      <c r="AQ26" s="8">
        <f t="shared" si="1"/>
        <v>44.368564824542972</v>
      </c>
      <c r="AR26" s="130">
        <f t="shared" si="1"/>
        <v>71.779661016949149</v>
      </c>
      <c r="AS26" s="131">
        <f t="shared" si="1"/>
        <v>2.4814274198819199</v>
      </c>
      <c r="AT26" s="131">
        <f t="shared" si="1"/>
        <v>67.570825798673894</v>
      </c>
      <c r="AU26" s="132">
        <f t="shared" si="1"/>
        <v>57.473928157589803</v>
      </c>
      <c r="AV26" s="8">
        <f t="shared" si="1"/>
        <v>80.564263322884017</v>
      </c>
      <c r="AW26" s="8">
        <f t="shared" si="1"/>
        <v>2.4796953430005577</v>
      </c>
      <c r="AX26" s="8">
        <f t="shared" si="1"/>
        <v>77.599009900990097</v>
      </c>
      <c r="AY26" s="8">
        <f t="shared" si="1"/>
        <v>68.512110726643598</v>
      </c>
      <c r="AZ26" s="130">
        <f t="shared" si="1"/>
        <v>81.4453125</v>
      </c>
      <c r="BA26" s="131">
        <f t="shared" si="1"/>
        <v>2.4798807879498228</v>
      </c>
      <c r="BB26" s="131">
        <f t="shared" si="1"/>
        <v>80.564263322884017</v>
      </c>
      <c r="BC26" s="132">
        <f t="shared" si="1"/>
        <v>72.59001161440186</v>
      </c>
      <c r="BD26" s="8">
        <f t="shared" si="2"/>
        <v>2.4794719046852358</v>
      </c>
      <c r="BE26" s="8">
        <f t="shared" si="2"/>
        <v>86.538461538461533</v>
      </c>
      <c r="BF26" s="8">
        <f t="shared" si="2"/>
        <v>82.156133828996289</v>
      </c>
    </row>
    <row r="27" spans="1:58">
      <c r="A27" s="5">
        <v>2003</v>
      </c>
      <c r="B27" s="20">
        <v>426200</v>
      </c>
      <c r="C27" s="20">
        <v>23245</v>
      </c>
      <c r="D27" s="20">
        <v>626500</v>
      </c>
      <c r="E27" s="20">
        <v>950300</v>
      </c>
      <c r="F27" s="20">
        <v>121700</v>
      </c>
      <c r="G27" s="20">
        <v>232440</v>
      </c>
      <c r="H27" s="20">
        <v>171000</v>
      </c>
      <c r="I27" s="20">
        <v>263800</v>
      </c>
      <c r="J27" s="20">
        <v>65700</v>
      </c>
      <c r="K27" s="20">
        <v>1162210</v>
      </c>
      <c r="L27" s="20">
        <v>83000</v>
      </c>
      <c r="M27" s="20">
        <v>118400</v>
      </c>
      <c r="N27" s="20">
        <v>52700</v>
      </c>
      <c r="O27" s="20">
        <v>2324505</v>
      </c>
      <c r="P27" s="20">
        <v>65700</v>
      </c>
      <c r="Q27" s="20">
        <v>88300</v>
      </c>
      <c r="R27" s="20">
        <v>23243975</v>
      </c>
      <c r="S27" s="20">
        <v>21300</v>
      </c>
      <c r="T27" s="20">
        <v>27600</v>
      </c>
      <c r="U27" s="20">
        <v>225600</v>
      </c>
      <c r="V27" s="135">
        <v>575</v>
      </c>
      <c r="W27" s="20">
        <v>342000</v>
      </c>
      <c r="X27" s="20">
        <v>489300</v>
      </c>
      <c r="Y27" s="20">
        <v>85700</v>
      </c>
      <c r="Z27" s="20">
        <v>5715</v>
      </c>
      <c r="AA27" s="20">
        <v>111500</v>
      </c>
      <c r="AB27" s="20">
        <v>155600</v>
      </c>
      <c r="AC27" s="20">
        <v>52900</v>
      </c>
      <c r="AD27" s="20">
        <v>28570</v>
      </c>
      <c r="AE27" s="20">
        <v>64400</v>
      </c>
      <c r="AF27" s="20">
        <v>81800</v>
      </c>
      <c r="AG27" s="20">
        <v>42800</v>
      </c>
      <c r="AH27" s="20">
        <v>57135</v>
      </c>
      <c r="AI27" s="20">
        <v>52900</v>
      </c>
      <c r="AJ27" s="20">
        <v>64400</v>
      </c>
      <c r="AK27" s="20">
        <v>571350</v>
      </c>
      <c r="AL27" s="20">
        <v>18600</v>
      </c>
      <c r="AM27" s="20">
        <v>22800</v>
      </c>
      <c r="AN27" s="8">
        <f t="shared" si="1"/>
        <v>52.932895354293755</v>
      </c>
      <c r="AO27" s="8">
        <f t="shared" si="1"/>
        <v>2.4736502473650246</v>
      </c>
      <c r="AP27" s="8">
        <f t="shared" si="1"/>
        <v>54.588986432561853</v>
      </c>
      <c r="AQ27" s="8">
        <f t="shared" si="1"/>
        <v>51.489003472587605</v>
      </c>
      <c r="AR27" s="130">
        <f t="shared" si="1"/>
        <v>70.419063270336892</v>
      </c>
      <c r="AS27" s="131">
        <f t="shared" si="1"/>
        <v>2.4586990191017035</v>
      </c>
      <c r="AT27" s="131">
        <f t="shared" si="1"/>
        <v>65.204678362573105</v>
      </c>
      <c r="AU27" s="132">
        <f t="shared" si="1"/>
        <v>58.984078847611826</v>
      </c>
      <c r="AV27" s="8">
        <f t="shared" si="1"/>
        <v>80.517503805175039</v>
      </c>
      <c r="AW27" s="8">
        <f t="shared" si="1"/>
        <v>2.4582476488758487</v>
      </c>
      <c r="AX27" s="8">
        <f t="shared" si="1"/>
        <v>77.590361445783131</v>
      </c>
      <c r="AY27" s="8">
        <f t="shared" si="1"/>
        <v>69.087837837837839</v>
      </c>
      <c r="AZ27" s="130">
        <f t="shared" si="1"/>
        <v>81.21442125237192</v>
      </c>
      <c r="BA27" s="131">
        <f t="shared" si="1"/>
        <v>2.4579426587596069</v>
      </c>
      <c r="BB27" s="131">
        <f t="shared" si="1"/>
        <v>80.517503805175039</v>
      </c>
      <c r="BC27" s="132">
        <f t="shared" si="1"/>
        <v>72.933182332955838</v>
      </c>
      <c r="BD27" s="8">
        <f t="shared" si="2"/>
        <v>2.458056335028755</v>
      </c>
      <c r="BE27" s="8">
        <f t="shared" si="2"/>
        <v>87.323943661971825</v>
      </c>
      <c r="BF27" s="8">
        <f t="shared" si="2"/>
        <v>82.608695652173907</v>
      </c>
    </row>
    <row r="28" spans="1:58">
      <c r="A28" s="5">
        <v>2004</v>
      </c>
      <c r="B28" s="20">
        <v>477900</v>
      </c>
      <c r="C28" s="20">
        <v>23610</v>
      </c>
      <c r="D28" s="20">
        <v>714100</v>
      </c>
      <c r="E28" s="20">
        <v>1124600</v>
      </c>
      <c r="F28" s="20">
        <v>130000</v>
      </c>
      <c r="G28" s="20">
        <v>236110</v>
      </c>
      <c r="H28" s="20">
        <v>185800</v>
      </c>
      <c r="I28" s="20">
        <v>296400</v>
      </c>
      <c r="J28" s="20">
        <v>68500</v>
      </c>
      <c r="K28" s="20">
        <v>1180540</v>
      </c>
      <c r="L28" s="20">
        <v>87300</v>
      </c>
      <c r="M28" s="20">
        <v>128400</v>
      </c>
      <c r="N28" s="20">
        <v>54700</v>
      </c>
      <c r="O28" s="20">
        <v>2361015</v>
      </c>
      <c r="P28" s="20">
        <v>68500</v>
      </c>
      <c r="Q28" s="20">
        <v>94500</v>
      </c>
      <c r="R28" s="20">
        <v>23609845</v>
      </c>
      <c r="S28" s="20">
        <v>22000</v>
      </c>
      <c r="T28" s="20">
        <v>28800</v>
      </c>
      <c r="U28" s="20">
        <v>212900</v>
      </c>
      <c r="V28" s="135">
        <v>575</v>
      </c>
      <c r="W28" s="20">
        <v>300500</v>
      </c>
      <c r="X28" s="20">
        <v>477900</v>
      </c>
      <c r="Y28" s="20">
        <v>91200</v>
      </c>
      <c r="Z28" s="20">
        <v>5740</v>
      </c>
      <c r="AA28" s="20">
        <v>119300</v>
      </c>
      <c r="AB28" s="20">
        <v>158600</v>
      </c>
      <c r="AC28" s="20">
        <v>54500</v>
      </c>
      <c r="AD28" s="20">
        <v>28700</v>
      </c>
      <c r="AE28" s="20">
        <v>67200</v>
      </c>
      <c r="AF28" s="20">
        <v>84600</v>
      </c>
      <c r="AG28" s="20">
        <v>44100</v>
      </c>
      <c r="AH28" s="20">
        <v>57405</v>
      </c>
      <c r="AI28" s="20">
        <v>54500</v>
      </c>
      <c r="AJ28" s="20">
        <v>66600</v>
      </c>
      <c r="AK28" s="20">
        <v>573965</v>
      </c>
      <c r="AL28" s="20">
        <v>19200</v>
      </c>
      <c r="AM28" s="20">
        <v>23500</v>
      </c>
      <c r="AN28" s="8">
        <f t="shared" si="1"/>
        <v>44.549068842854155</v>
      </c>
      <c r="AO28" s="8">
        <f t="shared" si="1"/>
        <v>2.435408725116476</v>
      </c>
      <c r="AP28" s="8">
        <f t="shared" si="1"/>
        <v>42.080941044671611</v>
      </c>
      <c r="AQ28" s="8">
        <f t="shared" si="1"/>
        <v>42.495109372221236</v>
      </c>
      <c r="AR28" s="130">
        <f t="shared" si="1"/>
        <v>70.15384615384616</v>
      </c>
      <c r="AS28" s="131">
        <f t="shared" si="1"/>
        <v>2.4310702638600654</v>
      </c>
      <c r="AT28" s="131">
        <f t="shared" si="1"/>
        <v>64.208826695371371</v>
      </c>
      <c r="AU28" s="132">
        <f t="shared" si="1"/>
        <v>53.508771929824562</v>
      </c>
      <c r="AV28" s="8">
        <f t="shared" si="1"/>
        <v>79.56204379562044</v>
      </c>
      <c r="AW28" s="8">
        <f t="shared" si="1"/>
        <v>2.4310908567265828</v>
      </c>
      <c r="AX28" s="8">
        <f t="shared" si="1"/>
        <v>76.975945017182127</v>
      </c>
      <c r="AY28" s="8">
        <f t="shared" si="1"/>
        <v>65.887850467289724</v>
      </c>
      <c r="AZ28" s="130">
        <f t="shared" si="1"/>
        <v>80.621572212065814</v>
      </c>
      <c r="BA28" s="131">
        <f t="shared" si="1"/>
        <v>2.4313695592785307</v>
      </c>
      <c r="BB28" s="131">
        <f t="shared" si="1"/>
        <v>79.56204379562044</v>
      </c>
      <c r="BC28" s="132">
        <f t="shared" si="1"/>
        <v>70.476190476190482</v>
      </c>
      <c r="BD28" s="8">
        <f t="shared" si="2"/>
        <v>2.4310409492311362</v>
      </c>
      <c r="BE28" s="8">
        <f t="shared" si="2"/>
        <v>87.272727272727266</v>
      </c>
      <c r="BF28" s="8">
        <f t="shared" si="2"/>
        <v>81.597222222222229</v>
      </c>
    </row>
    <row r="29" spans="1:58">
      <c r="A29" s="5">
        <v>2005</v>
      </c>
      <c r="B29" s="20">
        <v>538400</v>
      </c>
      <c r="C29" s="20">
        <v>23935</v>
      </c>
      <c r="D29" s="20">
        <v>823200</v>
      </c>
      <c r="E29" s="20">
        <v>1305300</v>
      </c>
      <c r="F29" s="20">
        <v>139800</v>
      </c>
      <c r="G29" s="20">
        <v>239345</v>
      </c>
      <c r="H29" s="20">
        <v>202200</v>
      </c>
      <c r="I29" s="20">
        <v>333000</v>
      </c>
      <c r="J29" s="20">
        <v>71900</v>
      </c>
      <c r="K29" s="20">
        <v>1196745</v>
      </c>
      <c r="L29" s="20">
        <v>92600</v>
      </c>
      <c r="M29" s="20">
        <v>139800</v>
      </c>
      <c r="N29" s="20">
        <v>57100</v>
      </c>
      <c r="O29" s="20">
        <v>2393530</v>
      </c>
      <c r="P29" s="20">
        <v>71900</v>
      </c>
      <c r="Q29" s="20">
        <v>101600</v>
      </c>
      <c r="R29" s="20">
        <v>23934310</v>
      </c>
      <c r="S29" s="20">
        <v>23000</v>
      </c>
      <c r="T29" s="20">
        <v>30400</v>
      </c>
      <c r="U29" s="20">
        <v>226000</v>
      </c>
      <c r="V29" s="135">
        <v>575</v>
      </c>
      <c r="W29" s="20">
        <v>308300</v>
      </c>
      <c r="X29" s="20">
        <v>480200</v>
      </c>
      <c r="Y29" s="20">
        <v>95100</v>
      </c>
      <c r="Z29" s="20">
        <v>5750</v>
      </c>
      <c r="AA29" s="20">
        <v>122000</v>
      </c>
      <c r="AB29" s="20">
        <v>163200</v>
      </c>
      <c r="AC29" s="20">
        <v>57100</v>
      </c>
      <c r="AD29" s="20">
        <v>28750</v>
      </c>
      <c r="AE29" s="20">
        <v>69800</v>
      </c>
      <c r="AF29" s="20">
        <v>87700</v>
      </c>
      <c r="AG29" s="20">
        <v>46600</v>
      </c>
      <c r="AH29" s="20">
        <v>57500</v>
      </c>
      <c r="AI29" s="20">
        <v>57100</v>
      </c>
      <c r="AJ29" s="20">
        <v>69300</v>
      </c>
      <c r="AK29" s="20">
        <v>574955</v>
      </c>
      <c r="AL29" s="20">
        <v>20000</v>
      </c>
      <c r="AM29" s="20">
        <v>24500</v>
      </c>
      <c r="AN29" s="8">
        <f t="shared" si="1"/>
        <v>41.976225854383358</v>
      </c>
      <c r="AO29" s="8">
        <f t="shared" si="1"/>
        <v>2.4023396699394191</v>
      </c>
      <c r="AP29" s="8">
        <f t="shared" si="1"/>
        <v>37.451409135082606</v>
      </c>
      <c r="AQ29" s="8">
        <f t="shared" si="1"/>
        <v>36.788477744579787</v>
      </c>
      <c r="AR29" s="130">
        <f t="shared" si="1"/>
        <v>68.02575107296137</v>
      </c>
      <c r="AS29" s="131">
        <f t="shared" si="1"/>
        <v>2.402389855647705</v>
      </c>
      <c r="AT29" s="131">
        <f t="shared" si="1"/>
        <v>60.33630069238378</v>
      </c>
      <c r="AU29" s="132">
        <f t="shared" si="1"/>
        <v>49.009009009009006</v>
      </c>
      <c r="AV29" s="8">
        <f t="shared" si="1"/>
        <v>79.415855354659243</v>
      </c>
      <c r="AW29" s="8">
        <f t="shared" si="1"/>
        <v>2.4023497069133359</v>
      </c>
      <c r="AX29" s="8">
        <f t="shared" si="1"/>
        <v>75.377969762419013</v>
      </c>
      <c r="AY29" s="8">
        <f t="shared" si="1"/>
        <v>62.732474964234619</v>
      </c>
      <c r="AZ29" s="130">
        <f t="shared" si="1"/>
        <v>81.611208406304726</v>
      </c>
      <c r="BA29" s="131">
        <f t="shared" si="1"/>
        <v>2.4023095595208752</v>
      </c>
      <c r="BB29" s="131">
        <f t="shared" si="1"/>
        <v>79.415855354659243</v>
      </c>
      <c r="BC29" s="132">
        <f t="shared" si="1"/>
        <v>68.20866141732283</v>
      </c>
      <c r="BD29" s="8">
        <f t="shared" si="2"/>
        <v>2.4022209121549776</v>
      </c>
      <c r="BE29" s="8">
        <f t="shared" si="2"/>
        <v>86.956521739130437</v>
      </c>
      <c r="BF29" s="8">
        <f t="shared" si="2"/>
        <v>80.59210526315789</v>
      </c>
    </row>
    <row r="30" spans="1:58">
      <c r="A30" s="5">
        <v>2006</v>
      </c>
      <c r="B30" s="20">
        <v>614900</v>
      </c>
      <c r="C30" s="20">
        <v>24245</v>
      </c>
      <c r="D30" s="20">
        <v>972700</v>
      </c>
      <c r="E30" s="20">
        <v>1489200</v>
      </c>
      <c r="F30" s="20">
        <v>152200</v>
      </c>
      <c r="G30" s="20">
        <v>242435</v>
      </c>
      <c r="H30" s="20">
        <v>222300</v>
      </c>
      <c r="I30" s="20">
        <v>373600</v>
      </c>
      <c r="J30" s="20">
        <v>75800</v>
      </c>
      <c r="K30" s="20">
        <v>1212195</v>
      </c>
      <c r="L30" s="20">
        <v>99000</v>
      </c>
      <c r="M30" s="20">
        <v>153000</v>
      </c>
      <c r="N30" s="20">
        <v>59800</v>
      </c>
      <c r="O30" s="20">
        <v>2424330</v>
      </c>
      <c r="P30" s="20">
        <v>75800</v>
      </c>
      <c r="Q30" s="20">
        <v>109800</v>
      </c>
      <c r="R30" s="20">
        <v>24243285</v>
      </c>
      <c r="S30" s="20">
        <v>24200</v>
      </c>
      <c r="T30" s="20">
        <v>32300</v>
      </c>
      <c r="U30" s="20">
        <v>253900</v>
      </c>
      <c r="V30" s="135">
        <v>580</v>
      </c>
      <c r="W30" s="20">
        <v>351800</v>
      </c>
      <c r="X30" s="20">
        <v>464600</v>
      </c>
      <c r="Y30" s="20">
        <v>99400</v>
      </c>
      <c r="Z30" s="20">
        <v>5765</v>
      </c>
      <c r="AA30" s="20">
        <v>131300</v>
      </c>
      <c r="AB30" s="20">
        <v>170100</v>
      </c>
      <c r="AC30" s="20">
        <v>59600</v>
      </c>
      <c r="AD30" s="20">
        <v>28825</v>
      </c>
      <c r="AE30" s="20">
        <v>73300</v>
      </c>
      <c r="AF30" s="20">
        <v>91800</v>
      </c>
      <c r="AG30" s="20">
        <v>48300</v>
      </c>
      <c r="AH30" s="20">
        <v>57645</v>
      </c>
      <c r="AI30" s="20">
        <v>59600</v>
      </c>
      <c r="AJ30" s="20">
        <v>72400</v>
      </c>
      <c r="AK30" s="20">
        <v>576435</v>
      </c>
      <c r="AL30" s="20">
        <v>21100</v>
      </c>
      <c r="AM30" s="20">
        <v>25700</v>
      </c>
      <c r="AN30" s="8">
        <f t="shared" si="1"/>
        <v>41.29126687266222</v>
      </c>
      <c r="AO30" s="8">
        <f t="shared" si="1"/>
        <v>2.3922458238812125</v>
      </c>
      <c r="AP30" s="8">
        <f t="shared" si="1"/>
        <v>36.1673691785751</v>
      </c>
      <c r="AQ30" s="8">
        <f t="shared" si="1"/>
        <v>31.197958635508996</v>
      </c>
      <c r="AR30" s="130">
        <f t="shared" si="1"/>
        <v>65.308804204993436</v>
      </c>
      <c r="AS30" s="131">
        <f t="shared" si="1"/>
        <v>2.3779569781590943</v>
      </c>
      <c r="AT30" s="131">
        <f t="shared" si="1"/>
        <v>59.064327485380119</v>
      </c>
      <c r="AU30" s="132">
        <f t="shared" si="1"/>
        <v>45.529978586723772</v>
      </c>
      <c r="AV30" s="8">
        <f t="shared" si="1"/>
        <v>78.627968337730877</v>
      </c>
      <c r="AW30" s="8">
        <f t="shared" si="1"/>
        <v>2.3779177442573185</v>
      </c>
      <c r="AX30" s="8">
        <f t="shared" si="1"/>
        <v>74.040404040404042</v>
      </c>
      <c r="AY30" s="8">
        <f t="shared" si="1"/>
        <v>60</v>
      </c>
      <c r="AZ30" s="130">
        <f t="shared" si="1"/>
        <v>80.769230769230774</v>
      </c>
      <c r="BA30" s="131">
        <f t="shared" si="1"/>
        <v>2.3777703530459964</v>
      </c>
      <c r="BB30" s="131">
        <f t="shared" si="1"/>
        <v>78.627968337730877</v>
      </c>
      <c r="BC30" s="132">
        <f t="shared" si="1"/>
        <v>65.938069216757739</v>
      </c>
      <c r="BD30" s="8">
        <f t="shared" si="2"/>
        <v>2.3777099514360369</v>
      </c>
      <c r="BE30" s="8">
        <f t="shared" si="2"/>
        <v>87.190082644628106</v>
      </c>
      <c r="BF30" s="8">
        <f t="shared" si="2"/>
        <v>79.566563467492259</v>
      </c>
    </row>
    <row r="31" spans="1:58">
      <c r="A31" s="5">
        <v>2007</v>
      </c>
      <c r="B31" s="20">
        <v>664500</v>
      </c>
      <c r="C31" s="20">
        <v>24610</v>
      </c>
      <c r="D31" s="20">
        <v>1021100</v>
      </c>
      <c r="E31" s="20">
        <v>1591100</v>
      </c>
      <c r="F31" s="20">
        <v>161800</v>
      </c>
      <c r="G31" s="20">
        <v>246075</v>
      </c>
      <c r="H31" s="20">
        <v>237200</v>
      </c>
      <c r="I31" s="20">
        <v>399400</v>
      </c>
      <c r="J31" s="20">
        <v>80200</v>
      </c>
      <c r="K31" s="20">
        <v>1230350</v>
      </c>
      <c r="L31" s="20">
        <v>105000</v>
      </c>
      <c r="M31" s="20">
        <v>162800</v>
      </c>
      <c r="N31" s="20">
        <v>62900</v>
      </c>
      <c r="O31" s="20">
        <v>2460765</v>
      </c>
      <c r="P31" s="20">
        <v>80200</v>
      </c>
      <c r="Q31" s="20">
        <v>116500</v>
      </c>
      <c r="R31" s="20">
        <v>24606660</v>
      </c>
      <c r="S31" s="20">
        <v>25500</v>
      </c>
      <c r="T31" s="20">
        <v>34000</v>
      </c>
      <c r="U31" s="20">
        <v>274900</v>
      </c>
      <c r="V31" s="135">
        <v>585</v>
      </c>
      <c r="W31" s="20">
        <v>366700</v>
      </c>
      <c r="X31" s="20">
        <v>495500</v>
      </c>
      <c r="Y31" s="20">
        <v>103500</v>
      </c>
      <c r="Z31" s="20">
        <v>5825</v>
      </c>
      <c r="AA31" s="20">
        <v>139900</v>
      </c>
      <c r="AB31" s="20">
        <v>181300</v>
      </c>
      <c r="AC31" s="20">
        <v>62500</v>
      </c>
      <c r="AD31" s="20">
        <v>29115</v>
      </c>
      <c r="AE31" s="20">
        <v>76700</v>
      </c>
      <c r="AF31" s="20">
        <v>96700</v>
      </c>
      <c r="AG31" s="20">
        <v>50600</v>
      </c>
      <c r="AH31" s="20">
        <v>58230</v>
      </c>
      <c r="AI31" s="20">
        <v>62500</v>
      </c>
      <c r="AJ31" s="20">
        <v>76200</v>
      </c>
      <c r="AK31" s="20">
        <v>582275</v>
      </c>
      <c r="AL31" s="20">
        <v>22200</v>
      </c>
      <c r="AM31" s="20">
        <v>27000</v>
      </c>
      <c r="AN31" s="8">
        <f t="shared" si="1"/>
        <v>41.369450714823174</v>
      </c>
      <c r="AO31" s="8">
        <f t="shared" si="1"/>
        <v>2.3770824867939861</v>
      </c>
      <c r="AP31" s="8">
        <f t="shared" si="1"/>
        <v>35.912251493487418</v>
      </c>
      <c r="AQ31" s="8">
        <f t="shared" si="1"/>
        <v>31.141977248444473</v>
      </c>
      <c r="AR31" s="130">
        <f t="shared" si="1"/>
        <v>63.967861557478365</v>
      </c>
      <c r="AS31" s="131">
        <f t="shared" si="1"/>
        <v>2.3671644823732603</v>
      </c>
      <c r="AT31" s="131">
        <f t="shared" si="1"/>
        <v>58.97976391231029</v>
      </c>
      <c r="AU31" s="132">
        <f t="shared" si="1"/>
        <v>45.393089634451677</v>
      </c>
      <c r="AV31" s="8">
        <f t="shared" si="1"/>
        <v>77.930174563591024</v>
      </c>
      <c r="AW31" s="8">
        <f t="shared" si="1"/>
        <v>2.3663998049335553</v>
      </c>
      <c r="AX31" s="8">
        <f t="shared" si="1"/>
        <v>73.047619047619051</v>
      </c>
      <c r="AY31" s="8">
        <f t="shared" si="1"/>
        <v>59.398034398034397</v>
      </c>
      <c r="AZ31" s="130">
        <f t="shared" si="1"/>
        <v>80.445151033386324</v>
      </c>
      <c r="BA31" s="131">
        <f t="shared" si="1"/>
        <v>2.3663372975477137</v>
      </c>
      <c r="BB31" s="131">
        <f t="shared" si="1"/>
        <v>77.930174563591024</v>
      </c>
      <c r="BC31" s="132">
        <f t="shared" si="1"/>
        <v>65.407725321888407</v>
      </c>
      <c r="BD31" s="8">
        <f t="shared" si="2"/>
        <v>2.3663309039097546</v>
      </c>
      <c r="BE31" s="8">
        <f t="shared" si="2"/>
        <v>87.058823529411768</v>
      </c>
      <c r="BF31" s="8">
        <f t="shared" si="2"/>
        <v>79.411764705882348</v>
      </c>
    </row>
    <row r="32" spans="1:58">
      <c r="A32" s="5">
        <v>2008</v>
      </c>
      <c r="B32" s="20">
        <v>597700</v>
      </c>
      <c r="C32" s="20">
        <v>24975</v>
      </c>
      <c r="D32" s="20">
        <v>897400</v>
      </c>
      <c r="E32" s="20">
        <v>1403900</v>
      </c>
      <c r="F32" s="20">
        <v>156200</v>
      </c>
      <c r="G32" s="20">
        <v>249750</v>
      </c>
      <c r="H32" s="20">
        <v>222000</v>
      </c>
      <c r="I32" s="20">
        <v>362800</v>
      </c>
      <c r="J32" s="20">
        <v>81500</v>
      </c>
      <c r="K32" s="20">
        <v>1248775</v>
      </c>
      <c r="L32" s="20">
        <v>105000</v>
      </c>
      <c r="M32" s="20">
        <v>155400</v>
      </c>
      <c r="N32" s="20">
        <v>64500</v>
      </c>
      <c r="O32" s="20">
        <v>2497490</v>
      </c>
      <c r="P32" s="20">
        <v>81500</v>
      </c>
      <c r="Q32" s="20">
        <v>113500</v>
      </c>
      <c r="R32" s="20">
        <v>24974815</v>
      </c>
      <c r="S32" s="20">
        <v>26200</v>
      </c>
      <c r="T32" s="20">
        <v>34300</v>
      </c>
      <c r="U32" s="20">
        <v>255900</v>
      </c>
      <c r="V32" s="135">
        <v>590</v>
      </c>
      <c r="W32" s="20">
        <v>339700</v>
      </c>
      <c r="X32" s="20">
        <v>448800</v>
      </c>
      <c r="Y32" s="20">
        <v>108300</v>
      </c>
      <c r="Z32" s="20">
        <v>5865</v>
      </c>
      <c r="AA32" s="20">
        <v>138100</v>
      </c>
      <c r="AB32" s="20">
        <v>173600</v>
      </c>
      <c r="AC32" s="20">
        <v>65100</v>
      </c>
      <c r="AD32" s="20">
        <v>29325</v>
      </c>
      <c r="AE32" s="20">
        <v>80100</v>
      </c>
      <c r="AF32" s="20">
        <v>97700</v>
      </c>
      <c r="AG32" s="20">
        <v>52600</v>
      </c>
      <c r="AH32" s="20">
        <v>58655</v>
      </c>
      <c r="AI32" s="20">
        <v>65100</v>
      </c>
      <c r="AJ32" s="20">
        <v>77800</v>
      </c>
      <c r="AK32" s="20">
        <v>586420</v>
      </c>
      <c r="AL32" s="20">
        <v>22900</v>
      </c>
      <c r="AM32" s="20">
        <v>27800</v>
      </c>
      <c r="AN32" s="8">
        <f t="shared" si="1"/>
        <v>42.814120796386149</v>
      </c>
      <c r="AO32" s="8">
        <f t="shared" si="1"/>
        <v>2.3623623623623624</v>
      </c>
      <c r="AP32" s="8">
        <f t="shared" si="1"/>
        <v>37.853799866280369</v>
      </c>
      <c r="AQ32" s="8">
        <f t="shared" si="1"/>
        <v>31.968088895220458</v>
      </c>
      <c r="AR32" s="130">
        <f t="shared" si="1"/>
        <v>69.334186939820739</v>
      </c>
      <c r="AS32" s="131">
        <f t="shared" si="1"/>
        <v>2.3483483483483485</v>
      </c>
      <c r="AT32" s="131">
        <f t="shared" si="1"/>
        <v>62.207207207207205</v>
      </c>
      <c r="AU32" s="132">
        <f t="shared" si="1"/>
        <v>47.850055126791624</v>
      </c>
      <c r="AV32" s="8">
        <f t="shared" si="1"/>
        <v>79.877300613496928</v>
      </c>
      <c r="AW32" s="8">
        <f t="shared" si="1"/>
        <v>2.3483013353086024</v>
      </c>
      <c r="AX32" s="8">
        <f t="shared" si="1"/>
        <v>76.285714285714292</v>
      </c>
      <c r="AY32" s="8">
        <f t="shared" si="1"/>
        <v>62.870012870012872</v>
      </c>
      <c r="AZ32" s="130">
        <f t="shared" si="1"/>
        <v>81.550387596899228</v>
      </c>
      <c r="BA32" s="131">
        <f t="shared" si="1"/>
        <v>2.3485579521839925</v>
      </c>
      <c r="BB32" s="131">
        <f t="shared" si="1"/>
        <v>79.877300613496928</v>
      </c>
      <c r="BC32" s="132">
        <f t="shared" si="1"/>
        <v>68.546255506607935</v>
      </c>
      <c r="BD32" s="8">
        <f t="shared" si="2"/>
        <v>2.3480454209570722</v>
      </c>
      <c r="BE32" s="8">
        <f t="shared" si="2"/>
        <v>87.404580152671755</v>
      </c>
      <c r="BF32" s="8">
        <f t="shared" si="2"/>
        <v>81.04956268221575</v>
      </c>
    </row>
    <row r="33" spans="1:58">
      <c r="A33" s="5">
        <v>2009</v>
      </c>
      <c r="B33" s="20">
        <v>527400</v>
      </c>
      <c r="C33" s="20">
        <v>25230</v>
      </c>
      <c r="D33" s="20">
        <v>791200</v>
      </c>
      <c r="E33" s="20">
        <v>1170300</v>
      </c>
      <c r="F33" s="20">
        <v>152800</v>
      </c>
      <c r="G33" s="20">
        <v>252290</v>
      </c>
      <c r="H33" s="20">
        <v>213100</v>
      </c>
      <c r="I33" s="20">
        <v>327100</v>
      </c>
      <c r="J33" s="20">
        <v>82000</v>
      </c>
      <c r="K33" s="20">
        <v>1261495</v>
      </c>
      <c r="L33" s="20">
        <v>105000</v>
      </c>
      <c r="M33" s="20">
        <v>148100</v>
      </c>
      <c r="N33" s="20">
        <v>65300</v>
      </c>
      <c r="O33" s="20">
        <v>2523005</v>
      </c>
      <c r="P33" s="20">
        <v>82000</v>
      </c>
      <c r="Q33" s="20">
        <v>110300</v>
      </c>
      <c r="R33" s="20">
        <v>25228885</v>
      </c>
      <c r="S33" s="20">
        <v>26300</v>
      </c>
      <c r="T33" s="20">
        <v>34100</v>
      </c>
      <c r="U33" s="20">
        <v>267200</v>
      </c>
      <c r="V33" s="135">
        <v>595</v>
      </c>
      <c r="W33" s="20">
        <v>355800</v>
      </c>
      <c r="X33" s="20">
        <v>500500</v>
      </c>
      <c r="Y33" s="20">
        <v>109500</v>
      </c>
      <c r="Z33" s="20">
        <v>5910</v>
      </c>
      <c r="AA33" s="20">
        <v>139600</v>
      </c>
      <c r="AB33" s="20">
        <v>182000</v>
      </c>
      <c r="AC33" s="20">
        <v>67000</v>
      </c>
      <c r="AD33" s="20">
        <v>29545</v>
      </c>
      <c r="AE33" s="20">
        <v>81700</v>
      </c>
      <c r="AF33" s="20">
        <v>100800</v>
      </c>
      <c r="AG33" s="20">
        <v>55100</v>
      </c>
      <c r="AH33" s="20">
        <v>59080</v>
      </c>
      <c r="AI33" s="20">
        <v>67000</v>
      </c>
      <c r="AJ33" s="20">
        <v>80500</v>
      </c>
      <c r="AK33" s="20">
        <v>590780</v>
      </c>
      <c r="AL33" s="20">
        <v>23700</v>
      </c>
      <c r="AM33" s="20">
        <v>28800</v>
      </c>
      <c r="AN33" s="8">
        <f t="shared" si="1"/>
        <v>50.66363291619264</v>
      </c>
      <c r="AO33" s="8">
        <f t="shared" si="1"/>
        <v>2.3583036068172811</v>
      </c>
      <c r="AP33" s="8">
        <f t="shared" si="1"/>
        <v>44.969666329625888</v>
      </c>
      <c r="AQ33" s="8">
        <f t="shared" si="1"/>
        <v>42.766811928565325</v>
      </c>
      <c r="AR33" s="130">
        <f t="shared" si="1"/>
        <v>71.662303664921467</v>
      </c>
      <c r="AS33" s="131">
        <f t="shared" si="1"/>
        <v>2.342542312418249</v>
      </c>
      <c r="AT33" s="131">
        <f t="shared" si="1"/>
        <v>65.509150633505399</v>
      </c>
      <c r="AU33" s="132">
        <f t="shared" si="1"/>
        <v>55.640476918373587</v>
      </c>
      <c r="AV33" s="8">
        <f t="shared" si="1"/>
        <v>81.707317073170728</v>
      </c>
      <c r="AW33" s="8">
        <f t="shared" si="1"/>
        <v>2.3420623942227277</v>
      </c>
      <c r="AX33" s="8">
        <f t="shared" si="1"/>
        <v>77.80952380952381</v>
      </c>
      <c r="AY33" s="8">
        <f t="shared" si="1"/>
        <v>68.062120189061446</v>
      </c>
      <c r="AZ33" s="130">
        <f t="shared" si="1"/>
        <v>84.379785604900462</v>
      </c>
      <c r="BA33" s="131">
        <f t="shared" si="1"/>
        <v>2.3416521172173659</v>
      </c>
      <c r="BB33" s="131">
        <f t="shared" si="1"/>
        <v>81.707317073170728</v>
      </c>
      <c r="BC33" s="132">
        <f t="shared" si="1"/>
        <v>72.982774252039889</v>
      </c>
      <c r="BD33" s="8">
        <f t="shared" si="2"/>
        <v>2.341680974010544</v>
      </c>
      <c r="BE33" s="8">
        <f t="shared" si="2"/>
        <v>90.114068441064646</v>
      </c>
      <c r="BF33" s="8">
        <f t="shared" si="2"/>
        <v>84.457478005865099</v>
      </c>
    </row>
    <row r="34" spans="1:58">
      <c r="A34" s="5">
        <v>2010</v>
      </c>
      <c r="B34" s="20">
        <v>567100</v>
      </c>
      <c r="C34" s="20">
        <v>25475</v>
      </c>
      <c r="D34" s="20">
        <v>853800</v>
      </c>
      <c r="E34" s="20">
        <v>1272800</v>
      </c>
      <c r="F34" s="20">
        <v>158300</v>
      </c>
      <c r="G34" s="20">
        <v>254720</v>
      </c>
      <c r="H34" s="20">
        <v>222800</v>
      </c>
      <c r="I34" s="20">
        <v>348200</v>
      </c>
      <c r="J34" s="20">
        <v>84100</v>
      </c>
      <c r="K34" s="20">
        <v>1273615</v>
      </c>
      <c r="L34" s="20">
        <v>107900</v>
      </c>
      <c r="M34" s="20">
        <v>154700</v>
      </c>
      <c r="N34" s="20">
        <v>66700</v>
      </c>
      <c r="O34" s="20">
        <v>2547265</v>
      </c>
      <c r="P34" s="20">
        <v>84100</v>
      </c>
      <c r="Q34" s="20">
        <v>114400</v>
      </c>
      <c r="R34" s="20">
        <v>25471875</v>
      </c>
      <c r="S34" s="20">
        <v>26700</v>
      </c>
      <c r="T34" s="20">
        <v>35000</v>
      </c>
      <c r="U34" s="20">
        <v>280400</v>
      </c>
      <c r="V34" s="135">
        <v>595</v>
      </c>
      <c r="W34" s="20">
        <v>442400</v>
      </c>
      <c r="X34" s="20">
        <v>618800</v>
      </c>
      <c r="Y34" s="20">
        <v>114400</v>
      </c>
      <c r="Z34" s="20">
        <v>5930</v>
      </c>
      <c r="AA34" s="20">
        <v>147300</v>
      </c>
      <c r="AB34" s="20">
        <v>202600</v>
      </c>
      <c r="AC34" s="20">
        <v>68600</v>
      </c>
      <c r="AD34" s="20">
        <v>29635</v>
      </c>
      <c r="AE34" s="20">
        <v>84600</v>
      </c>
      <c r="AF34" s="20">
        <v>107100</v>
      </c>
      <c r="AG34" s="20">
        <v>56400</v>
      </c>
      <c r="AH34" s="20">
        <v>59280</v>
      </c>
      <c r="AI34" s="20">
        <v>68600</v>
      </c>
      <c r="AJ34" s="20">
        <v>84300</v>
      </c>
      <c r="AK34" s="20">
        <v>592690</v>
      </c>
      <c r="AL34" s="20">
        <v>24300</v>
      </c>
      <c r="AM34" s="20">
        <v>29700</v>
      </c>
      <c r="AN34" s="8">
        <f t="shared" si="1"/>
        <v>49.444542408746251</v>
      </c>
      <c r="AO34" s="8">
        <f t="shared" si="1"/>
        <v>2.335623159960746</v>
      </c>
      <c r="AP34" s="8">
        <f t="shared" si="1"/>
        <v>51.815413445771846</v>
      </c>
      <c r="AQ34" s="8">
        <f t="shared" si="1"/>
        <v>48.617221873035824</v>
      </c>
      <c r="AR34" s="130">
        <f t="shared" si="1"/>
        <v>72.267845862286791</v>
      </c>
      <c r="AS34" s="131">
        <f t="shared" si="1"/>
        <v>2.3280464824120601</v>
      </c>
      <c r="AT34" s="131">
        <f t="shared" si="1"/>
        <v>66.113105924596056</v>
      </c>
      <c r="AU34" s="132">
        <f t="shared" si="1"/>
        <v>58.184951177484201</v>
      </c>
      <c r="AV34" s="8">
        <f t="shared" si="1"/>
        <v>81.569560047562419</v>
      </c>
      <c r="AW34" s="8">
        <f t="shared" si="1"/>
        <v>2.3268413138978419</v>
      </c>
      <c r="AX34" s="8">
        <f t="shared" si="1"/>
        <v>78.405931417979616</v>
      </c>
      <c r="AY34" s="8">
        <f t="shared" si="1"/>
        <v>69.230769230769226</v>
      </c>
      <c r="AZ34" s="130">
        <f t="shared" si="1"/>
        <v>84.557721139430285</v>
      </c>
      <c r="BA34" s="131">
        <f t="shared" si="1"/>
        <v>2.3272019204911936</v>
      </c>
      <c r="BB34" s="131">
        <f t="shared" si="1"/>
        <v>81.569560047562419</v>
      </c>
      <c r="BC34" s="132">
        <f t="shared" si="1"/>
        <v>73.688811188811187</v>
      </c>
      <c r="BD34" s="8">
        <f t="shared" si="2"/>
        <v>2.326840878419826</v>
      </c>
      <c r="BE34" s="8">
        <f t="shared" si="2"/>
        <v>91.011235955056179</v>
      </c>
      <c r="BF34" s="8">
        <f t="shared" si="2"/>
        <v>84.857142857142861</v>
      </c>
    </row>
    <row r="35" spans="1:58">
      <c r="A35" s="5">
        <v>2011</v>
      </c>
      <c r="B35" s="20">
        <v>577000</v>
      </c>
      <c r="C35" s="20">
        <v>25850</v>
      </c>
      <c r="D35" s="20">
        <v>855900</v>
      </c>
      <c r="E35" s="20">
        <v>1330900</v>
      </c>
      <c r="F35" s="20">
        <v>163400</v>
      </c>
      <c r="G35" s="20">
        <v>258470</v>
      </c>
      <c r="H35" s="20">
        <v>229200</v>
      </c>
      <c r="I35" s="20">
        <v>360300</v>
      </c>
      <c r="J35" s="20">
        <v>86800</v>
      </c>
      <c r="K35" s="20">
        <v>1292330</v>
      </c>
      <c r="L35" s="20">
        <v>111500</v>
      </c>
      <c r="M35" s="20">
        <v>159900</v>
      </c>
      <c r="N35" s="20">
        <v>68800</v>
      </c>
      <c r="O35" s="20">
        <v>2584685</v>
      </c>
      <c r="P35" s="20">
        <v>86800</v>
      </c>
      <c r="Q35" s="20">
        <v>118200</v>
      </c>
      <c r="R35" s="20">
        <v>25846415</v>
      </c>
      <c r="S35" s="20">
        <v>27500</v>
      </c>
      <c r="T35" s="20">
        <v>36100</v>
      </c>
      <c r="U35" s="20">
        <v>300900</v>
      </c>
      <c r="V35" s="135">
        <v>600</v>
      </c>
      <c r="W35" s="20">
        <v>432100</v>
      </c>
      <c r="X35" s="20">
        <v>781500</v>
      </c>
      <c r="Y35" s="20">
        <v>118900</v>
      </c>
      <c r="Z35" s="20">
        <v>5965</v>
      </c>
      <c r="AA35" s="20">
        <v>154500</v>
      </c>
      <c r="AB35" s="20">
        <v>224800</v>
      </c>
      <c r="AC35" s="20">
        <v>71500</v>
      </c>
      <c r="AD35" s="20">
        <v>29805</v>
      </c>
      <c r="AE35" s="20">
        <v>87900</v>
      </c>
      <c r="AF35" s="20">
        <v>114400</v>
      </c>
      <c r="AG35" s="20">
        <v>58400</v>
      </c>
      <c r="AH35" s="20">
        <v>59610</v>
      </c>
      <c r="AI35" s="20">
        <v>71500</v>
      </c>
      <c r="AJ35" s="20">
        <v>89200</v>
      </c>
      <c r="AK35" s="20">
        <v>596040</v>
      </c>
      <c r="AL35" s="20">
        <v>24900</v>
      </c>
      <c r="AM35" s="20">
        <v>30800</v>
      </c>
      <c r="AN35" s="8">
        <f t="shared" si="1"/>
        <v>52.149046793760832</v>
      </c>
      <c r="AO35" s="8">
        <f t="shared" si="1"/>
        <v>2.3210831721470018</v>
      </c>
      <c r="AP35" s="8">
        <f t="shared" si="1"/>
        <v>50.484869727771937</v>
      </c>
      <c r="AQ35" s="8">
        <f t="shared" si="1"/>
        <v>58.719663385678864</v>
      </c>
      <c r="AR35" s="130">
        <f t="shared" si="1"/>
        <v>72.766217870257037</v>
      </c>
      <c r="AS35" s="131">
        <f t="shared" si="1"/>
        <v>2.3078113514140908</v>
      </c>
      <c r="AT35" s="131">
        <f t="shared" si="1"/>
        <v>67.40837696335079</v>
      </c>
      <c r="AU35" s="132">
        <f t="shared" si="1"/>
        <v>62.392450735498194</v>
      </c>
      <c r="AV35" s="8">
        <f t="shared" si="1"/>
        <v>82.373271889400925</v>
      </c>
      <c r="AW35" s="8">
        <f t="shared" si="1"/>
        <v>2.3062994745924028</v>
      </c>
      <c r="AX35" s="8">
        <f t="shared" si="1"/>
        <v>78.834080717488789</v>
      </c>
      <c r="AY35" s="8">
        <f t="shared" si="1"/>
        <v>71.544715447154474</v>
      </c>
      <c r="AZ35" s="130">
        <f t="shared" si="1"/>
        <v>84.883720930232556</v>
      </c>
      <c r="BA35" s="131">
        <f t="shared" si="1"/>
        <v>2.3062771672370133</v>
      </c>
      <c r="BB35" s="131">
        <f t="shared" si="1"/>
        <v>82.373271889400925</v>
      </c>
      <c r="BC35" s="132">
        <f t="shared" si="1"/>
        <v>75.465313028764811</v>
      </c>
      <c r="BD35" s="8">
        <f t="shared" si="2"/>
        <v>2.3060838418016578</v>
      </c>
      <c r="BE35" s="8">
        <f t="shared" si="2"/>
        <v>90.545454545454547</v>
      </c>
      <c r="BF35" s="8">
        <f t="shared" si="2"/>
        <v>85.31855955678671</v>
      </c>
    </row>
    <row r="36" spans="1:58">
      <c r="A36" s="5">
        <v>2012</v>
      </c>
      <c r="B36" s="20">
        <v>568600</v>
      </c>
      <c r="C36" s="20">
        <v>26140</v>
      </c>
      <c r="D36" s="20">
        <v>826300</v>
      </c>
      <c r="E36" s="20">
        <v>1257300</v>
      </c>
      <c r="F36" s="20">
        <v>166800</v>
      </c>
      <c r="G36" s="20">
        <v>261365</v>
      </c>
      <c r="H36" s="20">
        <v>232100</v>
      </c>
      <c r="I36" s="20">
        <v>354400</v>
      </c>
      <c r="J36" s="20">
        <v>89500</v>
      </c>
      <c r="K36" s="20">
        <v>1306850</v>
      </c>
      <c r="L36" s="20">
        <v>114700</v>
      </c>
      <c r="M36" s="20">
        <v>161200</v>
      </c>
      <c r="N36" s="20">
        <v>70800</v>
      </c>
      <c r="O36" s="20">
        <v>2613640</v>
      </c>
      <c r="P36" s="20">
        <v>89500</v>
      </c>
      <c r="Q36" s="20">
        <v>120000</v>
      </c>
      <c r="R36" s="20">
        <v>26136400</v>
      </c>
      <c r="S36" s="20">
        <v>28400</v>
      </c>
      <c r="T36" s="20">
        <v>37000</v>
      </c>
      <c r="U36" s="20">
        <v>291200</v>
      </c>
      <c r="V36" s="135">
        <v>595</v>
      </c>
      <c r="W36" s="20">
        <v>410700</v>
      </c>
      <c r="X36" s="20">
        <v>652200</v>
      </c>
      <c r="Y36" s="20">
        <v>121900</v>
      </c>
      <c r="Z36" s="20">
        <v>5950</v>
      </c>
      <c r="AA36" s="20">
        <v>154800</v>
      </c>
      <c r="AB36" s="20">
        <v>212500</v>
      </c>
      <c r="AC36" s="20">
        <v>73700</v>
      </c>
      <c r="AD36" s="20">
        <v>29740</v>
      </c>
      <c r="AE36" s="20">
        <v>91200</v>
      </c>
      <c r="AF36" s="20">
        <v>114200</v>
      </c>
      <c r="AG36" s="20">
        <v>59600</v>
      </c>
      <c r="AH36" s="20">
        <v>59475</v>
      </c>
      <c r="AI36" s="20">
        <v>73700</v>
      </c>
      <c r="AJ36" s="20">
        <v>89800</v>
      </c>
      <c r="AK36" s="20">
        <v>594730</v>
      </c>
      <c r="AL36" s="20">
        <v>25700</v>
      </c>
      <c r="AM36" s="20">
        <v>31500</v>
      </c>
      <c r="AN36" s="8">
        <f t="shared" si="1"/>
        <v>51.21350685895181</v>
      </c>
      <c r="AO36" s="8">
        <f t="shared" si="1"/>
        <v>2.2762050497322113</v>
      </c>
      <c r="AP36" s="8">
        <f t="shared" si="1"/>
        <v>49.703497519060875</v>
      </c>
      <c r="AQ36" s="8">
        <f t="shared" si="1"/>
        <v>51.873061321880222</v>
      </c>
      <c r="AR36" s="130">
        <f t="shared" si="1"/>
        <v>73.081534772182252</v>
      </c>
      <c r="AS36" s="131">
        <f t="shared" si="1"/>
        <v>2.276509861687678</v>
      </c>
      <c r="AT36" s="131">
        <f t="shared" si="1"/>
        <v>66.69538991813873</v>
      </c>
      <c r="AU36" s="132">
        <f t="shared" si="1"/>
        <v>59.960496613995488</v>
      </c>
      <c r="AV36" s="8">
        <f t="shared" si="1"/>
        <v>82.346368715083798</v>
      </c>
      <c r="AW36" s="8">
        <f t="shared" si="1"/>
        <v>2.2757011133641964</v>
      </c>
      <c r="AX36" s="8">
        <f t="shared" si="1"/>
        <v>79.511769834350474</v>
      </c>
      <c r="AY36" s="8">
        <f t="shared" ref="AY36:BC42" si="3">100*AF36/M36</f>
        <v>70.843672456575689</v>
      </c>
      <c r="AZ36" s="130">
        <f t="shared" si="3"/>
        <v>84.180790960451972</v>
      </c>
      <c r="BA36" s="131">
        <f t="shared" si="3"/>
        <v>2.2755620513919284</v>
      </c>
      <c r="BB36" s="131">
        <f t="shared" si="3"/>
        <v>82.346368715083798</v>
      </c>
      <c r="BC36" s="132">
        <f t="shared" si="3"/>
        <v>74.833333333333329</v>
      </c>
      <c r="BD36" s="8">
        <f t="shared" si="2"/>
        <v>2.2754855297592629</v>
      </c>
      <c r="BE36" s="8">
        <f t="shared" si="2"/>
        <v>90.492957746478879</v>
      </c>
      <c r="BF36" s="8">
        <f t="shared" si="2"/>
        <v>85.13513513513513</v>
      </c>
    </row>
    <row r="37" spans="1:58">
      <c r="A37" s="5">
        <v>2013</v>
      </c>
      <c r="B37" s="20">
        <v>579200</v>
      </c>
      <c r="C37" s="20">
        <v>26500</v>
      </c>
      <c r="D37" s="20">
        <v>851300</v>
      </c>
      <c r="E37" s="20">
        <v>1329700</v>
      </c>
      <c r="F37" s="20">
        <v>173000</v>
      </c>
      <c r="G37" s="20">
        <v>264980</v>
      </c>
      <c r="H37" s="20">
        <v>240100</v>
      </c>
      <c r="I37" s="20">
        <v>368800</v>
      </c>
      <c r="J37" s="20">
        <v>92500</v>
      </c>
      <c r="K37" s="20">
        <v>1324940</v>
      </c>
      <c r="L37" s="20">
        <v>118800</v>
      </c>
      <c r="M37" s="20">
        <v>167300</v>
      </c>
      <c r="N37" s="20">
        <v>73000</v>
      </c>
      <c r="O37" s="20">
        <v>2649800</v>
      </c>
      <c r="P37" s="20">
        <v>92500</v>
      </c>
      <c r="Q37" s="20">
        <v>124300</v>
      </c>
      <c r="R37" s="20">
        <v>26497585</v>
      </c>
      <c r="S37" s="20">
        <v>29100</v>
      </c>
      <c r="T37" s="20">
        <v>38100</v>
      </c>
      <c r="U37" s="20">
        <v>308300</v>
      </c>
      <c r="V37" s="135">
        <v>600</v>
      </c>
      <c r="W37" s="20">
        <v>414900</v>
      </c>
      <c r="X37" s="20">
        <v>581500</v>
      </c>
      <c r="Y37" s="20">
        <v>126400</v>
      </c>
      <c r="Z37" s="20">
        <v>5955</v>
      </c>
      <c r="AA37" s="20">
        <v>161500</v>
      </c>
      <c r="AB37" s="20">
        <v>211400</v>
      </c>
      <c r="AC37" s="20">
        <v>76000</v>
      </c>
      <c r="AD37" s="20">
        <v>29760</v>
      </c>
      <c r="AE37" s="20">
        <v>94600</v>
      </c>
      <c r="AF37" s="20">
        <v>116400</v>
      </c>
      <c r="AG37" s="20">
        <v>61300</v>
      </c>
      <c r="AH37" s="20">
        <v>59520</v>
      </c>
      <c r="AI37" s="20">
        <v>76000</v>
      </c>
      <c r="AJ37" s="20">
        <v>92000</v>
      </c>
      <c r="AK37" s="20">
        <v>595200</v>
      </c>
      <c r="AL37" s="20">
        <v>26300</v>
      </c>
      <c r="AM37" s="20">
        <v>32200</v>
      </c>
      <c r="AN37" s="8">
        <f t="shared" ref="AN37:AX42" si="4">100*U37/B37</f>
        <v>53.228591160220994</v>
      </c>
      <c r="AO37" s="8">
        <f t="shared" si="4"/>
        <v>2.2641509433962264</v>
      </c>
      <c r="AP37" s="8">
        <f t="shared" si="4"/>
        <v>48.737225419945965</v>
      </c>
      <c r="AQ37" s="8">
        <f t="shared" si="4"/>
        <v>43.731668797473112</v>
      </c>
      <c r="AR37" s="130">
        <f t="shared" si="4"/>
        <v>73.063583815028906</v>
      </c>
      <c r="AS37" s="131">
        <f t="shared" si="4"/>
        <v>2.2473394218431579</v>
      </c>
      <c r="AT37" s="131">
        <f t="shared" si="4"/>
        <v>67.26364014993753</v>
      </c>
      <c r="AU37" s="132">
        <f t="shared" si="4"/>
        <v>57.321041214750544</v>
      </c>
      <c r="AV37" s="8">
        <f t="shared" si="4"/>
        <v>82.162162162162161</v>
      </c>
      <c r="AW37" s="8">
        <f t="shared" si="4"/>
        <v>2.2461394478240524</v>
      </c>
      <c r="AX37" s="8">
        <f t="shared" si="4"/>
        <v>79.629629629629633</v>
      </c>
      <c r="AY37" s="8">
        <f t="shared" si="3"/>
        <v>69.575612671846983</v>
      </c>
      <c r="AZ37" s="130">
        <f t="shared" si="3"/>
        <v>83.972602739726028</v>
      </c>
      <c r="BA37" s="131">
        <f t="shared" si="3"/>
        <v>2.2462072609253529</v>
      </c>
      <c r="BB37" s="131">
        <f t="shared" si="3"/>
        <v>82.162162162162161</v>
      </c>
      <c r="BC37" s="132">
        <f t="shared" si="3"/>
        <v>74.014481094127106</v>
      </c>
      <c r="BD37" s="8">
        <f t="shared" si="2"/>
        <v>2.2462424405846795</v>
      </c>
      <c r="BE37" s="8">
        <f t="shared" si="2"/>
        <v>90.378006872852239</v>
      </c>
      <c r="BF37" s="8">
        <f t="shared" si="2"/>
        <v>84.514435695538054</v>
      </c>
    </row>
    <row r="38" spans="1:58">
      <c r="A38" s="5">
        <v>2014</v>
      </c>
      <c r="B38" s="20">
        <v>623800</v>
      </c>
      <c r="C38" s="20">
        <v>26850</v>
      </c>
      <c r="D38" s="20">
        <v>924200</v>
      </c>
      <c r="E38" s="20">
        <v>1441900</v>
      </c>
      <c r="F38" s="20">
        <v>179400</v>
      </c>
      <c r="G38" s="20">
        <v>268500</v>
      </c>
      <c r="H38" s="20">
        <v>250700</v>
      </c>
      <c r="I38" s="20">
        <v>391700</v>
      </c>
      <c r="J38" s="20">
        <v>95400</v>
      </c>
      <c r="K38" s="20">
        <v>1342540</v>
      </c>
      <c r="L38" s="20">
        <v>122900</v>
      </c>
      <c r="M38" s="20">
        <v>175100</v>
      </c>
      <c r="N38" s="20">
        <v>75200</v>
      </c>
      <c r="O38" s="20">
        <v>2684995</v>
      </c>
      <c r="P38" s="20">
        <v>95400</v>
      </c>
      <c r="Q38" s="20">
        <v>129400</v>
      </c>
      <c r="R38" s="20">
        <v>26849680</v>
      </c>
      <c r="S38" s="20">
        <v>30000</v>
      </c>
      <c r="T38" s="20">
        <v>39400</v>
      </c>
      <c r="U38" s="20">
        <v>306400</v>
      </c>
      <c r="V38" s="135">
        <v>600</v>
      </c>
      <c r="W38" s="20">
        <v>420200</v>
      </c>
      <c r="X38" s="20">
        <v>641400</v>
      </c>
      <c r="Y38" s="20">
        <v>126400</v>
      </c>
      <c r="Z38" s="20">
        <v>5990</v>
      </c>
      <c r="AA38" s="20">
        <v>161300</v>
      </c>
      <c r="AB38" s="20">
        <v>216700</v>
      </c>
      <c r="AC38" s="20">
        <v>77700</v>
      </c>
      <c r="AD38" s="20">
        <v>29935</v>
      </c>
      <c r="AE38" s="20">
        <v>95300</v>
      </c>
      <c r="AF38" s="20">
        <v>118300</v>
      </c>
      <c r="AG38" s="20">
        <v>62400</v>
      </c>
      <c r="AH38" s="20">
        <v>59860</v>
      </c>
      <c r="AI38" s="20">
        <v>77700</v>
      </c>
      <c r="AJ38" s="20">
        <v>93600</v>
      </c>
      <c r="AK38" s="20">
        <v>598565</v>
      </c>
      <c r="AL38" s="20">
        <v>27000</v>
      </c>
      <c r="AM38" s="20">
        <v>33000</v>
      </c>
      <c r="AN38" s="8">
        <f t="shared" si="4"/>
        <v>49.118307149727478</v>
      </c>
      <c r="AO38" s="8">
        <f t="shared" si="4"/>
        <v>2.2346368715083798</v>
      </c>
      <c r="AP38" s="8">
        <f t="shared" si="4"/>
        <v>45.466349275048692</v>
      </c>
      <c r="AQ38" s="8">
        <f t="shared" si="4"/>
        <v>44.482973853942717</v>
      </c>
      <c r="AR38" s="130">
        <f t="shared" si="4"/>
        <v>70.457079152731325</v>
      </c>
      <c r="AS38" s="131">
        <f t="shared" si="4"/>
        <v>2.2309124767225326</v>
      </c>
      <c r="AT38" s="131">
        <f t="shared" si="4"/>
        <v>64.339848424411642</v>
      </c>
      <c r="AU38" s="132">
        <f t="shared" si="4"/>
        <v>55.322951238192495</v>
      </c>
      <c r="AV38" s="8">
        <f t="shared" si="4"/>
        <v>81.44654088050315</v>
      </c>
      <c r="AW38" s="8">
        <f t="shared" si="4"/>
        <v>2.2297287231665353</v>
      </c>
      <c r="AX38" s="8">
        <f t="shared" si="4"/>
        <v>77.54271765663141</v>
      </c>
      <c r="AY38" s="8">
        <f t="shared" si="3"/>
        <v>67.561393489434607</v>
      </c>
      <c r="AZ38" s="130">
        <f t="shared" si="3"/>
        <v>82.978723404255319</v>
      </c>
      <c r="BA38" s="131">
        <f t="shared" si="3"/>
        <v>2.2294268704410993</v>
      </c>
      <c r="BB38" s="131">
        <f t="shared" si="3"/>
        <v>81.44654088050315</v>
      </c>
      <c r="BC38" s="132">
        <f t="shared" si="3"/>
        <v>72.333848531684694</v>
      </c>
      <c r="BD38" s="8">
        <f t="shared" si="2"/>
        <v>2.2293189341548949</v>
      </c>
      <c r="BE38" s="8">
        <f t="shared" si="2"/>
        <v>90</v>
      </c>
      <c r="BF38" s="8">
        <f t="shared" si="2"/>
        <v>83.756345177664969</v>
      </c>
    </row>
    <row r="39" spans="1:58">
      <c r="A39" s="5">
        <v>2015</v>
      </c>
      <c r="B39" s="20">
        <v>696800</v>
      </c>
      <c r="C39" s="20">
        <v>27095</v>
      </c>
      <c r="D39" s="20">
        <v>1052600</v>
      </c>
      <c r="E39" s="20">
        <v>1674700</v>
      </c>
      <c r="F39" s="20">
        <v>184400</v>
      </c>
      <c r="G39" s="20">
        <v>270930</v>
      </c>
      <c r="H39" s="20">
        <v>262700</v>
      </c>
      <c r="I39" s="20">
        <v>429800</v>
      </c>
      <c r="J39" s="20">
        <v>96600</v>
      </c>
      <c r="K39" s="20">
        <v>1354620</v>
      </c>
      <c r="L39" s="20">
        <v>125000</v>
      </c>
      <c r="M39" s="20">
        <v>184300</v>
      </c>
      <c r="N39" s="20">
        <v>76200</v>
      </c>
      <c r="O39" s="20">
        <v>2709285</v>
      </c>
      <c r="P39" s="20">
        <v>96600</v>
      </c>
      <c r="Q39" s="20">
        <v>134500</v>
      </c>
      <c r="R39" s="20">
        <v>27092170</v>
      </c>
      <c r="S39" s="20">
        <v>30900</v>
      </c>
      <c r="T39" s="20">
        <v>40600</v>
      </c>
      <c r="U39" s="20">
        <v>307800</v>
      </c>
      <c r="V39" s="135">
        <v>605</v>
      </c>
      <c r="W39" s="20">
        <v>398500</v>
      </c>
      <c r="X39" s="20">
        <v>556000</v>
      </c>
      <c r="Y39" s="20">
        <v>126200</v>
      </c>
      <c r="Z39" s="20">
        <v>6010</v>
      </c>
      <c r="AA39" s="20">
        <v>158900</v>
      </c>
      <c r="AB39" s="20">
        <v>207000</v>
      </c>
      <c r="AC39" s="20">
        <v>77300</v>
      </c>
      <c r="AD39" s="20">
        <v>30055</v>
      </c>
      <c r="AE39" s="20">
        <v>94500</v>
      </c>
      <c r="AF39" s="20">
        <v>115700</v>
      </c>
      <c r="AG39" s="20">
        <v>62900</v>
      </c>
      <c r="AH39" s="20">
        <v>60100</v>
      </c>
      <c r="AI39" s="20">
        <v>77300</v>
      </c>
      <c r="AJ39" s="20">
        <v>92400</v>
      </c>
      <c r="AK39" s="20">
        <v>601000</v>
      </c>
      <c r="AL39" s="20">
        <v>27800</v>
      </c>
      <c r="AM39" s="20">
        <v>33400</v>
      </c>
      <c r="AN39" s="8">
        <f t="shared" si="4"/>
        <v>44.173363949483353</v>
      </c>
      <c r="AO39" s="8">
        <f t="shared" si="4"/>
        <v>2.232884295995571</v>
      </c>
      <c r="AP39" s="8">
        <f t="shared" si="4"/>
        <v>37.858635759072769</v>
      </c>
      <c r="AQ39" s="8">
        <f t="shared" si="4"/>
        <v>33.199976115125096</v>
      </c>
      <c r="AR39" s="130">
        <f t="shared" si="4"/>
        <v>68.43817787418655</v>
      </c>
      <c r="AS39" s="131">
        <f t="shared" si="4"/>
        <v>2.2182851659100136</v>
      </c>
      <c r="AT39" s="131">
        <f t="shared" si="4"/>
        <v>60.487247811191473</v>
      </c>
      <c r="AU39" s="132">
        <f t="shared" si="4"/>
        <v>48.161935784085621</v>
      </c>
      <c r="AV39" s="8">
        <f t="shared" si="4"/>
        <v>80.020703933747413</v>
      </c>
      <c r="AW39" s="8">
        <f t="shared" si="4"/>
        <v>2.2187034002155586</v>
      </c>
      <c r="AX39" s="8">
        <f t="shared" si="4"/>
        <v>75.599999999999994</v>
      </c>
      <c r="AY39" s="8">
        <f t="shared" si="3"/>
        <v>62.778079218665219</v>
      </c>
      <c r="AZ39" s="130">
        <f t="shared" si="3"/>
        <v>82.545931758530187</v>
      </c>
      <c r="BA39" s="131">
        <f t="shared" si="3"/>
        <v>2.2182974474815311</v>
      </c>
      <c r="BB39" s="131">
        <f t="shared" si="3"/>
        <v>80.020703933747413</v>
      </c>
      <c r="BC39" s="132">
        <f t="shared" si="3"/>
        <v>68.698884758364315</v>
      </c>
      <c r="BD39" s="8">
        <f t="shared" si="2"/>
        <v>2.2183531256447897</v>
      </c>
      <c r="BE39" s="8">
        <f t="shared" si="2"/>
        <v>89.967637540453069</v>
      </c>
      <c r="BF39" s="8">
        <f t="shared" si="2"/>
        <v>82.266009852216754</v>
      </c>
    </row>
    <row r="40" spans="1:58">
      <c r="A40" s="5">
        <v>2016</v>
      </c>
      <c r="B40" s="20">
        <v>573200</v>
      </c>
      <c r="C40" s="20">
        <v>27390</v>
      </c>
      <c r="D40" s="20">
        <v>839200</v>
      </c>
      <c r="E40" s="20">
        <v>1195500</v>
      </c>
      <c r="F40" s="20">
        <v>178300</v>
      </c>
      <c r="G40" s="20">
        <v>273900</v>
      </c>
      <c r="H40" s="20">
        <v>243200</v>
      </c>
      <c r="I40" s="20">
        <v>357700</v>
      </c>
      <c r="J40" s="20">
        <v>97200</v>
      </c>
      <c r="K40" s="20">
        <v>1369490</v>
      </c>
      <c r="L40" s="20">
        <v>125100</v>
      </c>
      <c r="M40" s="20">
        <v>169600</v>
      </c>
      <c r="N40" s="20">
        <v>77000</v>
      </c>
      <c r="O40" s="20">
        <v>2739070</v>
      </c>
      <c r="P40" s="20">
        <v>97200</v>
      </c>
      <c r="Q40" s="20">
        <v>127500</v>
      </c>
      <c r="R40" s="20">
        <v>27389400</v>
      </c>
      <c r="S40" s="20">
        <v>31400</v>
      </c>
      <c r="T40" s="20">
        <v>40300</v>
      </c>
      <c r="U40" s="20">
        <v>308800</v>
      </c>
      <c r="V40" s="135">
        <v>610</v>
      </c>
      <c r="W40" s="20">
        <v>451100</v>
      </c>
      <c r="X40" s="20">
        <v>731800</v>
      </c>
      <c r="Y40" s="20">
        <v>129400</v>
      </c>
      <c r="Z40" s="20">
        <v>6060</v>
      </c>
      <c r="AA40" s="20">
        <v>162400</v>
      </c>
      <c r="AB40" s="20">
        <v>227600</v>
      </c>
      <c r="AC40" s="20">
        <v>78800</v>
      </c>
      <c r="AD40" s="20">
        <v>30285</v>
      </c>
      <c r="AE40" s="20">
        <v>97000</v>
      </c>
      <c r="AF40" s="20">
        <v>121700</v>
      </c>
      <c r="AG40" s="20">
        <v>63900</v>
      </c>
      <c r="AH40" s="20">
        <v>60565</v>
      </c>
      <c r="AI40" s="20">
        <v>78800</v>
      </c>
      <c r="AJ40" s="20">
        <v>96000</v>
      </c>
      <c r="AK40" s="20">
        <v>605650</v>
      </c>
      <c r="AL40" s="20">
        <v>28500</v>
      </c>
      <c r="AM40" s="20">
        <v>34300</v>
      </c>
      <c r="AN40" s="8">
        <f t="shared" si="4"/>
        <v>53.872993719469648</v>
      </c>
      <c r="AO40" s="8">
        <f t="shared" si="4"/>
        <v>2.227090178897408</v>
      </c>
      <c r="AP40" s="8">
        <f t="shared" si="4"/>
        <v>53.753574833174454</v>
      </c>
      <c r="AQ40" s="8">
        <f t="shared" si="4"/>
        <v>61.212881639481388</v>
      </c>
      <c r="AR40" s="130">
        <f t="shared" si="4"/>
        <v>72.574312955692648</v>
      </c>
      <c r="AS40" s="131">
        <f t="shared" si="4"/>
        <v>2.2124863088718509</v>
      </c>
      <c r="AT40" s="131">
        <f t="shared" si="4"/>
        <v>66.776315789473685</v>
      </c>
      <c r="AU40" s="132">
        <f t="shared" si="4"/>
        <v>63.628739166899635</v>
      </c>
      <c r="AV40" s="8">
        <f t="shared" si="4"/>
        <v>81.069958847736629</v>
      </c>
      <c r="AW40" s="8">
        <f t="shared" si="4"/>
        <v>2.2114071661713486</v>
      </c>
      <c r="AX40" s="8">
        <f t="shared" si="4"/>
        <v>77.537969624300558</v>
      </c>
      <c r="AY40" s="8">
        <f t="shared" si="3"/>
        <v>71.757075471698116</v>
      </c>
      <c r="AZ40" s="130">
        <f t="shared" si="3"/>
        <v>82.987012987012989</v>
      </c>
      <c r="BA40" s="131">
        <f t="shared" si="3"/>
        <v>2.2111519603369025</v>
      </c>
      <c r="BB40" s="131">
        <f t="shared" si="3"/>
        <v>81.069958847736629</v>
      </c>
      <c r="BC40" s="132">
        <f t="shared" si="3"/>
        <v>75.294117647058826</v>
      </c>
      <c r="BD40" s="8">
        <f t="shared" si="2"/>
        <v>2.2112569096073664</v>
      </c>
      <c r="BE40" s="8">
        <f t="shared" si="2"/>
        <v>90.764331210191088</v>
      </c>
      <c r="BF40" s="8">
        <f t="shared" si="2"/>
        <v>85.111662531017373</v>
      </c>
    </row>
    <row r="41" spans="1:58">
      <c r="A41" s="5">
        <v>2017</v>
      </c>
      <c r="B41" s="20">
        <v>679700</v>
      </c>
      <c r="C41" s="20">
        <v>27770</v>
      </c>
      <c r="D41" s="20">
        <v>978100</v>
      </c>
      <c r="E41" s="20">
        <v>1473700</v>
      </c>
      <c r="F41" s="20">
        <v>191000</v>
      </c>
      <c r="G41" s="20">
        <v>277695</v>
      </c>
      <c r="H41" s="20">
        <v>266100</v>
      </c>
      <c r="I41" s="20">
        <v>411200</v>
      </c>
      <c r="J41" s="20">
        <v>101200</v>
      </c>
      <c r="K41" s="20">
        <v>1388490</v>
      </c>
      <c r="L41" s="20">
        <v>131400</v>
      </c>
      <c r="M41" s="20">
        <v>185300</v>
      </c>
      <c r="N41" s="20">
        <v>79700</v>
      </c>
      <c r="O41" s="20">
        <v>2777000</v>
      </c>
      <c r="P41" s="20">
        <v>101200</v>
      </c>
      <c r="Q41" s="20">
        <v>137000</v>
      </c>
      <c r="R41" s="20">
        <v>27769310</v>
      </c>
      <c r="S41" s="20">
        <v>32600</v>
      </c>
      <c r="T41" s="20">
        <v>42300</v>
      </c>
      <c r="U41" s="20">
        <v>337700</v>
      </c>
      <c r="V41" s="135">
        <v>610</v>
      </c>
      <c r="W41" s="20">
        <v>551600</v>
      </c>
      <c r="X41" s="20">
        <v>782000</v>
      </c>
      <c r="Y41" s="20">
        <v>133300</v>
      </c>
      <c r="Z41" s="20">
        <v>6095</v>
      </c>
      <c r="AA41" s="20">
        <v>168600</v>
      </c>
      <c r="AB41" s="20">
        <v>241300</v>
      </c>
      <c r="AC41" s="20">
        <v>80900</v>
      </c>
      <c r="AD41" s="20">
        <v>30475</v>
      </c>
      <c r="AE41" s="20">
        <v>99900</v>
      </c>
      <c r="AF41" s="20">
        <v>126800</v>
      </c>
      <c r="AG41" s="20">
        <v>65900</v>
      </c>
      <c r="AH41" s="20">
        <v>60950</v>
      </c>
      <c r="AI41" s="20">
        <v>80900</v>
      </c>
      <c r="AJ41" s="20">
        <v>99500</v>
      </c>
      <c r="AK41" s="20">
        <v>609460</v>
      </c>
      <c r="AL41" s="20">
        <v>29600</v>
      </c>
      <c r="AM41" s="20">
        <v>35500</v>
      </c>
      <c r="AN41" s="8">
        <f t="shared" si="4"/>
        <v>49.683683978225687</v>
      </c>
      <c r="AO41" s="8">
        <f t="shared" si="4"/>
        <v>2.1966150522146202</v>
      </c>
      <c r="AP41" s="8">
        <f t="shared" si="4"/>
        <v>56.395051630712608</v>
      </c>
      <c r="AQ41" s="8">
        <f t="shared" si="4"/>
        <v>53.063717174458844</v>
      </c>
      <c r="AR41" s="130">
        <f t="shared" si="4"/>
        <v>69.790575916230367</v>
      </c>
      <c r="AS41" s="131">
        <f t="shared" si="4"/>
        <v>2.1948540665118204</v>
      </c>
      <c r="AT41" s="131">
        <f t="shared" si="4"/>
        <v>63.359639233370913</v>
      </c>
      <c r="AU41" s="132">
        <f t="shared" si="4"/>
        <v>58.681906614785994</v>
      </c>
      <c r="AV41" s="8">
        <f t="shared" si="4"/>
        <v>79.940711462450594</v>
      </c>
      <c r="AW41" s="8">
        <f t="shared" si="4"/>
        <v>2.1948303552780359</v>
      </c>
      <c r="AX41" s="8">
        <f t="shared" si="4"/>
        <v>76.027397260273972</v>
      </c>
      <c r="AY41" s="8">
        <f t="shared" si="3"/>
        <v>68.429573664328117</v>
      </c>
      <c r="AZ41" s="130">
        <f t="shared" si="3"/>
        <v>82.685069008782932</v>
      </c>
      <c r="BA41" s="131">
        <f t="shared" si="3"/>
        <v>2.1948145480734604</v>
      </c>
      <c r="BB41" s="131">
        <f t="shared" si="3"/>
        <v>79.940711462450594</v>
      </c>
      <c r="BC41" s="132">
        <f t="shared" si="3"/>
        <v>72.627737226277375</v>
      </c>
      <c r="BD41" s="8">
        <f t="shared" si="2"/>
        <v>2.1947250399811877</v>
      </c>
      <c r="BE41" s="8">
        <f t="shared" si="2"/>
        <v>90.797546012269933</v>
      </c>
      <c r="BF41" s="8">
        <f t="shared" si="2"/>
        <v>83.924349881796687</v>
      </c>
    </row>
    <row r="42" spans="1:58">
      <c r="A42" s="5">
        <v>2018</v>
      </c>
      <c r="B42" s="20">
        <v>688900</v>
      </c>
      <c r="C42" s="20">
        <v>28305</v>
      </c>
      <c r="D42" s="20">
        <v>996100</v>
      </c>
      <c r="E42" s="20">
        <v>1548400</v>
      </c>
      <c r="F42" s="20">
        <v>194500</v>
      </c>
      <c r="G42" s="20">
        <v>283015</v>
      </c>
      <c r="H42" s="20">
        <v>270700</v>
      </c>
      <c r="I42" s="20">
        <v>423700</v>
      </c>
      <c r="J42" s="20">
        <v>102500</v>
      </c>
      <c r="K42" s="20">
        <v>1415060</v>
      </c>
      <c r="L42" s="20">
        <v>133100</v>
      </c>
      <c r="M42" s="20">
        <v>189300</v>
      </c>
      <c r="N42" s="20">
        <v>80900</v>
      </c>
      <c r="O42" s="20">
        <v>2830055</v>
      </c>
      <c r="P42" s="20">
        <v>102500</v>
      </c>
      <c r="Q42" s="20">
        <v>139600</v>
      </c>
      <c r="R42" s="20">
        <v>28300550</v>
      </c>
      <c r="S42" s="20">
        <v>33600</v>
      </c>
      <c r="T42" s="20">
        <v>43300</v>
      </c>
      <c r="U42" s="20">
        <v>374900</v>
      </c>
      <c r="V42" s="135">
        <v>620</v>
      </c>
      <c r="W42" s="20">
        <v>615300</v>
      </c>
      <c r="X42" s="20">
        <v>893200</v>
      </c>
      <c r="Y42" s="20">
        <v>136900</v>
      </c>
      <c r="Z42" s="20">
        <v>6160</v>
      </c>
      <c r="AA42" s="20">
        <v>176600</v>
      </c>
      <c r="AB42" s="20">
        <v>258700</v>
      </c>
      <c r="AC42" s="20">
        <v>82400</v>
      </c>
      <c r="AD42" s="20">
        <v>30795</v>
      </c>
      <c r="AE42" s="20">
        <v>101200</v>
      </c>
      <c r="AF42" s="20">
        <v>131400</v>
      </c>
      <c r="AG42" s="20">
        <v>66700</v>
      </c>
      <c r="AH42" s="20">
        <v>61595</v>
      </c>
      <c r="AI42" s="20">
        <v>82400</v>
      </c>
      <c r="AJ42" s="20">
        <v>102300</v>
      </c>
      <c r="AK42" s="20">
        <v>615870</v>
      </c>
      <c r="AL42" s="20">
        <v>30400</v>
      </c>
      <c r="AM42" s="20">
        <v>36500</v>
      </c>
      <c r="AN42" s="8">
        <f t="shared" si="4"/>
        <v>54.420089998548413</v>
      </c>
      <c r="AO42" s="8">
        <f t="shared" si="4"/>
        <v>2.1904257198374846</v>
      </c>
      <c r="AP42" s="8">
        <f t="shared" si="4"/>
        <v>61.770906535488407</v>
      </c>
      <c r="AQ42" s="8">
        <f t="shared" si="4"/>
        <v>57.68535262206148</v>
      </c>
      <c r="AR42" s="130">
        <f t="shared" si="4"/>
        <v>70.385604113110546</v>
      </c>
      <c r="AS42" s="131">
        <f t="shared" si="4"/>
        <v>2.1765630796954225</v>
      </c>
      <c r="AT42" s="131">
        <f t="shared" si="4"/>
        <v>65.238271148873295</v>
      </c>
      <c r="AU42" s="132">
        <f t="shared" si="4"/>
        <v>61.057351899929195</v>
      </c>
      <c r="AV42" s="8">
        <f t="shared" si="4"/>
        <v>80.390243902439025</v>
      </c>
      <c r="AW42" s="8">
        <f t="shared" si="4"/>
        <v>2.1762328099161872</v>
      </c>
      <c r="AX42" s="8">
        <f t="shared" si="4"/>
        <v>76.033057851239676</v>
      </c>
      <c r="AY42" s="8">
        <f t="shared" si="3"/>
        <v>69.413629160063394</v>
      </c>
      <c r="AZ42" s="130">
        <f t="shared" si="3"/>
        <v>82.447466007416566</v>
      </c>
      <c r="BA42" s="131">
        <f t="shared" si="3"/>
        <v>2.1764594681022102</v>
      </c>
      <c r="BB42" s="131">
        <f t="shared" si="3"/>
        <v>80.390243902439025</v>
      </c>
      <c r="BC42" s="132">
        <f t="shared" si="3"/>
        <v>73.280802292263616</v>
      </c>
      <c r="BD42" s="8">
        <f t="shared" si="2"/>
        <v>2.176176788083624</v>
      </c>
      <c r="BE42" s="8">
        <f t="shared" si="2"/>
        <v>90.476190476190482</v>
      </c>
      <c r="BF42" s="8">
        <f t="shared" si="2"/>
        <v>84.295612009237871</v>
      </c>
    </row>
    <row r="43" spans="1:58">
      <c r="AR43" s="190"/>
      <c r="AS43" s="73"/>
      <c r="AT43" s="73"/>
      <c r="AU43" s="191"/>
      <c r="AZ43" s="190"/>
      <c r="BA43" s="73"/>
      <c r="BB43" s="73"/>
      <c r="BC43" s="191"/>
    </row>
    <row r="44" spans="1:58">
      <c r="A44" s="5" t="s">
        <v>157</v>
      </c>
      <c r="B44" s="27">
        <f>B42-B6</f>
        <v>563500</v>
      </c>
      <c r="C44" s="27">
        <f t="shared" ref="C44:M44" si="5">C42-C6</f>
        <v>13170</v>
      </c>
      <c r="D44" s="27">
        <f t="shared" si="5"/>
        <v>820600</v>
      </c>
      <c r="E44" s="27">
        <f t="shared" si="5"/>
        <v>1301000</v>
      </c>
      <c r="F44" s="27">
        <f t="shared" si="5"/>
        <v>142500</v>
      </c>
      <c r="G44" s="27">
        <f t="shared" si="5"/>
        <v>131675</v>
      </c>
      <c r="H44" s="27">
        <f t="shared" si="5"/>
        <v>204400</v>
      </c>
      <c r="I44" s="27">
        <f t="shared" si="5"/>
        <v>336100</v>
      </c>
      <c r="J44" s="27">
        <f t="shared" si="5"/>
        <v>70100</v>
      </c>
      <c r="K44" s="27">
        <f t="shared" si="5"/>
        <v>658335</v>
      </c>
      <c r="L44" s="27">
        <f t="shared" si="5"/>
        <v>94000</v>
      </c>
      <c r="M44" s="27">
        <f t="shared" si="5"/>
        <v>140900</v>
      </c>
      <c r="AN44" s="8">
        <f>AN42-AN14</f>
        <v>-7.279365840714874</v>
      </c>
      <c r="AO44" s="8">
        <f t="shared" ref="AO44:AQ44" si="6">AO42-AO14</f>
        <v>-0.52107102636641978</v>
      </c>
      <c r="AP44" s="8">
        <f t="shared" si="6"/>
        <v>3.2651594090516269</v>
      </c>
      <c r="AQ44" s="8">
        <f t="shared" si="6"/>
        <v>-2.5756450626364753</v>
      </c>
      <c r="AR44" s="130">
        <f>AR42-AR6</f>
        <v>-9.0374728099663741</v>
      </c>
      <c r="AS44" s="131">
        <f t="shared" ref="AS44:BF44" si="7">AS42-AS6</f>
        <v>-0.49292284603472147</v>
      </c>
      <c r="AT44" s="131">
        <f t="shared" si="7"/>
        <v>-12.7406127123635</v>
      </c>
      <c r="AU44" s="132">
        <f t="shared" si="7"/>
        <v>-11.431232574956645</v>
      </c>
      <c r="AV44" s="8">
        <f t="shared" si="7"/>
        <v>-5.1035832580547975</v>
      </c>
      <c r="AW44" s="8">
        <f t="shared" si="7"/>
        <v>-0.49316492373870746</v>
      </c>
      <c r="AX44" s="8">
        <f t="shared" si="7"/>
        <v>-7.3429012280442123</v>
      </c>
      <c r="AY44" s="8">
        <f t="shared" si="7"/>
        <v>-9.9252138151432234</v>
      </c>
      <c r="AZ44" s="130">
        <f t="shared" si="7"/>
        <v>-5.2391011567625441</v>
      </c>
      <c r="BA44" s="131">
        <f t="shared" si="7"/>
        <v>-0.49234805926975111</v>
      </c>
      <c r="BB44" s="131">
        <f t="shared" si="7"/>
        <v>-5.1035832580547975</v>
      </c>
      <c r="BC44" s="132">
        <f t="shared" si="7"/>
        <v>-8.935692553097212</v>
      </c>
      <c r="BD44" s="8">
        <f t="shared" si="7"/>
        <v>-0.49246160635906389</v>
      </c>
      <c r="BE44" s="8">
        <f t="shared" si="7"/>
        <v>10.476190476190482</v>
      </c>
      <c r="BF44" s="8">
        <f t="shared" si="7"/>
        <v>2.1527548663807323</v>
      </c>
    </row>
    <row r="45" spans="1:58">
      <c r="A45" s="5" t="s">
        <v>158</v>
      </c>
      <c r="B45" s="27">
        <f>B24-B6</f>
        <v>316500</v>
      </c>
      <c r="C45" s="27">
        <f t="shared" ref="C45:M45" si="8">C24-C6</f>
        <v>7095</v>
      </c>
      <c r="D45" s="27">
        <f t="shared" si="8"/>
        <v>482200</v>
      </c>
      <c r="E45" s="27">
        <f t="shared" si="8"/>
        <v>800500</v>
      </c>
      <c r="F45" s="27">
        <f t="shared" si="8"/>
        <v>61700</v>
      </c>
      <c r="G45" s="27">
        <f t="shared" si="8"/>
        <v>70955</v>
      </c>
      <c r="H45" s="27">
        <f t="shared" si="8"/>
        <v>98200</v>
      </c>
      <c r="I45" s="27">
        <f t="shared" si="8"/>
        <v>182100</v>
      </c>
      <c r="J45" s="27">
        <f t="shared" si="8"/>
        <v>27100</v>
      </c>
      <c r="K45" s="27">
        <f t="shared" si="8"/>
        <v>354765</v>
      </c>
      <c r="L45" s="27">
        <f t="shared" si="8"/>
        <v>36400</v>
      </c>
      <c r="M45" s="27">
        <f t="shared" si="8"/>
        <v>65400</v>
      </c>
      <c r="AN45" s="8">
        <f>AN24-AN14</f>
        <v>-6.8680460180367646</v>
      </c>
      <c r="AO45" s="8">
        <f t="shared" ref="AO45:AQ45" si="9">AO24-AO14</f>
        <v>-0.19237843761191176</v>
      </c>
      <c r="AP45" s="8">
        <f t="shared" si="9"/>
        <v>-7.2665803330659458</v>
      </c>
      <c r="AQ45" s="8">
        <f t="shared" si="9"/>
        <v>-16.191907122621423</v>
      </c>
      <c r="AR45" s="130">
        <f>AR24-AR6</f>
        <v>-5.8083011974832459</v>
      </c>
      <c r="AS45" s="131">
        <f t="shared" ref="AS45:BF45" si="10">AS24-AS6</f>
        <v>-0.1548094822653785</v>
      </c>
      <c r="AT45" s="131">
        <f t="shared" si="10"/>
        <v>-11.656695411388768</v>
      </c>
      <c r="AU45" s="132">
        <f t="shared" si="10"/>
        <v>-15.83304127874198</v>
      </c>
      <c r="AV45" s="8">
        <f t="shared" si="10"/>
        <v>-1.6282809420064268</v>
      </c>
      <c r="AW45" s="8">
        <f t="shared" si="10"/>
        <v>-0.15655461315898389</v>
      </c>
      <c r="AX45" s="8">
        <f t="shared" si="10"/>
        <v>-2.316356430277267</v>
      </c>
      <c r="AY45" s="8">
        <f t="shared" si="10"/>
        <v>-10.094554750250552</v>
      </c>
      <c r="AZ45" s="130">
        <f t="shared" si="10"/>
        <v>-4.493289853254737</v>
      </c>
      <c r="BA45" s="131">
        <f t="shared" si="10"/>
        <v>-0.15551456027374178</v>
      </c>
      <c r="BB45" s="131">
        <f t="shared" si="10"/>
        <v>-1.6282809420064268</v>
      </c>
      <c r="BC45" s="132">
        <f t="shared" si="10"/>
        <v>-8.4184179222839077</v>
      </c>
      <c r="BD45" s="8">
        <f t="shared" si="10"/>
        <v>-0.15578317343815318</v>
      </c>
      <c r="BE45" s="8">
        <f t="shared" si="10"/>
        <v>5.6410256410256352</v>
      </c>
      <c r="BF45" s="8">
        <f t="shared" si="10"/>
        <v>0.21008403361345529</v>
      </c>
    </row>
    <row r="46" spans="1:58">
      <c r="A46" s="5" t="s">
        <v>159</v>
      </c>
      <c r="B46" s="27">
        <f>B42-B24</f>
        <v>247000</v>
      </c>
      <c r="C46" s="27">
        <f t="shared" ref="C46:M46" si="11">C42-C24</f>
        <v>6075</v>
      </c>
      <c r="D46" s="27">
        <f t="shared" si="11"/>
        <v>338400</v>
      </c>
      <c r="E46" s="27">
        <f t="shared" si="11"/>
        <v>500500</v>
      </c>
      <c r="F46" s="27">
        <f t="shared" si="11"/>
        <v>80800</v>
      </c>
      <c r="G46" s="27">
        <f t="shared" si="11"/>
        <v>60720</v>
      </c>
      <c r="H46" s="27">
        <f t="shared" si="11"/>
        <v>106200</v>
      </c>
      <c r="I46" s="27">
        <f t="shared" si="11"/>
        <v>154000</v>
      </c>
      <c r="J46" s="27">
        <f t="shared" si="11"/>
        <v>43000</v>
      </c>
      <c r="K46" s="27">
        <f t="shared" si="11"/>
        <v>303570</v>
      </c>
      <c r="L46" s="27">
        <f t="shared" si="11"/>
        <v>57600</v>
      </c>
      <c r="M46" s="27">
        <f t="shared" si="11"/>
        <v>75500</v>
      </c>
      <c r="AN46" s="8">
        <f>AN42-AN24</f>
        <v>-0.4113198226781094</v>
      </c>
      <c r="AO46" s="8">
        <f t="shared" ref="AO46:AQ46" si="12">AO42-AO24</f>
        <v>-0.32869258875450802</v>
      </c>
      <c r="AP46" s="8">
        <f t="shared" si="12"/>
        <v>10.531739742117573</v>
      </c>
      <c r="AQ46" s="8">
        <f t="shared" si="12"/>
        <v>13.616262059984948</v>
      </c>
      <c r="AR46" s="130">
        <f>AR42-AR24</f>
        <v>-3.2291716124831282</v>
      </c>
      <c r="AS46" s="131">
        <f t="shared" ref="AS46:BF46" si="13">AS42-AS24</f>
        <v>-0.33811336376934298</v>
      </c>
      <c r="AT46" s="131">
        <f t="shared" si="13"/>
        <v>-1.0839173009747327</v>
      </c>
      <c r="AU46" s="132">
        <f t="shared" si="13"/>
        <v>4.4018087037853348</v>
      </c>
      <c r="AV46" s="8">
        <f t="shared" si="13"/>
        <v>-3.4753023160483707</v>
      </c>
      <c r="AW46" s="8">
        <f t="shared" si="13"/>
        <v>-0.33661031057972357</v>
      </c>
      <c r="AX46" s="8">
        <f t="shared" si="13"/>
        <v>-5.0265447977669453</v>
      </c>
      <c r="AY46" s="8">
        <f t="shared" si="13"/>
        <v>0.16934093510732851</v>
      </c>
      <c r="AZ46" s="130">
        <f t="shared" si="13"/>
        <v>-0.74581130350780711</v>
      </c>
      <c r="BA46" s="131">
        <f t="shared" si="13"/>
        <v>-0.33683349899600934</v>
      </c>
      <c r="BB46" s="131">
        <f t="shared" si="13"/>
        <v>-3.4753023160483707</v>
      </c>
      <c r="BC46" s="132">
        <f t="shared" si="13"/>
        <v>-0.51727463081330427</v>
      </c>
      <c r="BD46" s="8">
        <f t="shared" si="13"/>
        <v>-0.33667843292091071</v>
      </c>
      <c r="BE46" s="8">
        <f t="shared" si="13"/>
        <v>4.8351648351648464</v>
      </c>
      <c r="BF46" s="8">
        <f t="shared" si="13"/>
        <v>1.942670832767277</v>
      </c>
    </row>
    <row r="49" spans="1:40">
      <c r="A49" s="5" t="s">
        <v>160</v>
      </c>
    </row>
    <row r="50" spans="1:40">
      <c r="A50" s="5" t="s">
        <v>161</v>
      </c>
    </row>
    <row r="53" spans="1:40">
      <c r="A53" s="5" t="s">
        <v>153</v>
      </c>
    </row>
    <row r="54" spans="1:40">
      <c r="A54" s="5">
        <v>1</v>
      </c>
      <c r="B54" s="5" t="s">
        <v>154</v>
      </c>
      <c r="AN54" s="5" t="s">
        <v>154</v>
      </c>
    </row>
    <row r="55" spans="1:40">
      <c r="A55" s="5">
        <v>2</v>
      </c>
      <c r="B55" s="5" t="s">
        <v>155</v>
      </c>
      <c r="AN55" s="5" t="s">
        <v>155</v>
      </c>
    </row>
    <row r="58" spans="1:40">
      <c r="A58" s="5" t="s">
        <v>546</v>
      </c>
    </row>
  </sheetData>
  <mergeCells count="17">
    <mergeCell ref="B3:Q3"/>
    <mergeCell ref="U3:AM3"/>
    <mergeCell ref="B4:E4"/>
    <mergeCell ref="F4:I4"/>
    <mergeCell ref="J4:M4"/>
    <mergeCell ref="N4:Q4"/>
    <mergeCell ref="R4:T4"/>
    <mergeCell ref="U4:X4"/>
    <mergeCell ref="Y4:AB4"/>
    <mergeCell ref="AC4:AF4"/>
    <mergeCell ref="AG4:AJ4"/>
    <mergeCell ref="AK4:AM4"/>
    <mergeCell ref="AN4:AQ4"/>
    <mergeCell ref="AR4:AU4"/>
    <mergeCell ref="AV4:AY4"/>
    <mergeCell ref="AZ4:BC4"/>
    <mergeCell ref="BD4:BF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DD7E3-7A6A-0145-859B-D906B09A891B}">
  <dimension ref="A1:O89"/>
  <sheetViews>
    <sheetView zoomScale="84" workbookViewId="0"/>
  </sheetViews>
  <sheetFormatPr baseColWidth="10" defaultColWidth="10.83203125" defaultRowHeight="16"/>
  <cols>
    <col min="1" max="1" width="22.1640625" style="5" customWidth="1"/>
    <col min="2" max="5" width="15.83203125" style="5" customWidth="1"/>
    <col min="6" max="6" width="0" style="5" hidden="1" customWidth="1"/>
    <col min="7" max="7" width="15.83203125" style="5" customWidth="1"/>
    <col min="8" max="16384" width="10.83203125" style="5"/>
  </cols>
  <sheetData>
    <row r="1" spans="1:6">
      <c r="A1" s="3" t="s">
        <v>643</v>
      </c>
      <c r="B1" s="3"/>
    </row>
    <row r="3" spans="1:6">
      <c r="B3" s="328" t="s">
        <v>162</v>
      </c>
      <c r="C3" s="328"/>
      <c r="D3" s="328"/>
      <c r="E3" s="328"/>
    </row>
    <row r="4" spans="1:6" ht="17">
      <c r="B4" s="5" t="s">
        <v>145</v>
      </c>
      <c r="C4" s="137" t="s">
        <v>146</v>
      </c>
      <c r="D4" s="137" t="s">
        <v>147</v>
      </c>
      <c r="E4" s="137" t="s">
        <v>163</v>
      </c>
      <c r="F4" s="135" t="s">
        <v>21</v>
      </c>
    </row>
    <row r="5" spans="1:6">
      <c r="A5" s="5">
        <v>1982</v>
      </c>
      <c r="B5" s="8"/>
      <c r="C5" s="8">
        <v>5.5</v>
      </c>
      <c r="D5" s="8">
        <v>16.7</v>
      </c>
      <c r="E5" s="8">
        <v>27.8</v>
      </c>
    </row>
    <row r="6" spans="1:6">
      <c r="A6" s="5">
        <v>1983</v>
      </c>
      <c r="B6" s="8"/>
      <c r="C6" s="8">
        <v>5.5</v>
      </c>
      <c r="D6" s="8">
        <v>16.7</v>
      </c>
      <c r="E6" s="8">
        <v>27.8</v>
      </c>
    </row>
    <row r="7" spans="1:6">
      <c r="A7" s="5">
        <v>1984</v>
      </c>
      <c r="B7" s="8"/>
      <c r="C7" s="8">
        <v>5.4</v>
      </c>
      <c r="D7" s="8">
        <v>16.5</v>
      </c>
      <c r="E7" s="8">
        <v>27.6</v>
      </c>
    </row>
    <row r="8" spans="1:6">
      <c r="A8" s="5">
        <v>1985</v>
      </c>
      <c r="B8" s="8"/>
      <c r="C8" s="8">
        <v>5.4</v>
      </c>
      <c r="D8" s="8">
        <v>16.5</v>
      </c>
      <c r="E8" s="8">
        <v>27.6</v>
      </c>
    </row>
    <row r="9" spans="1:6">
      <c r="A9" s="5">
        <v>1986</v>
      </c>
      <c r="B9" s="8"/>
      <c r="C9" s="8">
        <v>5.7</v>
      </c>
      <c r="D9" s="8">
        <v>16.8</v>
      </c>
      <c r="E9" s="8">
        <v>27.8</v>
      </c>
    </row>
    <row r="10" spans="1:6">
      <c r="A10" s="5">
        <v>1987</v>
      </c>
      <c r="B10" s="8"/>
      <c r="C10" s="8">
        <v>5.9</v>
      </c>
      <c r="D10" s="8">
        <v>17</v>
      </c>
      <c r="E10" s="8">
        <v>27.9</v>
      </c>
    </row>
    <row r="11" spans="1:6">
      <c r="A11" s="5">
        <v>1988</v>
      </c>
      <c r="B11" s="8"/>
      <c r="C11" s="8">
        <v>6.8</v>
      </c>
      <c r="D11" s="8">
        <v>17.5</v>
      </c>
      <c r="E11" s="8">
        <v>28</v>
      </c>
    </row>
    <row r="12" spans="1:6">
      <c r="A12" s="5">
        <v>1989</v>
      </c>
      <c r="B12" s="8"/>
      <c r="C12" s="8">
        <v>6.7</v>
      </c>
      <c r="D12" s="8">
        <v>17.5</v>
      </c>
      <c r="E12" s="8">
        <v>27.9</v>
      </c>
    </row>
    <row r="13" spans="1:6">
      <c r="A13" s="5">
        <v>1990</v>
      </c>
      <c r="B13" s="8">
        <v>1.7</v>
      </c>
      <c r="C13" s="8">
        <v>6.1</v>
      </c>
      <c r="D13" s="8">
        <v>16.7</v>
      </c>
      <c r="E13" s="8">
        <v>26.9</v>
      </c>
    </row>
    <row r="14" spans="1:6">
      <c r="A14" s="5">
        <v>1991</v>
      </c>
      <c r="B14" s="8">
        <v>1.5</v>
      </c>
      <c r="C14" s="8">
        <v>5.7</v>
      </c>
      <c r="D14" s="8">
        <v>16.399999999999999</v>
      </c>
      <c r="E14" s="8">
        <v>26.8</v>
      </c>
    </row>
    <row r="15" spans="1:6">
      <c r="A15" s="5">
        <v>1992</v>
      </c>
      <c r="B15" s="8">
        <v>1.6</v>
      </c>
      <c r="C15" s="8">
        <v>5.9</v>
      </c>
      <c r="D15" s="8">
        <v>16.600000000000001</v>
      </c>
      <c r="E15" s="8">
        <v>27</v>
      </c>
    </row>
    <row r="16" spans="1:6">
      <c r="A16" s="5">
        <v>1993</v>
      </c>
      <c r="B16" s="8">
        <v>2.1</v>
      </c>
      <c r="C16" s="8">
        <v>6.7</v>
      </c>
      <c r="D16" s="8">
        <v>17.5</v>
      </c>
      <c r="E16" s="8">
        <v>27.8</v>
      </c>
    </row>
    <row r="17" spans="1:6">
      <c r="A17" s="5">
        <v>1994</v>
      </c>
      <c r="B17" s="8">
        <v>2.1</v>
      </c>
      <c r="C17" s="8">
        <v>8.1</v>
      </c>
      <c r="D17" s="8">
        <v>20.8</v>
      </c>
      <c r="E17" s="8">
        <v>31.3</v>
      </c>
    </row>
    <row r="18" spans="1:6">
      <c r="A18" s="5">
        <v>1995</v>
      </c>
      <c r="B18" s="8">
        <v>1.4</v>
      </c>
      <c r="C18" s="8">
        <v>5.9</v>
      </c>
      <c r="D18" s="8">
        <v>17</v>
      </c>
      <c r="E18" s="8">
        <v>27.6</v>
      </c>
    </row>
    <row r="19" spans="1:6">
      <c r="A19" s="5">
        <v>1996</v>
      </c>
      <c r="B19" s="8">
        <v>1.9</v>
      </c>
      <c r="C19" s="8">
        <v>6.4</v>
      </c>
      <c r="D19" s="8">
        <v>17.600000000000001</v>
      </c>
      <c r="E19" s="8">
        <v>28.1</v>
      </c>
    </row>
    <row r="20" spans="1:6">
      <c r="A20" s="5">
        <v>1997</v>
      </c>
      <c r="B20" s="8">
        <v>1.6</v>
      </c>
      <c r="C20" s="8">
        <v>6.2</v>
      </c>
      <c r="D20" s="8">
        <v>17.399999999999999</v>
      </c>
      <c r="E20" s="8">
        <v>27.9</v>
      </c>
    </row>
    <row r="21" spans="1:6">
      <c r="A21" s="5">
        <v>1998</v>
      </c>
      <c r="B21" s="8">
        <v>1.6</v>
      </c>
      <c r="C21" s="8">
        <v>6.2</v>
      </c>
      <c r="D21" s="8">
        <v>17.399999999999999</v>
      </c>
      <c r="E21" s="8">
        <v>27.9</v>
      </c>
    </row>
    <row r="22" spans="1:6">
      <c r="A22" s="5">
        <v>1999</v>
      </c>
      <c r="B22" s="8">
        <v>1.9</v>
      </c>
      <c r="C22" s="8">
        <v>6.6</v>
      </c>
      <c r="D22" s="8">
        <v>17.7</v>
      </c>
      <c r="E22" s="8">
        <v>28.2</v>
      </c>
    </row>
    <row r="23" spans="1:6">
      <c r="A23" s="19">
        <v>2000</v>
      </c>
      <c r="B23" s="108">
        <v>2.2000000000000002</v>
      </c>
      <c r="C23" s="108">
        <v>7.3</v>
      </c>
      <c r="D23" s="108">
        <v>18.8</v>
      </c>
      <c r="E23" s="108">
        <v>29.3</v>
      </c>
      <c r="F23" s="5">
        <v>35</v>
      </c>
    </row>
    <row r="24" spans="1:6">
      <c r="A24" s="5">
        <v>2001</v>
      </c>
      <c r="B24" s="8">
        <v>1.9</v>
      </c>
      <c r="C24" s="8">
        <v>6.7</v>
      </c>
      <c r="D24" s="8">
        <v>18</v>
      </c>
      <c r="E24" s="8">
        <v>28.4</v>
      </c>
    </row>
    <row r="25" spans="1:6">
      <c r="A25" s="5">
        <v>2002</v>
      </c>
      <c r="B25" s="8">
        <v>1.9</v>
      </c>
      <c r="C25" s="8">
        <v>6.7</v>
      </c>
      <c r="D25" s="8">
        <v>17.899999999999999</v>
      </c>
      <c r="E25" s="8">
        <v>28.3</v>
      </c>
    </row>
    <row r="26" spans="1:6">
      <c r="A26" s="5">
        <v>2003</v>
      </c>
      <c r="B26" s="8">
        <v>2.2000000000000002</v>
      </c>
      <c r="C26" s="8">
        <v>6.8</v>
      </c>
      <c r="D26" s="8">
        <v>18</v>
      </c>
      <c r="E26" s="8">
        <v>28.3</v>
      </c>
    </row>
    <row r="27" spans="1:6">
      <c r="A27" s="5">
        <v>2004</v>
      </c>
      <c r="B27" s="8">
        <v>2</v>
      </c>
      <c r="C27" s="8">
        <v>6.8</v>
      </c>
      <c r="D27" s="8">
        <v>18</v>
      </c>
      <c r="E27" s="8">
        <v>28.3</v>
      </c>
    </row>
    <row r="28" spans="1:6">
      <c r="A28" s="5">
        <v>2005</v>
      </c>
      <c r="B28" s="8">
        <v>2</v>
      </c>
      <c r="C28" s="8">
        <v>6.7</v>
      </c>
      <c r="D28" s="8">
        <v>17.899999999999999</v>
      </c>
      <c r="E28" s="8">
        <v>28.3</v>
      </c>
    </row>
    <row r="29" spans="1:6">
      <c r="A29" s="5">
        <v>2006</v>
      </c>
      <c r="B29" s="8">
        <v>1.8</v>
      </c>
      <c r="C29" s="8">
        <v>6.6</v>
      </c>
      <c r="D29" s="8">
        <v>17.899999999999999</v>
      </c>
      <c r="E29" s="8">
        <v>28.2</v>
      </c>
    </row>
    <row r="30" spans="1:6">
      <c r="A30" s="5">
        <v>2007</v>
      </c>
      <c r="B30" s="8">
        <v>1.8</v>
      </c>
      <c r="C30" s="8">
        <v>6.7</v>
      </c>
      <c r="D30" s="8">
        <v>17.899999999999999</v>
      </c>
      <c r="E30" s="8">
        <v>28.2</v>
      </c>
    </row>
    <row r="31" spans="1:6">
      <c r="A31" s="5">
        <v>2008</v>
      </c>
      <c r="B31" s="8">
        <v>1.6</v>
      </c>
      <c r="C31" s="8">
        <v>6.2</v>
      </c>
      <c r="D31" s="8">
        <v>17.600000000000001</v>
      </c>
      <c r="E31" s="8">
        <v>28</v>
      </c>
    </row>
    <row r="32" spans="1:6">
      <c r="A32" s="5">
        <v>2009</v>
      </c>
      <c r="B32" s="8">
        <v>1.8</v>
      </c>
      <c r="C32" s="8">
        <v>6.3</v>
      </c>
      <c r="D32" s="8">
        <v>17.5</v>
      </c>
      <c r="E32" s="8">
        <v>28</v>
      </c>
    </row>
    <row r="33" spans="1:5">
      <c r="A33" s="5">
        <v>2010</v>
      </c>
      <c r="B33" s="8">
        <v>2.1</v>
      </c>
      <c r="C33" s="8">
        <v>6.8</v>
      </c>
      <c r="D33" s="8">
        <v>18</v>
      </c>
      <c r="E33" s="8">
        <v>28.4</v>
      </c>
    </row>
    <row r="34" spans="1:5">
      <c r="A34" s="5">
        <v>2011</v>
      </c>
      <c r="B34" s="8">
        <v>2.6</v>
      </c>
      <c r="C34" s="8">
        <v>7.3</v>
      </c>
      <c r="D34" s="8">
        <v>18.600000000000001</v>
      </c>
      <c r="E34" s="8">
        <v>29</v>
      </c>
    </row>
    <row r="35" spans="1:5">
      <c r="A35" s="5">
        <v>2012</v>
      </c>
      <c r="B35" s="8">
        <v>2.1</v>
      </c>
      <c r="C35" s="8">
        <v>6.8</v>
      </c>
      <c r="D35" s="8">
        <v>18.100000000000001</v>
      </c>
      <c r="E35" s="8">
        <v>28.5</v>
      </c>
    </row>
    <row r="36" spans="1:5">
      <c r="A36" s="5">
        <v>2013</v>
      </c>
      <c r="B36" s="8">
        <v>1.8</v>
      </c>
      <c r="C36" s="8">
        <v>6.6</v>
      </c>
      <c r="D36" s="8">
        <v>18.100000000000001</v>
      </c>
      <c r="E36" s="8">
        <v>28.6</v>
      </c>
    </row>
    <row r="37" spans="1:5">
      <c r="A37" s="5">
        <v>2014</v>
      </c>
      <c r="B37" s="8">
        <v>2</v>
      </c>
      <c r="C37" s="8">
        <v>6.6</v>
      </c>
      <c r="D37" s="8">
        <v>18</v>
      </c>
      <c r="E37" s="8">
        <v>28.4</v>
      </c>
    </row>
    <row r="38" spans="1:5">
      <c r="A38" s="5">
        <v>2015</v>
      </c>
      <c r="B38" s="8">
        <v>1.7</v>
      </c>
      <c r="C38" s="8">
        <v>6.2</v>
      </c>
      <c r="D38" s="8">
        <v>17.3</v>
      </c>
      <c r="E38" s="8">
        <v>27.7</v>
      </c>
    </row>
    <row r="39" spans="1:5">
      <c r="A39" s="5">
        <v>2016</v>
      </c>
      <c r="B39" s="8">
        <v>2.1</v>
      </c>
      <c r="C39" s="8">
        <v>6.6</v>
      </c>
      <c r="D39" s="8">
        <v>17.7</v>
      </c>
      <c r="E39" s="8">
        <v>28</v>
      </c>
    </row>
    <row r="40" spans="1:5">
      <c r="A40" s="5">
        <v>2017</v>
      </c>
      <c r="B40" s="8">
        <v>2.2000000000000002</v>
      </c>
      <c r="C40" s="8">
        <v>6.8</v>
      </c>
      <c r="D40" s="8">
        <v>17.8</v>
      </c>
      <c r="E40" s="8">
        <v>28</v>
      </c>
    </row>
    <row r="41" spans="1:5">
      <c r="A41" s="5">
        <v>2018</v>
      </c>
      <c r="B41" s="8">
        <v>2.5</v>
      </c>
      <c r="C41" s="8">
        <v>7.1</v>
      </c>
      <c r="D41" s="8">
        <v>18</v>
      </c>
      <c r="E41" s="8">
        <v>28.1</v>
      </c>
    </row>
    <row r="43" spans="1:5">
      <c r="A43" s="5" t="s">
        <v>157</v>
      </c>
      <c r="B43" s="8">
        <f>B41-B13</f>
        <v>0.8</v>
      </c>
      <c r="C43" s="8">
        <f>C41-C5</f>
        <v>1.5999999999999996</v>
      </c>
      <c r="D43" s="8">
        <f t="shared" ref="D43:E43" si="0">D41-D5</f>
        <v>1.3000000000000007</v>
      </c>
      <c r="E43" s="8">
        <f t="shared" si="0"/>
        <v>0.30000000000000071</v>
      </c>
    </row>
    <row r="44" spans="1:5">
      <c r="A44" s="5" t="s">
        <v>158</v>
      </c>
      <c r="B44" s="8">
        <f>B23-B13</f>
        <v>0.50000000000000022</v>
      </c>
      <c r="C44" s="8">
        <f>C23-C5</f>
        <v>1.7999999999999998</v>
      </c>
      <c r="D44" s="8">
        <f t="shared" ref="D44:E44" si="1">D23-D5</f>
        <v>2.1000000000000014</v>
      </c>
      <c r="E44" s="8">
        <f t="shared" si="1"/>
        <v>1.5</v>
      </c>
    </row>
    <row r="45" spans="1:5">
      <c r="A45" s="5" t="s">
        <v>159</v>
      </c>
      <c r="B45" s="8">
        <f>B41-B23</f>
        <v>0.29999999999999982</v>
      </c>
      <c r="C45" s="8">
        <f t="shared" ref="C45:E45" si="2">C41-C23</f>
        <v>-0.20000000000000018</v>
      </c>
      <c r="D45" s="8">
        <f t="shared" si="2"/>
        <v>-0.80000000000000071</v>
      </c>
      <c r="E45" s="8">
        <f t="shared" si="2"/>
        <v>-1.1999999999999993</v>
      </c>
    </row>
    <row r="46" spans="1:5">
      <c r="A46" s="5" t="s">
        <v>164</v>
      </c>
      <c r="B46" s="8">
        <f>B31-B23</f>
        <v>-0.60000000000000009</v>
      </c>
      <c r="C46" s="8">
        <f t="shared" ref="C46:E46" si="3">C31-C23</f>
        <v>-1.0999999999999996</v>
      </c>
      <c r="D46" s="8">
        <f t="shared" si="3"/>
        <v>-1.1999999999999993</v>
      </c>
      <c r="E46" s="8">
        <f t="shared" si="3"/>
        <v>-1.3000000000000007</v>
      </c>
    </row>
    <row r="47" spans="1:5">
      <c r="A47" s="5" t="s">
        <v>165</v>
      </c>
      <c r="B47" s="8">
        <f>B41-B31</f>
        <v>0.89999999999999991</v>
      </c>
      <c r="C47" s="8">
        <f t="shared" ref="C47:E47" si="4">C41-C31</f>
        <v>0.89999999999999947</v>
      </c>
      <c r="D47" s="8">
        <f t="shared" si="4"/>
        <v>0.39999999999999858</v>
      </c>
      <c r="E47" s="8">
        <f t="shared" si="4"/>
        <v>0.10000000000000142</v>
      </c>
    </row>
    <row r="50" spans="1:15">
      <c r="A50" s="5" t="s">
        <v>160</v>
      </c>
    </row>
    <row r="51" spans="1:15">
      <c r="A51" s="5" t="s">
        <v>161</v>
      </c>
    </row>
    <row r="54" spans="1:15">
      <c r="A54" s="5" t="s">
        <v>153</v>
      </c>
    </row>
    <row r="55" spans="1:15">
      <c r="A55" s="5">
        <v>1</v>
      </c>
      <c r="B55" s="5" t="s">
        <v>154</v>
      </c>
      <c r="O55" s="5" t="s">
        <v>154</v>
      </c>
    </row>
    <row r="56" spans="1:15">
      <c r="A56" s="5">
        <v>2</v>
      </c>
      <c r="B56" s="5" t="s">
        <v>155</v>
      </c>
      <c r="O56" s="5" t="s">
        <v>155</v>
      </c>
    </row>
    <row r="59" spans="1:15">
      <c r="A59" s="5" t="s">
        <v>546</v>
      </c>
    </row>
    <row r="61" spans="1:15">
      <c r="A61" s="346" t="s">
        <v>166</v>
      </c>
      <c r="B61" s="328" t="s">
        <v>162</v>
      </c>
      <c r="C61" s="328"/>
      <c r="D61" s="328"/>
      <c r="E61" s="328"/>
      <c r="F61" s="328"/>
      <c r="G61" s="328"/>
    </row>
    <row r="62" spans="1:15" ht="16" customHeight="1">
      <c r="A62" s="346"/>
      <c r="B62" s="328" t="s">
        <v>145</v>
      </c>
      <c r="C62" s="328"/>
      <c r="D62" s="328" t="s">
        <v>146</v>
      </c>
      <c r="E62" s="328"/>
      <c r="F62" s="77"/>
      <c r="G62" s="270" t="s">
        <v>147</v>
      </c>
    </row>
    <row r="63" spans="1:15" ht="16" customHeight="1">
      <c r="A63" s="346"/>
      <c r="B63" s="135" t="s">
        <v>43</v>
      </c>
      <c r="C63" s="135" t="s">
        <v>44</v>
      </c>
      <c r="D63" s="135" t="s">
        <v>43</v>
      </c>
      <c r="E63" s="135" t="s">
        <v>44</v>
      </c>
      <c r="F63" s="135"/>
      <c r="G63" s="135" t="s">
        <v>43</v>
      </c>
    </row>
    <row r="64" spans="1:15">
      <c r="A64" s="5" t="s">
        <v>167</v>
      </c>
      <c r="B64" s="8">
        <v>1.8</v>
      </c>
      <c r="C64" s="8">
        <v>0.8</v>
      </c>
      <c r="D64" s="8">
        <v>3.5000000000000009</v>
      </c>
      <c r="E64" s="8">
        <v>1.5999999999999996</v>
      </c>
      <c r="F64" s="8"/>
      <c r="G64" s="8">
        <v>4.5999999999999979</v>
      </c>
    </row>
    <row r="65" spans="1:7">
      <c r="A65" s="5" t="s">
        <v>168</v>
      </c>
      <c r="B65" s="8">
        <v>2.2999999999999998</v>
      </c>
      <c r="C65" s="8">
        <v>0.50000000000000022</v>
      </c>
      <c r="D65" s="8">
        <v>4.3</v>
      </c>
      <c r="E65" s="8">
        <v>1.7999999999999998</v>
      </c>
      <c r="F65" s="8"/>
      <c r="G65" s="8">
        <v>5</v>
      </c>
    </row>
    <row r="66" spans="1:7">
      <c r="A66" s="5" t="s">
        <v>169</v>
      </c>
      <c r="B66" s="8">
        <v>-0.49999999999999956</v>
      </c>
      <c r="C66" s="8">
        <v>0.29999999999999982</v>
      </c>
      <c r="D66" s="8">
        <v>-0.79999999999999893</v>
      </c>
      <c r="E66" s="8">
        <v>-0.20000000000000018</v>
      </c>
      <c r="F66" s="8"/>
      <c r="G66" s="8">
        <v>-0.40000000000000213</v>
      </c>
    </row>
    <row r="67" spans="1:7">
      <c r="A67" s="5" t="s">
        <v>170</v>
      </c>
      <c r="B67" s="8">
        <v>0</v>
      </c>
      <c r="C67" s="8">
        <v>-0.60000000000000009</v>
      </c>
      <c r="D67" s="8">
        <v>0</v>
      </c>
      <c r="E67" s="8">
        <v>-1.0999999999999996</v>
      </c>
      <c r="F67" s="8"/>
      <c r="G67" s="8">
        <v>0.39999999999999858</v>
      </c>
    </row>
    <row r="68" spans="1:7">
      <c r="A68" s="5" t="s">
        <v>171</v>
      </c>
      <c r="B68" s="8">
        <v>-0.49999999999999956</v>
      </c>
      <c r="C68" s="8">
        <v>0.89999999999999991</v>
      </c>
      <c r="D68" s="8">
        <v>-0.79999999999999893</v>
      </c>
      <c r="E68" s="8">
        <v>0.89999999999999947</v>
      </c>
      <c r="F68" s="8"/>
      <c r="G68" s="8">
        <v>-0.80000000000000071</v>
      </c>
    </row>
    <row r="71" spans="1:7">
      <c r="A71" s="5" t="s">
        <v>32</v>
      </c>
    </row>
    <row r="73" spans="1:7">
      <c r="A73" s="346"/>
      <c r="B73" s="328" t="s">
        <v>162</v>
      </c>
      <c r="C73" s="328"/>
      <c r="D73" s="328"/>
      <c r="E73" s="328"/>
      <c r="F73" s="328"/>
      <c r="G73" s="328"/>
    </row>
    <row r="74" spans="1:7">
      <c r="A74" s="346"/>
      <c r="B74" s="328" t="s">
        <v>145</v>
      </c>
      <c r="C74" s="328"/>
      <c r="D74" s="328" t="s">
        <v>146</v>
      </c>
      <c r="E74" s="328"/>
      <c r="F74" s="77"/>
      <c r="G74" s="270" t="s">
        <v>147</v>
      </c>
    </row>
    <row r="75" spans="1:7">
      <c r="A75" s="346"/>
      <c r="B75" s="186" t="s">
        <v>43</v>
      </c>
      <c r="C75" s="186" t="s">
        <v>44</v>
      </c>
      <c r="D75" s="186" t="s">
        <v>43</v>
      </c>
      <c r="E75" s="186" t="s">
        <v>44</v>
      </c>
      <c r="F75" s="186"/>
      <c r="G75" s="186" t="s">
        <v>43</v>
      </c>
    </row>
    <row r="76" spans="1:7">
      <c r="A76" s="80" t="s">
        <v>547</v>
      </c>
      <c r="B76" s="8">
        <v>2.4</v>
      </c>
      <c r="C76" s="8">
        <v>1.7</v>
      </c>
      <c r="D76" s="8">
        <v>6.3</v>
      </c>
      <c r="E76" s="8">
        <v>5.5</v>
      </c>
      <c r="F76" s="186"/>
      <c r="G76" s="8">
        <v>17.3</v>
      </c>
    </row>
    <row r="77" spans="1:7">
      <c r="A77" s="5">
        <v>2000</v>
      </c>
      <c r="B77" s="186">
        <v>4.0999999999999996</v>
      </c>
      <c r="C77" s="8">
        <v>2.2000000000000002</v>
      </c>
      <c r="D77" s="186">
        <v>10.6</v>
      </c>
      <c r="E77" s="8">
        <v>7.3</v>
      </c>
      <c r="F77" s="186"/>
      <c r="G77" s="186">
        <v>22.3</v>
      </c>
    </row>
    <row r="78" spans="1:7">
      <c r="A78" s="5">
        <v>2018</v>
      </c>
      <c r="B78" s="186">
        <v>3.6</v>
      </c>
      <c r="C78" s="8">
        <v>2.5</v>
      </c>
      <c r="D78" s="8">
        <v>9.8000000000000007</v>
      </c>
      <c r="E78" s="8">
        <v>7.1</v>
      </c>
      <c r="F78" s="186"/>
      <c r="G78" s="186">
        <v>21.9</v>
      </c>
    </row>
    <row r="81" spans="1:7">
      <c r="A81" s="5" t="s">
        <v>548</v>
      </c>
    </row>
    <row r="82" spans="1:7">
      <c r="D82" s="108"/>
      <c r="E82" s="108"/>
      <c r="F82" s="108"/>
    </row>
    <row r="83" spans="1:7">
      <c r="D83" s="108"/>
      <c r="E83" s="108"/>
      <c r="F83" s="108"/>
    </row>
    <row r="84" spans="1:7">
      <c r="C84" s="108"/>
      <c r="D84" s="108"/>
      <c r="E84" s="108"/>
      <c r="F84" s="108">
        <v>22.3</v>
      </c>
    </row>
    <row r="86" spans="1:7">
      <c r="A86" s="80"/>
      <c r="B86" s="8"/>
      <c r="C86" s="8"/>
      <c r="D86" s="8"/>
      <c r="E86" s="108"/>
      <c r="F86" s="108"/>
      <c r="G86" s="108"/>
    </row>
    <row r="87" spans="1:7">
      <c r="B87" s="8"/>
      <c r="C87" s="8"/>
      <c r="D87" s="8"/>
      <c r="E87" s="108"/>
      <c r="F87" s="108">
        <v>22.3</v>
      </c>
    </row>
    <row r="88" spans="1:7">
      <c r="B88" s="8"/>
      <c r="C88" s="8"/>
      <c r="D88" s="8"/>
    </row>
    <row r="89" spans="1:7">
      <c r="D89" s="108"/>
      <c r="E89" s="108"/>
      <c r="F89" s="108">
        <v>22.3</v>
      </c>
    </row>
  </sheetData>
  <mergeCells count="9">
    <mergeCell ref="A73:A75"/>
    <mergeCell ref="B73:G73"/>
    <mergeCell ref="B74:C74"/>
    <mergeCell ref="D74:E74"/>
    <mergeCell ref="B61:G61"/>
    <mergeCell ref="A61:A63"/>
    <mergeCell ref="B3:E3"/>
    <mergeCell ref="B62:C62"/>
    <mergeCell ref="D62:E6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ABCF-7489-2D44-B393-4BD1B6F75557}">
  <sheetPr codeName="Sheet32"/>
  <dimension ref="A1:I76"/>
  <sheetViews>
    <sheetView zoomScale="75" workbookViewId="0"/>
  </sheetViews>
  <sheetFormatPr baseColWidth="10" defaultColWidth="11" defaultRowHeight="16"/>
  <cols>
    <col min="1" max="1" width="17.33203125" style="5" customWidth="1"/>
    <col min="2" max="7" width="25.83203125" style="5" customWidth="1"/>
    <col min="8" max="8" width="0" style="5" hidden="1" customWidth="1"/>
    <col min="9" max="16384" width="11" style="5"/>
  </cols>
  <sheetData>
    <row r="1" spans="1:8">
      <c r="A1" s="3" t="s">
        <v>644</v>
      </c>
    </row>
    <row r="3" spans="1:8">
      <c r="B3" s="135" t="s">
        <v>192</v>
      </c>
      <c r="C3" s="135" t="s">
        <v>193</v>
      </c>
      <c r="D3" s="135" t="s">
        <v>37</v>
      </c>
      <c r="E3" s="135" t="s">
        <v>194</v>
      </c>
      <c r="F3" s="135" t="s">
        <v>195</v>
      </c>
      <c r="G3" s="135" t="s">
        <v>196</v>
      </c>
      <c r="H3" s="135" t="s">
        <v>21</v>
      </c>
    </row>
    <row r="4" spans="1:8">
      <c r="A4" s="5">
        <v>1976</v>
      </c>
      <c r="B4" s="81">
        <v>0.40200000000000002</v>
      </c>
      <c r="C4" s="81">
        <f>B4-D4</f>
        <v>0.10300000000000004</v>
      </c>
      <c r="D4" s="81">
        <v>0.29899999999999999</v>
      </c>
      <c r="E4" s="81">
        <f>D4-F4</f>
        <v>2.899999999999997E-2</v>
      </c>
      <c r="F4" s="81">
        <v>0.27</v>
      </c>
      <c r="G4" s="81">
        <f>C4+E4</f>
        <v>0.13200000000000001</v>
      </c>
      <c r="H4" s="135"/>
    </row>
    <row r="5" spans="1:8">
      <c r="A5" s="5">
        <v>1977</v>
      </c>
      <c r="B5" s="81">
        <v>0.41799999999999998</v>
      </c>
      <c r="C5" s="81">
        <f t="shared" ref="C5:C47" si="0">B5-D5</f>
        <v>9.8999999999999977E-2</v>
      </c>
      <c r="D5" s="81">
        <v>0.31900000000000001</v>
      </c>
      <c r="E5" s="81">
        <f>D5-F5</f>
        <v>3.0000000000000027E-2</v>
      </c>
      <c r="F5" s="81">
        <v>0.28899999999999998</v>
      </c>
      <c r="G5" s="81">
        <f t="shared" ref="G5:G47" si="1">C5+E5</f>
        <v>0.129</v>
      </c>
      <c r="H5" s="135"/>
    </row>
    <row r="6" spans="1:8">
      <c r="A6" s="5">
        <v>1978</v>
      </c>
      <c r="B6" s="81">
        <v>0.40799999999999997</v>
      </c>
      <c r="C6" s="81">
        <f t="shared" si="0"/>
        <v>9.7999999999999976E-2</v>
      </c>
      <c r="D6" s="81">
        <v>0.31</v>
      </c>
      <c r="E6" s="81">
        <f t="shared" ref="E6:E47" si="2">D6-F6</f>
        <v>2.9999999999999971E-2</v>
      </c>
      <c r="F6" s="81">
        <v>0.28000000000000003</v>
      </c>
      <c r="G6" s="81">
        <f t="shared" si="1"/>
        <v>0.12799999999999995</v>
      </c>
      <c r="H6" s="135"/>
    </row>
    <row r="7" spans="1:8">
      <c r="A7" s="5">
        <v>1979</v>
      </c>
      <c r="B7" s="81">
        <v>0.40799999999999997</v>
      </c>
      <c r="C7" s="81">
        <f t="shared" si="0"/>
        <v>9.6999999999999975E-2</v>
      </c>
      <c r="D7" s="81">
        <v>0.311</v>
      </c>
      <c r="E7" s="81">
        <f t="shared" si="2"/>
        <v>2.7000000000000024E-2</v>
      </c>
      <c r="F7" s="81">
        <v>0.28399999999999997</v>
      </c>
      <c r="G7" s="81">
        <f t="shared" si="1"/>
        <v>0.124</v>
      </c>
      <c r="H7" s="135"/>
    </row>
    <row r="8" spans="1:8">
      <c r="A8" s="5">
        <v>1980</v>
      </c>
      <c r="B8" s="81">
        <v>0.40600000000000003</v>
      </c>
      <c r="C8" s="81">
        <f t="shared" si="0"/>
        <v>0.10700000000000004</v>
      </c>
      <c r="D8" s="81">
        <v>0.29899999999999999</v>
      </c>
      <c r="E8" s="81">
        <f t="shared" si="2"/>
        <v>2.7999999999999969E-2</v>
      </c>
      <c r="F8" s="81">
        <v>0.27100000000000002</v>
      </c>
      <c r="G8" s="81">
        <f t="shared" si="1"/>
        <v>0.13500000000000001</v>
      </c>
      <c r="H8" s="135"/>
    </row>
    <row r="9" spans="1:8">
      <c r="A9" s="5">
        <v>1981</v>
      </c>
      <c r="B9" s="81">
        <v>0.42399999999999999</v>
      </c>
      <c r="C9" s="81">
        <f t="shared" si="0"/>
        <v>0.10499999999999998</v>
      </c>
      <c r="D9" s="81">
        <v>0.31900000000000001</v>
      </c>
      <c r="E9" s="81">
        <f t="shared" si="2"/>
        <v>2.9000000000000026E-2</v>
      </c>
      <c r="F9" s="81">
        <v>0.28999999999999998</v>
      </c>
      <c r="G9" s="81">
        <f t="shared" si="1"/>
        <v>0.13400000000000001</v>
      </c>
      <c r="H9" s="135"/>
    </row>
    <row r="10" spans="1:8">
      <c r="A10" s="5">
        <v>1982</v>
      </c>
      <c r="B10" s="81">
        <v>0.44700000000000001</v>
      </c>
      <c r="C10" s="81">
        <f t="shared" si="0"/>
        <v>0.123</v>
      </c>
      <c r="D10" s="81">
        <v>0.32400000000000001</v>
      </c>
      <c r="E10" s="81">
        <f t="shared" si="2"/>
        <v>3.3000000000000029E-2</v>
      </c>
      <c r="F10" s="81">
        <v>0.29099999999999998</v>
      </c>
      <c r="G10" s="81">
        <f t="shared" si="1"/>
        <v>0.15600000000000003</v>
      </c>
      <c r="H10" s="135"/>
    </row>
    <row r="11" spans="1:8">
      <c r="A11" s="5">
        <v>1983</v>
      </c>
      <c r="B11" s="81">
        <v>0.47199999999999998</v>
      </c>
      <c r="C11" s="81">
        <f t="shared" si="0"/>
        <v>0.13699999999999996</v>
      </c>
      <c r="D11" s="81">
        <v>0.33500000000000002</v>
      </c>
      <c r="E11" s="81">
        <f t="shared" si="2"/>
        <v>3.6000000000000032E-2</v>
      </c>
      <c r="F11" s="81">
        <v>0.29899999999999999</v>
      </c>
      <c r="G11" s="81">
        <f t="shared" si="1"/>
        <v>0.17299999999999999</v>
      </c>
      <c r="H11" s="135"/>
    </row>
    <row r="12" spans="1:8">
      <c r="A12" s="5">
        <v>1984</v>
      </c>
      <c r="B12" s="81">
        <v>0.44700000000000001</v>
      </c>
      <c r="C12" s="81">
        <f t="shared" si="0"/>
        <v>0.121</v>
      </c>
      <c r="D12" s="81">
        <v>0.32600000000000001</v>
      </c>
      <c r="E12" s="81">
        <f t="shared" si="2"/>
        <v>3.400000000000003E-2</v>
      </c>
      <c r="F12" s="81">
        <v>0.29199999999999998</v>
      </c>
      <c r="G12" s="81">
        <f t="shared" si="1"/>
        <v>0.15500000000000003</v>
      </c>
      <c r="H12" s="135"/>
    </row>
    <row r="13" spans="1:8">
      <c r="A13" s="5">
        <v>1985</v>
      </c>
      <c r="B13" s="81">
        <v>0.42899999999999999</v>
      </c>
      <c r="C13" s="81">
        <f t="shared" si="0"/>
        <v>0.12</v>
      </c>
      <c r="D13" s="81">
        <v>0.309</v>
      </c>
      <c r="E13" s="81">
        <f t="shared" si="2"/>
        <v>3.0999999999999972E-2</v>
      </c>
      <c r="F13" s="81">
        <v>0.27800000000000002</v>
      </c>
      <c r="G13" s="81">
        <f t="shared" si="1"/>
        <v>0.15099999999999997</v>
      </c>
      <c r="H13" s="135"/>
    </row>
    <row r="14" spans="1:8">
      <c r="A14" s="5">
        <v>1986</v>
      </c>
      <c r="B14" s="81">
        <v>0.42199999999999999</v>
      </c>
      <c r="C14" s="81">
        <f t="shared" si="0"/>
        <v>0.123</v>
      </c>
      <c r="D14" s="81">
        <v>0.29899999999999999</v>
      </c>
      <c r="E14" s="81">
        <f t="shared" si="2"/>
        <v>2.9999999999999971E-2</v>
      </c>
      <c r="F14" s="81">
        <v>0.26900000000000002</v>
      </c>
      <c r="G14" s="81">
        <f t="shared" si="1"/>
        <v>0.15299999999999997</v>
      </c>
      <c r="H14" s="135"/>
    </row>
    <row r="15" spans="1:8">
      <c r="A15" s="5">
        <v>1987</v>
      </c>
      <c r="B15" s="81">
        <v>0.42299999999999999</v>
      </c>
      <c r="C15" s="81">
        <f t="shared" si="0"/>
        <v>0.122</v>
      </c>
      <c r="D15" s="81">
        <v>0.30099999999999999</v>
      </c>
      <c r="E15" s="81">
        <f t="shared" si="2"/>
        <v>3.2999999999999974E-2</v>
      </c>
      <c r="F15" s="81">
        <v>0.26800000000000002</v>
      </c>
      <c r="G15" s="81">
        <f t="shared" si="1"/>
        <v>0.15499999999999997</v>
      </c>
      <c r="H15" s="135"/>
    </row>
    <row r="16" spans="1:8">
      <c r="A16" s="5">
        <v>1988</v>
      </c>
      <c r="B16" s="81">
        <v>0.42099999999999999</v>
      </c>
      <c r="C16" s="81">
        <f t="shared" si="0"/>
        <v>0.122</v>
      </c>
      <c r="D16" s="81">
        <v>0.29899999999999999</v>
      </c>
      <c r="E16" s="81">
        <f t="shared" si="2"/>
        <v>3.3999999999999975E-2</v>
      </c>
      <c r="F16" s="81">
        <v>0.26500000000000001</v>
      </c>
      <c r="G16" s="81">
        <f t="shared" si="1"/>
        <v>0.15599999999999997</v>
      </c>
      <c r="H16" s="135"/>
    </row>
    <row r="17" spans="1:8">
      <c r="A17" s="5">
        <v>1989</v>
      </c>
      <c r="B17" s="81">
        <v>0.41399999999999998</v>
      </c>
      <c r="C17" s="81">
        <f t="shared" si="0"/>
        <v>0.11399999999999999</v>
      </c>
      <c r="D17" s="81">
        <v>0.3</v>
      </c>
      <c r="E17" s="81">
        <f t="shared" si="2"/>
        <v>3.4999999999999976E-2</v>
      </c>
      <c r="F17" s="81">
        <v>0.26500000000000001</v>
      </c>
      <c r="G17" s="81">
        <f t="shared" si="1"/>
        <v>0.14899999999999997</v>
      </c>
      <c r="H17" s="135"/>
    </row>
    <row r="18" spans="1:8">
      <c r="A18" s="5">
        <v>1990</v>
      </c>
      <c r="B18" s="81">
        <v>0.42299999999999999</v>
      </c>
      <c r="C18" s="81">
        <f t="shared" si="0"/>
        <v>0.11599999999999999</v>
      </c>
      <c r="D18" s="81">
        <v>0.307</v>
      </c>
      <c r="E18" s="81">
        <f t="shared" si="2"/>
        <v>3.7999999999999978E-2</v>
      </c>
      <c r="F18" s="81">
        <v>0.26900000000000002</v>
      </c>
      <c r="G18" s="81">
        <f t="shared" si="1"/>
        <v>0.15399999999999997</v>
      </c>
      <c r="H18" s="135"/>
    </row>
    <row r="19" spans="1:8">
      <c r="A19" s="5">
        <v>1991</v>
      </c>
      <c r="B19" s="81">
        <v>0.44500000000000001</v>
      </c>
      <c r="C19" s="81">
        <f t="shared" si="0"/>
        <v>0.13100000000000001</v>
      </c>
      <c r="D19" s="81">
        <v>0.314</v>
      </c>
      <c r="E19" s="81">
        <f t="shared" si="2"/>
        <v>3.999999999999998E-2</v>
      </c>
      <c r="F19" s="81">
        <v>0.27400000000000002</v>
      </c>
      <c r="G19" s="81">
        <f t="shared" si="1"/>
        <v>0.17099999999999999</v>
      </c>
      <c r="H19" s="135"/>
    </row>
    <row r="20" spans="1:8">
      <c r="A20" s="5">
        <v>1992</v>
      </c>
      <c r="B20" s="81">
        <v>0.442</v>
      </c>
      <c r="C20" s="81">
        <f t="shared" si="0"/>
        <v>0.13</v>
      </c>
      <c r="D20" s="81">
        <v>0.312</v>
      </c>
      <c r="E20" s="81">
        <f t="shared" si="2"/>
        <v>3.7999999999999978E-2</v>
      </c>
      <c r="F20" s="81">
        <v>0.27400000000000002</v>
      </c>
      <c r="G20" s="81">
        <f t="shared" si="1"/>
        <v>0.16799999999999998</v>
      </c>
      <c r="H20" s="135"/>
    </row>
    <row r="21" spans="1:8">
      <c r="A21" s="5">
        <v>1993</v>
      </c>
      <c r="B21" s="81">
        <v>0.436</v>
      </c>
      <c r="C21" s="81">
        <f t="shared" si="0"/>
        <v>0.13600000000000001</v>
      </c>
      <c r="D21" s="81">
        <v>0.3</v>
      </c>
      <c r="E21" s="81">
        <f t="shared" si="2"/>
        <v>3.3999999999999975E-2</v>
      </c>
      <c r="F21" s="81">
        <v>0.26600000000000001</v>
      </c>
      <c r="G21" s="81">
        <f t="shared" si="1"/>
        <v>0.16999999999999998</v>
      </c>
      <c r="H21" s="135"/>
    </row>
    <row r="22" spans="1:8">
      <c r="A22" s="5">
        <v>1994</v>
      </c>
      <c r="B22" s="81">
        <v>0.441</v>
      </c>
      <c r="C22" s="81">
        <f t="shared" si="0"/>
        <v>0.13300000000000001</v>
      </c>
      <c r="D22" s="81">
        <v>0.308</v>
      </c>
      <c r="E22" s="81">
        <f t="shared" si="2"/>
        <v>3.5999999999999976E-2</v>
      </c>
      <c r="F22" s="81">
        <v>0.27200000000000002</v>
      </c>
      <c r="G22" s="81">
        <f t="shared" si="1"/>
        <v>0.16899999999999998</v>
      </c>
      <c r="H22" s="135"/>
    </row>
    <row r="23" spans="1:8">
      <c r="A23" s="5">
        <v>1995</v>
      </c>
      <c r="B23" s="81">
        <v>0.44400000000000001</v>
      </c>
      <c r="C23" s="81">
        <f t="shared" si="0"/>
        <v>0.13300000000000001</v>
      </c>
      <c r="D23" s="81">
        <v>0.311</v>
      </c>
      <c r="E23" s="81">
        <f t="shared" si="2"/>
        <v>3.6999999999999977E-2</v>
      </c>
      <c r="F23" s="81">
        <v>0.27400000000000002</v>
      </c>
      <c r="G23" s="81">
        <f t="shared" si="1"/>
        <v>0.16999999999999998</v>
      </c>
      <c r="H23" s="135"/>
    </row>
    <row r="24" spans="1:8">
      <c r="A24" s="5">
        <v>1996</v>
      </c>
      <c r="B24" s="81">
        <v>0.439</v>
      </c>
      <c r="C24" s="81">
        <f t="shared" si="0"/>
        <v>0.127</v>
      </c>
      <c r="D24" s="81">
        <v>0.312</v>
      </c>
      <c r="E24" s="81">
        <f t="shared" si="2"/>
        <v>3.7999999999999978E-2</v>
      </c>
      <c r="F24" s="81">
        <v>0.27400000000000002</v>
      </c>
      <c r="G24" s="81">
        <f t="shared" si="1"/>
        <v>0.16499999999999998</v>
      </c>
      <c r="H24" s="135"/>
    </row>
    <row r="25" spans="1:8">
      <c r="A25" s="5">
        <v>1997</v>
      </c>
      <c r="B25" s="81">
        <v>0.441</v>
      </c>
      <c r="C25" s="81">
        <f t="shared" si="0"/>
        <v>0.126</v>
      </c>
      <c r="D25" s="81">
        <v>0.315</v>
      </c>
      <c r="E25" s="81">
        <f t="shared" si="2"/>
        <v>3.6999999999999977E-2</v>
      </c>
      <c r="F25" s="81">
        <v>0.27800000000000002</v>
      </c>
      <c r="G25" s="81">
        <f t="shared" si="1"/>
        <v>0.16299999999999998</v>
      </c>
      <c r="H25" s="135"/>
    </row>
    <row r="26" spans="1:8">
      <c r="A26" s="5">
        <v>1998</v>
      </c>
      <c r="B26" s="81">
        <v>0.44500000000000001</v>
      </c>
      <c r="C26" s="81">
        <f t="shared" si="0"/>
        <v>0.11699999999999999</v>
      </c>
      <c r="D26" s="81">
        <v>0.32800000000000001</v>
      </c>
      <c r="E26" s="81">
        <f t="shared" si="2"/>
        <v>4.3000000000000038E-2</v>
      </c>
      <c r="F26" s="81">
        <v>0.28499999999999998</v>
      </c>
      <c r="G26" s="81">
        <f t="shared" si="1"/>
        <v>0.16000000000000003</v>
      </c>
      <c r="H26" s="135"/>
    </row>
    <row r="27" spans="1:8">
      <c r="A27" s="5">
        <v>1999</v>
      </c>
      <c r="B27" s="81">
        <v>0.435</v>
      </c>
      <c r="C27" s="81">
        <f t="shared" si="0"/>
        <v>0.10999999999999999</v>
      </c>
      <c r="D27" s="81">
        <v>0.32500000000000001</v>
      </c>
      <c r="E27" s="81">
        <f t="shared" si="2"/>
        <v>4.2000000000000037E-2</v>
      </c>
      <c r="F27" s="81">
        <v>0.28299999999999997</v>
      </c>
      <c r="G27" s="81">
        <f t="shared" si="1"/>
        <v>0.15200000000000002</v>
      </c>
      <c r="H27" s="135"/>
    </row>
    <row r="28" spans="1:8">
      <c r="A28" s="197">
        <v>2000</v>
      </c>
      <c r="B28" s="198">
        <v>0.438</v>
      </c>
      <c r="C28" s="198">
        <f t="shared" si="0"/>
        <v>0.10499999999999998</v>
      </c>
      <c r="D28" s="198">
        <v>0.33300000000000002</v>
      </c>
      <c r="E28" s="198">
        <f t="shared" si="2"/>
        <v>4.2000000000000037E-2</v>
      </c>
      <c r="F28" s="198">
        <v>0.29099999999999998</v>
      </c>
      <c r="G28" s="198">
        <f t="shared" si="1"/>
        <v>0.14700000000000002</v>
      </c>
      <c r="H28" s="135">
        <v>0.5</v>
      </c>
    </row>
    <row r="29" spans="1:8">
      <c r="A29" s="5">
        <v>2001</v>
      </c>
      <c r="B29" s="81">
        <v>0.443</v>
      </c>
      <c r="C29" s="81">
        <f t="shared" si="0"/>
        <v>0.11199999999999999</v>
      </c>
      <c r="D29" s="81">
        <v>0.33100000000000002</v>
      </c>
      <c r="E29" s="81">
        <f t="shared" si="2"/>
        <v>4.1000000000000036E-2</v>
      </c>
      <c r="F29" s="81">
        <v>0.28999999999999998</v>
      </c>
      <c r="G29" s="81">
        <f t="shared" si="1"/>
        <v>0.15300000000000002</v>
      </c>
      <c r="H29" s="135"/>
    </row>
    <row r="30" spans="1:8">
      <c r="A30" s="5">
        <v>2002</v>
      </c>
      <c r="B30" s="81">
        <v>0.44600000000000001</v>
      </c>
      <c r="C30" s="81">
        <f t="shared" si="0"/>
        <v>0.11499999999999999</v>
      </c>
      <c r="D30" s="81">
        <v>0.33100000000000002</v>
      </c>
      <c r="E30" s="81">
        <f t="shared" si="2"/>
        <v>4.0000000000000036E-2</v>
      </c>
      <c r="F30" s="81">
        <v>0.29099999999999998</v>
      </c>
      <c r="G30" s="81">
        <f t="shared" si="1"/>
        <v>0.15500000000000003</v>
      </c>
      <c r="H30" s="135"/>
    </row>
    <row r="31" spans="1:8">
      <c r="A31" s="5">
        <v>2003</v>
      </c>
      <c r="B31" s="81">
        <v>0.45100000000000001</v>
      </c>
      <c r="C31" s="81">
        <f t="shared" si="0"/>
        <v>0.11399999999999999</v>
      </c>
      <c r="D31" s="81">
        <v>0.33700000000000002</v>
      </c>
      <c r="E31" s="81">
        <f t="shared" si="2"/>
        <v>4.0000000000000036E-2</v>
      </c>
      <c r="F31" s="81">
        <v>0.29699999999999999</v>
      </c>
      <c r="G31" s="81">
        <f t="shared" si="1"/>
        <v>0.15400000000000003</v>
      </c>
      <c r="H31" s="135"/>
    </row>
    <row r="32" spans="1:8">
      <c r="A32" s="5">
        <v>2004</v>
      </c>
      <c r="B32" s="81">
        <v>0.44900000000000001</v>
      </c>
      <c r="C32" s="81">
        <f t="shared" si="0"/>
        <v>0.11099999999999999</v>
      </c>
      <c r="D32" s="81">
        <v>0.33800000000000002</v>
      </c>
      <c r="E32" s="81">
        <f t="shared" si="2"/>
        <v>4.0000000000000036E-2</v>
      </c>
      <c r="F32" s="81">
        <v>0.29799999999999999</v>
      </c>
      <c r="G32" s="81">
        <f t="shared" si="1"/>
        <v>0.15100000000000002</v>
      </c>
      <c r="H32" s="135"/>
    </row>
    <row r="33" spans="1:8">
      <c r="A33" s="5">
        <v>2005</v>
      </c>
      <c r="B33" s="81">
        <v>0.442</v>
      </c>
      <c r="C33" s="81">
        <f t="shared" si="0"/>
        <v>0.11099999999999999</v>
      </c>
      <c r="D33" s="81">
        <v>0.33100000000000002</v>
      </c>
      <c r="E33" s="81">
        <f t="shared" si="2"/>
        <v>3.8000000000000034E-2</v>
      </c>
      <c r="F33" s="81">
        <v>0.29299999999999998</v>
      </c>
      <c r="G33" s="81">
        <f t="shared" si="1"/>
        <v>0.14900000000000002</v>
      </c>
      <c r="H33" s="135"/>
    </row>
    <row r="34" spans="1:8">
      <c r="A34" s="5">
        <v>2006</v>
      </c>
      <c r="B34" s="81">
        <v>0.433</v>
      </c>
      <c r="C34" s="81">
        <f t="shared" si="0"/>
        <v>0.10999999999999999</v>
      </c>
      <c r="D34" s="81">
        <v>0.32300000000000001</v>
      </c>
      <c r="E34" s="81">
        <f t="shared" si="2"/>
        <v>3.8000000000000034E-2</v>
      </c>
      <c r="F34" s="81">
        <v>0.28499999999999998</v>
      </c>
      <c r="G34" s="81">
        <f t="shared" si="1"/>
        <v>0.14800000000000002</v>
      </c>
      <c r="H34" s="135"/>
    </row>
    <row r="35" spans="1:8">
      <c r="A35" s="5">
        <v>2007</v>
      </c>
      <c r="B35" s="81">
        <v>0.42899999999999999</v>
      </c>
      <c r="C35" s="81">
        <f t="shared" si="0"/>
        <v>0.10599999999999998</v>
      </c>
      <c r="D35" s="81">
        <v>0.32300000000000001</v>
      </c>
      <c r="E35" s="81">
        <f t="shared" si="2"/>
        <v>4.0000000000000036E-2</v>
      </c>
      <c r="F35" s="81">
        <v>0.28299999999999997</v>
      </c>
      <c r="G35" s="81">
        <f t="shared" si="1"/>
        <v>0.14600000000000002</v>
      </c>
      <c r="H35" s="135"/>
    </row>
    <row r="36" spans="1:8">
      <c r="A36" s="5">
        <v>2008</v>
      </c>
      <c r="B36" s="81">
        <v>0.41799999999999998</v>
      </c>
      <c r="C36" s="81">
        <f t="shared" si="0"/>
        <v>9.9999999999999978E-2</v>
      </c>
      <c r="D36" s="81">
        <v>0.318</v>
      </c>
      <c r="E36" s="81">
        <f t="shared" si="2"/>
        <v>3.8999999999999979E-2</v>
      </c>
      <c r="F36" s="81">
        <v>0.27900000000000003</v>
      </c>
      <c r="G36" s="81">
        <f t="shared" si="1"/>
        <v>0.13899999999999996</v>
      </c>
      <c r="H36" s="135"/>
    </row>
    <row r="37" spans="1:8">
      <c r="A37" s="5">
        <v>2009</v>
      </c>
      <c r="B37" s="81">
        <v>0.432</v>
      </c>
      <c r="C37" s="81">
        <f t="shared" si="0"/>
        <v>0.10699999999999998</v>
      </c>
      <c r="D37" s="81">
        <v>0.32500000000000001</v>
      </c>
      <c r="E37" s="81">
        <f t="shared" si="2"/>
        <v>3.8000000000000034E-2</v>
      </c>
      <c r="F37" s="81">
        <v>0.28699999999999998</v>
      </c>
      <c r="G37" s="81">
        <f t="shared" si="1"/>
        <v>0.14500000000000002</v>
      </c>
      <c r="H37" s="135"/>
    </row>
    <row r="38" spans="1:8">
      <c r="A38" s="5">
        <v>2010</v>
      </c>
      <c r="B38" s="81">
        <v>0.42499999999999999</v>
      </c>
      <c r="C38" s="81">
        <f t="shared" si="0"/>
        <v>0.10799999999999998</v>
      </c>
      <c r="D38" s="81">
        <v>0.317</v>
      </c>
      <c r="E38" s="81">
        <f t="shared" si="2"/>
        <v>3.7999999999999978E-2</v>
      </c>
      <c r="F38" s="81">
        <v>0.27900000000000003</v>
      </c>
      <c r="G38" s="81">
        <f t="shared" si="1"/>
        <v>0.14599999999999996</v>
      </c>
      <c r="H38" s="135"/>
    </row>
    <row r="39" spans="1:8">
      <c r="A39" s="5">
        <v>2011</v>
      </c>
      <c r="B39" s="81">
        <v>0.435</v>
      </c>
      <c r="C39" s="81">
        <f t="shared" si="0"/>
        <v>0.10899999999999999</v>
      </c>
      <c r="D39" s="81">
        <v>0.32600000000000001</v>
      </c>
      <c r="E39" s="81">
        <f t="shared" si="2"/>
        <v>3.7000000000000033E-2</v>
      </c>
      <c r="F39" s="81">
        <v>0.28899999999999998</v>
      </c>
      <c r="G39" s="81">
        <f t="shared" si="1"/>
        <v>0.14600000000000002</v>
      </c>
      <c r="H39" s="135"/>
    </row>
    <row r="40" spans="1:8">
      <c r="A40" s="5">
        <v>2012</v>
      </c>
      <c r="B40" s="81">
        <v>0.42599999999999999</v>
      </c>
      <c r="C40" s="81">
        <f t="shared" si="0"/>
        <v>0.10199999999999998</v>
      </c>
      <c r="D40" s="81">
        <v>0.32400000000000001</v>
      </c>
      <c r="E40" s="81">
        <f t="shared" si="2"/>
        <v>3.6000000000000032E-2</v>
      </c>
      <c r="F40" s="81">
        <v>0.28799999999999998</v>
      </c>
      <c r="G40" s="81">
        <f t="shared" si="1"/>
        <v>0.13800000000000001</v>
      </c>
      <c r="H40" s="135"/>
    </row>
    <row r="41" spans="1:8">
      <c r="A41" s="5">
        <v>2013</v>
      </c>
      <c r="B41" s="81">
        <v>0.42599999999999999</v>
      </c>
      <c r="C41" s="81">
        <f t="shared" si="0"/>
        <v>0.10699999999999998</v>
      </c>
      <c r="D41" s="81">
        <v>0.31900000000000001</v>
      </c>
      <c r="E41" s="81">
        <f t="shared" si="2"/>
        <v>3.6000000000000032E-2</v>
      </c>
      <c r="F41" s="81">
        <v>0.28299999999999997</v>
      </c>
      <c r="G41" s="81">
        <f t="shared" si="1"/>
        <v>0.14300000000000002</v>
      </c>
      <c r="H41" s="135"/>
    </row>
    <row r="42" spans="1:8">
      <c r="A42" s="5">
        <v>2014</v>
      </c>
      <c r="B42" s="81">
        <v>0.42199999999999999</v>
      </c>
      <c r="C42" s="81">
        <f t="shared" si="0"/>
        <v>0.10599999999999998</v>
      </c>
      <c r="D42" s="81">
        <v>0.316</v>
      </c>
      <c r="E42" s="81">
        <f t="shared" si="2"/>
        <v>3.8999999999999979E-2</v>
      </c>
      <c r="F42" s="81">
        <v>0.27700000000000002</v>
      </c>
      <c r="G42" s="81">
        <f t="shared" si="1"/>
        <v>0.14499999999999996</v>
      </c>
      <c r="H42" s="135"/>
    </row>
    <row r="43" spans="1:8">
      <c r="A43" s="5">
        <v>2015</v>
      </c>
      <c r="B43" s="81">
        <v>0.41299999999999998</v>
      </c>
      <c r="C43" s="81">
        <f t="shared" si="0"/>
        <v>0.10299999999999998</v>
      </c>
      <c r="D43" s="81">
        <v>0.31</v>
      </c>
      <c r="E43" s="81">
        <f t="shared" si="2"/>
        <v>3.6999999999999977E-2</v>
      </c>
      <c r="F43" s="81">
        <v>0.27300000000000002</v>
      </c>
      <c r="G43" s="81">
        <f t="shared" si="1"/>
        <v>0.13999999999999996</v>
      </c>
      <c r="H43" s="135"/>
    </row>
    <row r="44" spans="1:8">
      <c r="A44" s="5">
        <v>2016</v>
      </c>
      <c r="B44" s="81">
        <v>0.42799999999999999</v>
      </c>
      <c r="C44" s="81">
        <f t="shared" si="0"/>
        <v>0.11299999999999999</v>
      </c>
      <c r="D44" s="81">
        <v>0.315</v>
      </c>
      <c r="E44" s="81">
        <f t="shared" si="2"/>
        <v>3.6999999999999977E-2</v>
      </c>
      <c r="F44" s="81">
        <v>0.27800000000000002</v>
      </c>
      <c r="G44" s="81">
        <f t="shared" si="1"/>
        <v>0.14999999999999997</v>
      </c>
      <c r="H44" s="135"/>
    </row>
    <row r="45" spans="1:8">
      <c r="A45" s="5">
        <v>2017</v>
      </c>
      <c r="B45" s="81">
        <v>0.42799999999999999</v>
      </c>
      <c r="C45" s="81">
        <f t="shared" si="0"/>
        <v>0.11299999999999999</v>
      </c>
      <c r="D45" s="81">
        <v>0.315</v>
      </c>
      <c r="E45" s="81">
        <f t="shared" si="2"/>
        <v>3.8999999999999979E-2</v>
      </c>
      <c r="F45" s="81">
        <v>0.27600000000000002</v>
      </c>
      <c r="G45" s="81">
        <f t="shared" si="1"/>
        <v>0.15199999999999997</v>
      </c>
      <c r="H45" s="135"/>
    </row>
    <row r="46" spans="1:8">
      <c r="A46" s="5">
        <v>2018</v>
      </c>
      <c r="B46" s="81">
        <v>0.439</v>
      </c>
      <c r="C46" s="81">
        <f t="shared" si="0"/>
        <v>0.10999999999999999</v>
      </c>
      <c r="D46" s="81">
        <v>0.32900000000000001</v>
      </c>
      <c r="E46" s="81">
        <f t="shared" si="2"/>
        <v>4.7999999999999987E-2</v>
      </c>
      <c r="F46" s="81">
        <v>0.28100000000000003</v>
      </c>
      <c r="G46" s="81">
        <f t="shared" si="1"/>
        <v>0.15799999999999997</v>
      </c>
      <c r="H46" s="135"/>
    </row>
    <row r="47" spans="1:8">
      <c r="A47" s="5">
        <v>2019</v>
      </c>
      <c r="B47" s="81">
        <v>0.41199999999999998</v>
      </c>
      <c r="C47" s="81">
        <f t="shared" si="0"/>
        <v>0.10599999999999998</v>
      </c>
      <c r="D47" s="81">
        <v>0.30599999999999999</v>
      </c>
      <c r="E47" s="81">
        <f t="shared" si="2"/>
        <v>3.5999999999999976E-2</v>
      </c>
      <c r="F47" s="81">
        <v>0.27</v>
      </c>
      <c r="G47" s="81">
        <f t="shared" si="1"/>
        <v>0.14199999999999996</v>
      </c>
      <c r="H47" s="135"/>
    </row>
    <row r="48" spans="1:8">
      <c r="B48" s="81"/>
      <c r="C48" s="81"/>
      <c r="D48" s="81"/>
      <c r="E48" s="81"/>
      <c r="F48" s="81"/>
      <c r="G48" s="81"/>
      <c r="H48" s="135"/>
    </row>
    <row r="49" spans="1:9">
      <c r="A49" s="5" t="s">
        <v>67</v>
      </c>
    </row>
    <row r="50" spans="1:9">
      <c r="A50" s="5" t="s">
        <v>69</v>
      </c>
      <c r="B50" s="143">
        <f>100*((B47/B4)^(1/43)-1)</f>
        <v>5.7158796232892328E-2</v>
      </c>
      <c r="C50" s="143">
        <f t="shared" ref="C50:F50" si="3">100*((C47/C4)^(1/43)-1)</f>
        <v>6.6789982681125792E-2</v>
      </c>
      <c r="D50" s="143">
        <f t="shared" si="3"/>
        <v>5.3831992502240134E-2</v>
      </c>
      <c r="E50" s="143">
        <f t="shared" si="3"/>
        <v>0.50411082270520602</v>
      </c>
      <c r="F50" s="143">
        <f t="shared" si="3"/>
        <v>0</v>
      </c>
      <c r="G50" s="143">
        <f t="shared" ref="G50" si="4">100*((G47/G4)^(1/43)-1)</f>
        <v>0.16997018122386631</v>
      </c>
      <c r="H50" s="27"/>
      <c r="I50" s="27"/>
    </row>
    <row r="51" spans="1:9">
      <c r="A51" s="5" t="s">
        <v>46</v>
      </c>
      <c r="B51" s="143">
        <f>100*((B28/B4)^(1/24)-1)</f>
        <v>0.35800105575978236</v>
      </c>
      <c r="C51" s="143">
        <f t="shared" ref="C51:F51" si="5">100*((C28/C4)^(1/24)-1)</f>
        <v>8.0162787901594257E-2</v>
      </c>
      <c r="D51" s="143">
        <f t="shared" si="5"/>
        <v>0.44975385612029406</v>
      </c>
      <c r="E51" s="143">
        <f t="shared" si="5"/>
        <v>1.5551933125312889</v>
      </c>
      <c r="F51" s="143">
        <f t="shared" si="5"/>
        <v>0.31257628811689475</v>
      </c>
      <c r="G51" s="143">
        <f t="shared" ref="G51" si="6">100*((G28/G4)^(1/24)-1)</f>
        <v>0.44946819250490933</v>
      </c>
      <c r="H51" s="27"/>
      <c r="I51" s="27"/>
    </row>
    <row r="52" spans="1:9">
      <c r="A52" s="5" t="s">
        <v>47</v>
      </c>
      <c r="B52" s="143">
        <f>100*((B47/B28)^(1/19)-1)</f>
        <v>-0.32156377280374571</v>
      </c>
      <c r="C52" s="143">
        <f t="shared" ref="C52:F52" si="7">100*((C47/C28)^(1/19)-1)</f>
        <v>4.9900572271810439E-2</v>
      </c>
      <c r="D52" s="143">
        <f t="shared" si="7"/>
        <v>-0.44405005375269813</v>
      </c>
      <c r="E52" s="143">
        <f t="shared" si="7"/>
        <v>-0.80803705460975594</v>
      </c>
      <c r="F52" s="143">
        <f t="shared" si="7"/>
        <v>-0.39344139466603867</v>
      </c>
      <c r="G52" s="143">
        <f t="shared" ref="G52" si="8">100*((G47/G28)^(1/19)-1)</f>
        <v>-0.18196860011205906</v>
      </c>
      <c r="H52" s="27"/>
      <c r="I52" s="27"/>
    </row>
    <row r="53" spans="1:9">
      <c r="A53" s="5" t="s">
        <v>197</v>
      </c>
    </row>
    <row r="54" spans="1:9">
      <c r="A54" s="5" t="s">
        <v>69</v>
      </c>
      <c r="B54" s="81">
        <f>B47-B4</f>
        <v>9.9999999999999534E-3</v>
      </c>
      <c r="C54" s="81">
        <f t="shared" ref="C54:G54" si="9">C47-C4</f>
        <v>2.9999999999999472E-3</v>
      </c>
      <c r="D54" s="81">
        <f t="shared" si="9"/>
        <v>7.0000000000000062E-3</v>
      </c>
      <c r="E54" s="81">
        <f t="shared" si="9"/>
        <v>7.0000000000000062E-3</v>
      </c>
      <c r="F54" s="81">
        <f t="shared" si="9"/>
        <v>0</v>
      </c>
      <c r="G54" s="81">
        <f t="shared" si="9"/>
        <v>9.9999999999999534E-3</v>
      </c>
    </row>
    <row r="55" spans="1:9">
      <c r="A55" s="5" t="s">
        <v>46</v>
      </c>
      <c r="B55" s="81">
        <f>B28-B4</f>
        <v>3.5999999999999976E-2</v>
      </c>
      <c r="C55" s="81">
        <f t="shared" ref="C55:G55" si="10">C28-C4</f>
        <v>1.9999999999999463E-3</v>
      </c>
      <c r="D55" s="81">
        <f t="shared" si="10"/>
        <v>3.400000000000003E-2</v>
      </c>
      <c r="E55" s="81">
        <f t="shared" si="10"/>
        <v>1.3000000000000067E-2</v>
      </c>
      <c r="F55" s="81">
        <f t="shared" si="10"/>
        <v>2.0999999999999963E-2</v>
      </c>
      <c r="G55" s="81">
        <f t="shared" si="10"/>
        <v>1.5000000000000013E-2</v>
      </c>
    </row>
    <row r="56" spans="1:9">
      <c r="A56" s="5" t="s">
        <v>47</v>
      </c>
      <c r="B56" s="81">
        <f>B47-B28</f>
        <v>-2.6000000000000023E-2</v>
      </c>
      <c r="C56" s="81">
        <f t="shared" ref="C56:G56" si="11">C47-C28</f>
        <v>1.0000000000000009E-3</v>
      </c>
      <c r="D56" s="81">
        <f t="shared" si="11"/>
        <v>-2.7000000000000024E-2</v>
      </c>
      <c r="E56" s="81">
        <f t="shared" si="11"/>
        <v>-6.0000000000000608E-3</v>
      </c>
      <c r="F56" s="81">
        <f t="shared" si="11"/>
        <v>-2.0999999999999963E-2</v>
      </c>
      <c r="G56" s="81">
        <f t="shared" si="11"/>
        <v>-5.00000000000006E-3</v>
      </c>
    </row>
    <row r="58" spans="1:9">
      <c r="A58" s="5" t="s">
        <v>543</v>
      </c>
    </row>
    <row r="59" spans="1:9">
      <c r="B59" s="328">
        <v>1976</v>
      </c>
      <c r="C59" s="328"/>
      <c r="D59" s="328">
        <v>2000</v>
      </c>
      <c r="E59" s="328"/>
      <c r="F59" s="328">
        <v>2019</v>
      </c>
      <c r="G59" s="328"/>
    </row>
    <row r="60" spans="1:9">
      <c r="A60" s="5" t="s">
        <v>544</v>
      </c>
      <c r="B60" s="174" t="s">
        <v>43</v>
      </c>
      <c r="C60" s="174" t="s">
        <v>44</v>
      </c>
      <c r="D60" s="174" t="s">
        <v>43</v>
      </c>
      <c r="E60" s="174" t="s">
        <v>44</v>
      </c>
      <c r="F60" s="174" t="s">
        <v>43</v>
      </c>
      <c r="G60" s="174" t="s">
        <v>44</v>
      </c>
    </row>
    <row r="61" spans="1:9">
      <c r="A61" s="5" t="s">
        <v>192</v>
      </c>
      <c r="B61" s="81">
        <v>0.38400000000000001</v>
      </c>
      <c r="C61" s="81">
        <v>0.40200000000000002</v>
      </c>
      <c r="D61" s="199">
        <v>0.439</v>
      </c>
      <c r="E61" s="81">
        <v>0.438</v>
      </c>
      <c r="F61" s="81">
        <v>0.42099999999999999</v>
      </c>
      <c r="G61" s="81">
        <v>0.41199999999999998</v>
      </c>
    </row>
    <row r="62" spans="1:9">
      <c r="A62" s="5" t="s">
        <v>37</v>
      </c>
      <c r="B62" s="81">
        <v>0.33</v>
      </c>
      <c r="C62" s="81">
        <v>0.29899999999999999</v>
      </c>
      <c r="D62" s="199">
        <v>0.36199999999999999</v>
      </c>
      <c r="E62" s="81">
        <v>0.33300000000000002</v>
      </c>
      <c r="F62" s="81">
        <v>0.33800000000000002</v>
      </c>
      <c r="G62" s="81">
        <v>0.30599999999999999</v>
      </c>
    </row>
    <row r="63" spans="1:9">
      <c r="A63" s="5" t="s">
        <v>195</v>
      </c>
      <c r="B63" s="81">
        <v>0.3</v>
      </c>
      <c r="C63" s="81">
        <v>0.27</v>
      </c>
      <c r="D63" s="199">
        <v>0.317</v>
      </c>
      <c r="E63" s="81">
        <v>0.29099999999999998</v>
      </c>
      <c r="F63" s="81">
        <v>0.29899999999999999</v>
      </c>
      <c r="G63" s="81">
        <v>0.27</v>
      </c>
    </row>
    <row r="65" spans="1:4">
      <c r="A65" s="5" t="s">
        <v>545</v>
      </c>
    </row>
    <row r="67" spans="1:4">
      <c r="A67" s="5" t="s">
        <v>544</v>
      </c>
      <c r="B67" s="174">
        <v>1976</v>
      </c>
      <c r="C67" s="174">
        <v>2000</v>
      </c>
      <c r="D67" s="174">
        <v>2019</v>
      </c>
    </row>
    <row r="68" spans="1:4">
      <c r="A68" s="5" t="s">
        <v>192</v>
      </c>
      <c r="B68" s="8">
        <v>104.6875</v>
      </c>
      <c r="C68" s="8">
        <v>99.772209567198175</v>
      </c>
      <c r="D68" s="8">
        <v>97.862232779097383</v>
      </c>
    </row>
    <row r="69" spans="1:4">
      <c r="A69" s="5" t="s">
        <v>37</v>
      </c>
      <c r="B69" s="8">
        <v>90.606060606060595</v>
      </c>
      <c r="C69" s="8">
        <v>91.988950276243102</v>
      </c>
      <c r="D69" s="8">
        <v>90.532544378698219</v>
      </c>
    </row>
    <row r="70" spans="1:4">
      <c r="A70" s="5" t="s">
        <v>195</v>
      </c>
      <c r="B70" s="8">
        <v>90</v>
      </c>
      <c r="C70" s="8">
        <v>91.798107255520492</v>
      </c>
      <c r="D70" s="8">
        <v>90.301003344481614</v>
      </c>
    </row>
    <row r="71" spans="1:4">
      <c r="B71" s="115"/>
      <c r="C71" s="115"/>
      <c r="D71" s="115"/>
    </row>
    <row r="73" spans="1:4">
      <c r="A73" s="5" t="s">
        <v>153</v>
      </c>
    </row>
    <row r="74" spans="1:4">
      <c r="A74" s="5">
        <v>1</v>
      </c>
      <c r="B74" s="5" t="s">
        <v>198</v>
      </c>
    </row>
    <row r="76" spans="1:4">
      <c r="A76" s="5" t="s">
        <v>645</v>
      </c>
    </row>
  </sheetData>
  <mergeCells count="3">
    <mergeCell ref="B59:C59"/>
    <mergeCell ref="D59:E59"/>
    <mergeCell ref="F59:G5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9E99-84FB-724D-A2FD-A2DBD89B0322}">
  <sheetPr codeName="Sheet33"/>
  <dimension ref="A1:H63"/>
  <sheetViews>
    <sheetView zoomScale="75" workbookViewId="0">
      <selection activeCell="A59" sqref="A59"/>
    </sheetView>
  </sheetViews>
  <sheetFormatPr baseColWidth="10" defaultColWidth="20" defaultRowHeight="16"/>
  <cols>
    <col min="1" max="1" width="21.1640625" style="5" customWidth="1"/>
    <col min="2" max="7" width="25.83203125" style="5" customWidth="1"/>
    <col min="8" max="8" width="12.83203125" style="5" hidden="1" customWidth="1"/>
    <col min="9" max="16384" width="20" style="5"/>
  </cols>
  <sheetData>
    <row r="1" spans="1:8">
      <c r="A1" s="3" t="s">
        <v>646</v>
      </c>
    </row>
    <row r="3" spans="1:8">
      <c r="B3" s="135" t="s">
        <v>192</v>
      </c>
      <c r="C3" s="135" t="s">
        <v>193</v>
      </c>
      <c r="D3" s="135" t="s">
        <v>37</v>
      </c>
      <c r="E3" s="135" t="s">
        <v>194</v>
      </c>
      <c r="F3" s="135" t="s">
        <v>195</v>
      </c>
      <c r="G3" s="135" t="s">
        <v>196</v>
      </c>
      <c r="H3" s="135" t="s">
        <v>21</v>
      </c>
    </row>
    <row r="4" spans="1:8">
      <c r="A4" s="5">
        <v>1976</v>
      </c>
      <c r="B4" s="8">
        <v>104.6875</v>
      </c>
      <c r="C4" s="8">
        <v>190.74074074074082</v>
      </c>
      <c r="D4" s="8">
        <v>90.606060606060595</v>
      </c>
      <c r="E4" s="8">
        <v>96.666666666666472</v>
      </c>
      <c r="F4" s="8">
        <v>90.000000000000014</v>
      </c>
      <c r="G4" s="8">
        <v>157.14285714285711</v>
      </c>
      <c r="H4" s="135"/>
    </row>
    <row r="5" spans="1:8">
      <c r="A5" s="5">
        <v>1977</v>
      </c>
      <c r="B5" s="8">
        <v>113.58695652173914</v>
      </c>
      <c r="C5" s="8">
        <v>186.79245283018867</v>
      </c>
      <c r="D5" s="8">
        <v>101.26984126984127</v>
      </c>
      <c r="E5" s="8">
        <v>103.44827586206897</v>
      </c>
      <c r="F5" s="8">
        <v>101.04895104895104</v>
      </c>
      <c r="G5" s="8">
        <v>157.31707317073167</v>
      </c>
      <c r="H5" s="135"/>
    </row>
    <row r="6" spans="1:8">
      <c r="A6" s="5">
        <v>1978</v>
      </c>
      <c r="B6" s="8">
        <v>108.79999999999998</v>
      </c>
      <c r="C6" s="8">
        <v>178.18181818181816</v>
      </c>
      <c r="D6" s="8">
        <v>96.875</v>
      </c>
      <c r="E6" s="8">
        <v>103.44827586206877</v>
      </c>
      <c r="F6" s="8">
        <v>96.219931271477677</v>
      </c>
      <c r="G6" s="8">
        <v>152.38095238095229</v>
      </c>
      <c r="H6" s="135"/>
    </row>
    <row r="7" spans="1:8">
      <c r="A7" s="5">
        <v>1979</v>
      </c>
      <c r="B7" s="8">
        <v>111.7808219178082</v>
      </c>
      <c r="C7" s="8">
        <v>194</v>
      </c>
      <c r="D7" s="8">
        <v>98.73015873015872</v>
      </c>
      <c r="E7" s="8">
        <v>93.103448275862064</v>
      </c>
      <c r="F7" s="8">
        <v>99.300699300699307</v>
      </c>
      <c r="G7" s="8">
        <v>156.96202531645568</v>
      </c>
      <c r="H7" s="135"/>
    </row>
    <row r="8" spans="1:8">
      <c r="A8" s="5">
        <v>1980</v>
      </c>
      <c r="B8" s="8">
        <v>109.72972972972974</v>
      </c>
      <c r="C8" s="8">
        <v>187.71929824561414</v>
      </c>
      <c r="D8" s="8">
        <v>95.527156549520768</v>
      </c>
      <c r="E8" s="8">
        <v>103.7037037037035</v>
      </c>
      <c r="F8" s="8">
        <v>94.755244755244775</v>
      </c>
      <c r="G8" s="8">
        <v>160.71428571428567</v>
      </c>
      <c r="H8" s="135"/>
    </row>
    <row r="9" spans="1:8">
      <c r="A9" s="5">
        <v>1981</v>
      </c>
      <c r="B9" s="8">
        <v>114.90514905149053</v>
      </c>
      <c r="C9" s="8">
        <v>187.49999999999997</v>
      </c>
      <c r="D9" s="8">
        <v>101.91693290734824</v>
      </c>
      <c r="E9" s="8">
        <v>103.57142857142858</v>
      </c>
      <c r="F9" s="8">
        <v>101.75438596491229</v>
      </c>
      <c r="G9" s="8">
        <v>159.52380952380949</v>
      </c>
      <c r="H9" s="135"/>
    </row>
    <row r="10" spans="1:8">
      <c r="A10" s="5">
        <v>1982</v>
      </c>
      <c r="B10" s="8">
        <v>115.20618556701029</v>
      </c>
      <c r="C10" s="8">
        <v>180.88235294117646</v>
      </c>
      <c r="D10" s="8">
        <v>101.25</v>
      </c>
      <c r="E10" s="8">
        <v>103.125</v>
      </c>
      <c r="F10" s="8">
        <v>101.04166666666667</v>
      </c>
      <c r="G10" s="8">
        <v>155.99999999999997</v>
      </c>
      <c r="H10" s="135"/>
    </row>
    <row r="11" spans="1:8">
      <c r="A11" s="5">
        <v>1983</v>
      </c>
      <c r="B11" s="8">
        <v>117.12158808933002</v>
      </c>
      <c r="C11" s="8">
        <v>185.13513513513504</v>
      </c>
      <c r="D11" s="8">
        <v>101.82370820668693</v>
      </c>
      <c r="E11" s="8">
        <v>109.09090909090908</v>
      </c>
      <c r="F11" s="8">
        <v>101.01351351351352</v>
      </c>
      <c r="G11" s="8">
        <v>161.68224299065412</v>
      </c>
      <c r="H11" s="135"/>
    </row>
    <row r="12" spans="1:8">
      <c r="A12" s="5">
        <v>1984</v>
      </c>
      <c r="B12" s="8">
        <v>111.47132169576059</v>
      </c>
      <c r="C12" s="8">
        <v>161.33333333333331</v>
      </c>
      <c r="D12" s="8">
        <v>100</v>
      </c>
      <c r="E12" s="8">
        <v>103.03030303030303</v>
      </c>
      <c r="F12" s="8">
        <v>99.658703071672349</v>
      </c>
      <c r="G12" s="8">
        <v>143.5185185185185</v>
      </c>
      <c r="H12" s="135"/>
    </row>
    <row r="13" spans="1:8">
      <c r="A13" s="5">
        <v>1985</v>
      </c>
      <c r="B13" s="8">
        <v>108.60759493670886</v>
      </c>
      <c r="C13" s="8">
        <v>164.38356164383558</v>
      </c>
      <c r="D13" s="8">
        <v>95.962732919254663</v>
      </c>
      <c r="E13" s="8">
        <v>96.874999999999829</v>
      </c>
      <c r="F13" s="8">
        <v>95.862068965517253</v>
      </c>
      <c r="G13" s="8">
        <v>143.80952380952371</v>
      </c>
      <c r="H13" s="135"/>
    </row>
    <row r="14" spans="1:8">
      <c r="A14" s="5">
        <v>1986</v>
      </c>
      <c r="B14" s="8">
        <v>106.83544303797467</v>
      </c>
      <c r="C14" s="8">
        <v>168.49315068493149</v>
      </c>
      <c r="D14" s="8">
        <v>92.857142857142847</v>
      </c>
      <c r="E14" s="8">
        <v>93.749999999999829</v>
      </c>
      <c r="F14" s="8">
        <v>92.758620689655174</v>
      </c>
      <c r="G14" s="8">
        <v>145.71428571428564</v>
      </c>
      <c r="H14" s="135"/>
    </row>
    <row r="15" spans="1:8">
      <c r="A15" s="5">
        <v>1987</v>
      </c>
      <c r="B15" s="8">
        <v>107.90816326530613</v>
      </c>
      <c r="C15" s="8">
        <v>171.83098591549293</v>
      </c>
      <c r="D15" s="8">
        <v>93.769470404984418</v>
      </c>
      <c r="E15" s="8">
        <v>97.058823529411598</v>
      </c>
      <c r="F15" s="8">
        <v>93.379790940766554</v>
      </c>
      <c r="G15" s="8">
        <v>147.61904761904754</v>
      </c>
      <c r="H15" s="135"/>
    </row>
    <row r="16" spans="1:8">
      <c r="A16" s="5">
        <v>1988</v>
      </c>
      <c r="B16" s="8">
        <v>107.67263427109974</v>
      </c>
      <c r="C16" s="8">
        <v>167.12328767123284</v>
      </c>
      <c r="D16" s="8">
        <v>94.025157232704387</v>
      </c>
      <c r="E16" s="8">
        <v>94.444444444444287</v>
      </c>
      <c r="F16" s="8">
        <v>93.971631205673773</v>
      </c>
      <c r="G16" s="8">
        <v>143.11926605504578</v>
      </c>
      <c r="H16" s="135"/>
    </row>
    <row r="17" spans="1:8">
      <c r="A17" s="5">
        <v>1989</v>
      </c>
      <c r="B17" s="8">
        <v>106.70103092783505</v>
      </c>
      <c r="C17" s="8">
        <v>162.85714285714283</v>
      </c>
      <c r="D17" s="8">
        <v>94.339622641509422</v>
      </c>
      <c r="E17" s="8">
        <v>94.594594594594582</v>
      </c>
      <c r="F17" s="8">
        <v>94.306049822064054</v>
      </c>
      <c r="G17" s="8">
        <v>139.25233644859813</v>
      </c>
      <c r="H17" s="135"/>
    </row>
    <row r="18" spans="1:8">
      <c r="A18" s="5">
        <v>1990</v>
      </c>
      <c r="B18" s="8">
        <v>104.96277915632753</v>
      </c>
      <c r="C18" s="8">
        <v>150.64935064935062</v>
      </c>
      <c r="D18" s="8">
        <v>94.171779141104295</v>
      </c>
      <c r="E18" s="8">
        <v>94.999999999999858</v>
      </c>
      <c r="F18" s="8">
        <v>94.055944055944067</v>
      </c>
      <c r="G18" s="8">
        <v>131.62393162393155</v>
      </c>
      <c r="H18" s="135"/>
    </row>
    <row r="19" spans="1:8">
      <c r="A19" s="5">
        <v>1991</v>
      </c>
      <c r="B19" s="8">
        <v>105.45023696682465</v>
      </c>
      <c r="C19" s="8">
        <v>148.86363636363643</v>
      </c>
      <c r="D19" s="8">
        <v>94.011976047904184</v>
      </c>
      <c r="E19" s="8">
        <v>95.238095238095113</v>
      </c>
      <c r="F19" s="8">
        <v>93.835616438356169</v>
      </c>
      <c r="G19" s="8">
        <v>131.53846153846152</v>
      </c>
      <c r="H19" s="135"/>
    </row>
    <row r="20" spans="1:8">
      <c r="A20" s="5">
        <v>1992</v>
      </c>
      <c r="B20" s="8">
        <v>103.03030303030303</v>
      </c>
      <c r="C20" s="8">
        <v>136.84210526315795</v>
      </c>
      <c r="D20" s="8">
        <v>93.41317365269461</v>
      </c>
      <c r="E20" s="8">
        <v>88.372093023255687</v>
      </c>
      <c r="F20" s="8">
        <v>94.158075601374577</v>
      </c>
      <c r="G20" s="8">
        <v>121.73913043478258</v>
      </c>
      <c r="H20" s="135"/>
    </row>
    <row r="21" spans="1:8">
      <c r="A21" s="5">
        <v>1993</v>
      </c>
      <c r="B21" s="8">
        <v>101.63170163170163</v>
      </c>
      <c r="C21" s="8">
        <v>136.00000000000003</v>
      </c>
      <c r="D21" s="8">
        <v>91.1854103343465</v>
      </c>
      <c r="E21" s="8">
        <v>84.999999999999858</v>
      </c>
      <c r="F21" s="8">
        <v>92.041522491349497</v>
      </c>
      <c r="G21" s="8">
        <v>121.42857142857142</v>
      </c>
      <c r="H21" s="135"/>
    </row>
    <row r="22" spans="1:8">
      <c r="A22" s="5">
        <v>1994</v>
      </c>
      <c r="B22" s="8">
        <v>102.08333333333333</v>
      </c>
      <c r="C22" s="8">
        <v>134.34343434343438</v>
      </c>
      <c r="D22" s="8">
        <v>92.492492492492488</v>
      </c>
      <c r="E22" s="8">
        <v>83.720930232558004</v>
      </c>
      <c r="F22" s="8">
        <v>93.793103448275872</v>
      </c>
      <c r="G22" s="8">
        <v>119.01408450704223</v>
      </c>
      <c r="H22" s="135"/>
    </row>
    <row r="23" spans="1:8">
      <c r="A23" s="5">
        <v>1995</v>
      </c>
      <c r="B23" s="8">
        <v>103.25581395348837</v>
      </c>
      <c r="C23" s="8">
        <v>141.48936170212772</v>
      </c>
      <c r="D23" s="8">
        <v>92.559523809523796</v>
      </c>
      <c r="E23" s="8">
        <v>86.046511627906852</v>
      </c>
      <c r="F23" s="8">
        <v>93.515358361774759</v>
      </c>
      <c r="G23" s="8">
        <v>124.08759124087591</v>
      </c>
      <c r="H23" s="135"/>
    </row>
    <row r="24" spans="1:8">
      <c r="A24" s="5">
        <v>1996</v>
      </c>
      <c r="B24" s="8">
        <v>100</v>
      </c>
      <c r="C24" s="8">
        <v>136.55913978494621</v>
      </c>
      <c r="D24" s="8">
        <v>90.173410404624292</v>
      </c>
      <c r="E24" s="8">
        <v>84.444444444444429</v>
      </c>
      <c r="F24" s="8">
        <v>91.029900332225921</v>
      </c>
      <c r="G24" s="8">
        <v>119.56521739130432</v>
      </c>
      <c r="H24" s="135"/>
    </row>
    <row r="25" spans="1:8">
      <c r="A25" s="5">
        <v>1997</v>
      </c>
      <c r="B25" s="8">
        <v>100.68493150684932</v>
      </c>
      <c r="C25" s="8">
        <v>139.99999999999997</v>
      </c>
      <c r="D25" s="8">
        <v>90.517241379310349</v>
      </c>
      <c r="E25" s="8">
        <v>84.090909090909065</v>
      </c>
      <c r="F25" s="8">
        <v>91.447368421052644</v>
      </c>
      <c r="G25" s="8">
        <v>121.64179104477608</v>
      </c>
      <c r="H25" s="135"/>
    </row>
    <row r="26" spans="1:8">
      <c r="A26" s="5">
        <v>1998</v>
      </c>
      <c r="B26" s="8">
        <v>99.775784753363226</v>
      </c>
      <c r="C26" s="8">
        <v>129.99999999999997</v>
      </c>
      <c r="D26" s="8">
        <v>92.134831460674164</v>
      </c>
      <c r="E26" s="8">
        <v>95.555555555555671</v>
      </c>
      <c r="F26" s="8">
        <v>91.639871382636656</v>
      </c>
      <c r="G26" s="8">
        <v>118.51851851851853</v>
      </c>
      <c r="H26" s="135"/>
    </row>
    <row r="27" spans="1:8">
      <c r="A27" s="5">
        <v>1999</v>
      </c>
      <c r="B27" s="8">
        <v>99.54233409610984</v>
      </c>
      <c r="C27" s="8">
        <v>135.80246913580243</v>
      </c>
      <c r="D27" s="8">
        <v>91.292134831460686</v>
      </c>
      <c r="E27" s="8">
        <v>91.304347826087067</v>
      </c>
      <c r="F27" s="8">
        <v>91.290322580645153</v>
      </c>
      <c r="G27" s="8">
        <v>119.68503937007875</v>
      </c>
      <c r="H27" s="135"/>
    </row>
    <row r="28" spans="1:8">
      <c r="A28" s="5">
        <v>2000</v>
      </c>
      <c r="B28" s="8">
        <v>99.772209567198175</v>
      </c>
      <c r="C28" s="8">
        <v>136.36363636363632</v>
      </c>
      <c r="D28" s="8">
        <v>91.988950276243102</v>
      </c>
      <c r="E28" s="8">
        <v>93.333333333333442</v>
      </c>
      <c r="F28" s="8">
        <v>91.798107255520506</v>
      </c>
      <c r="G28" s="8">
        <v>120.49180327868855</v>
      </c>
      <c r="H28" s="135">
        <v>200</v>
      </c>
    </row>
    <row r="29" spans="1:8">
      <c r="A29" s="5">
        <v>2001</v>
      </c>
      <c r="B29" s="8">
        <v>100.68181818181819</v>
      </c>
      <c r="C29" s="8">
        <v>139.99999999999997</v>
      </c>
      <c r="D29" s="8">
        <v>91.944444444444457</v>
      </c>
      <c r="E29" s="8">
        <v>97.619047619047748</v>
      </c>
      <c r="F29" s="8">
        <v>91.194968553459105</v>
      </c>
      <c r="G29" s="8">
        <v>125.4098360655738</v>
      </c>
      <c r="H29" s="135"/>
    </row>
    <row r="30" spans="1:8">
      <c r="A30" s="5">
        <v>2002</v>
      </c>
      <c r="B30" s="8">
        <v>101.59453302961276</v>
      </c>
      <c r="C30" s="8">
        <v>145.56962025316452</v>
      </c>
      <c r="D30" s="8">
        <v>91.944444444444457</v>
      </c>
      <c r="E30" s="8">
        <v>95.238095238095369</v>
      </c>
      <c r="F30" s="8">
        <v>91.50943396226414</v>
      </c>
      <c r="G30" s="8">
        <v>128.09917355371906</v>
      </c>
      <c r="H30" s="135"/>
    </row>
    <row r="31" spans="1:8">
      <c r="A31" s="5">
        <v>2003</v>
      </c>
      <c r="B31" s="8">
        <v>103.20366132723113</v>
      </c>
      <c r="C31" s="8">
        <v>144.30379746835439</v>
      </c>
      <c r="D31" s="8">
        <v>94.134078212290518</v>
      </c>
      <c r="E31" s="8">
        <v>95.238095238095369</v>
      </c>
      <c r="F31" s="8">
        <v>93.987341772151893</v>
      </c>
      <c r="G31" s="8">
        <v>127.27272727272729</v>
      </c>
      <c r="H31" s="135"/>
    </row>
    <row r="32" spans="1:8">
      <c r="A32" s="5">
        <v>2004</v>
      </c>
      <c r="B32" s="8">
        <v>101.58371040723981</v>
      </c>
      <c r="C32" s="8">
        <v>144.15584415584414</v>
      </c>
      <c r="D32" s="8">
        <v>92.602739726027409</v>
      </c>
      <c r="E32" s="8">
        <v>93.023255813953611</v>
      </c>
      <c r="F32" s="8">
        <v>92.546583850931668</v>
      </c>
      <c r="G32" s="8">
        <v>125.83333333333334</v>
      </c>
      <c r="H32" s="135"/>
    </row>
    <row r="33" spans="1:8">
      <c r="A33" s="5">
        <v>2005</v>
      </c>
      <c r="B33" s="8">
        <v>101.60919540229885</v>
      </c>
      <c r="C33" s="8">
        <v>144.15584415584414</v>
      </c>
      <c r="D33" s="8">
        <v>92.458100558659225</v>
      </c>
      <c r="E33" s="8">
        <v>92.682926829268425</v>
      </c>
      <c r="F33" s="8">
        <v>92.429022082018918</v>
      </c>
      <c r="G33" s="8">
        <v>126.27118644067799</v>
      </c>
      <c r="H33" s="135"/>
    </row>
    <row r="34" spans="1:8">
      <c r="A34" s="5">
        <v>2006</v>
      </c>
      <c r="B34" s="8">
        <v>100</v>
      </c>
      <c r="C34" s="8">
        <v>142.8571428571428</v>
      </c>
      <c r="D34" s="8">
        <v>90.730337078651687</v>
      </c>
      <c r="E34" s="8">
        <v>95.000000000000128</v>
      </c>
      <c r="F34" s="8">
        <v>90.189873417721515</v>
      </c>
      <c r="G34" s="8">
        <v>126.49572649572653</v>
      </c>
      <c r="H34" s="135"/>
    </row>
    <row r="35" spans="1:8">
      <c r="A35" s="5">
        <v>2007</v>
      </c>
      <c r="B35" s="8">
        <v>98.84792626728111</v>
      </c>
      <c r="C35" s="8">
        <v>139.47368421052627</v>
      </c>
      <c r="D35" s="8">
        <v>90.22346368715084</v>
      </c>
      <c r="E35" s="8">
        <v>95.238095238095369</v>
      </c>
      <c r="F35" s="8">
        <v>89.556962025316437</v>
      </c>
      <c r="G35" s="8">
        <v>123.72881355932205</v>
      </c>
      <c r="H35" s="135"/>
    </row>
    <row r="36" spans="1:8">
      <c r="A36" s="5">
        <v>2008</v>
      </c>
      <c r="B36" s="8">
        <v>97.20930232558139</v>
      </c>
      <c r="C36" s="8">
        <v>133.33333333333329</v>
      </c>
      <c r="D36" s="8">
        <v>89.577464788732399</v>
      </c>
      <c r="E36" s="8">
        <v>95.121951219512198</v>
      </c>
      <c r="F36" s="8">
        <v>88.853503184713375</v>
      </c>
      <c r="G36" s="8">
        <v>119.82758620689651</v>
      </c>
      <c r="H36" s="135"/>
    </row>
    <row r="37" spans="1:8">
      <c r="A37" s="5">
        <v>2009</v>
      </c>
      <c r="B37" s="8">
        <v>98.630136986301366</v>
      </c>
      <c r="C37" s="8">
        <v>128.91566265060237</v>
      </c>
      <c r="D37" s="8">
        <v>91.549295774647902</v>
      </c>
      <c r="E37" s="8">
        <v>95.000000000000128</v>
      </c>
      <c r="F37" s="8">
        <v>91.1111111111111</v>
      </c>
      <c r="G37" s="8">
        <v>117.88617886178864</v>
      </c>
      <c r="H37" s="135"/>
    </row>
    <row r="38" spans="1:8">
      <c r="A38" s="5">
        <v>2010</v>
      </c>
      <c r="B38" s="8">
        <v>96.371882086167787</v>
      </c>
      <c r="C38" s="8">
        <v>127.05882352941171</v>
      </c>
      <c r="D38" s="8">
        <v>89.044943820224717</v>
      </c>
      <c r="E38" s="8">
        <v>92.682926829268283</v>
      </c>
      <c r="F38" s="8">
        <v>88.571428571428584</v>
      </c>
      <c r="G38" s="8">
        <v>115.87301587301585</v>
      </c>
      <c r="H38" s="135"/>
    </row>
    <row r="39" spans="1:8">
      <c r="A39" s="5">
        <v>2011</v>
      </c>
      <c r="B39" s="8">
        <v>100.46189376443418</v>
      </c>
      <c r="C39" s="8">
        <v>134.56790123456784</v>
      </c>
      <c r="D39" s="8">
        <v>92.613636363636374</v>
      </c>
      <c r="E39" s="8">
        <v>90.243902439024509</v>
      </c>
      <c r="F39" s="8">
        <v>92.926045016077168</v>
      </c>
      <c r="G39" s="8">
        <v>119.67213114754099</v>
      </c>
      <c r="H39" s="135"/>
    </row>
    <row r="40" spans="1:8">
      <c r="A40" s="5">
        <v>2012</v>
      </c>
      <c r="B40" s="8">
        <v>98.383371824480363</v>
      </c>
      <c r="C40" s="8">
        <v>129.11392405063287</v>
      </c>
      <c r="D40" s="8">
        <v>91.525423728813564</v>
      </c>
      <c r="E40" s="8">
        <v>94.736842105263293</v>
      </c>
      <c r="F40" s="8">
        <v>91.139240506329116</v>
      </c>
      <c r="G40" s="8">
        <v>117.94871794871796</v>
      </c>
      <c r="H40" s="135"/>
    </row>
    <row r="41" spans="1:8">
      <c r="A41" s="5">
        <v>2013</v>
      </c>
      <c r="B41" s="8">
        <v>97.482837528604122</v>
      </c>
      <c r="C41" s="8">
        <v>135.44303797468348</v>
      </c>
      <c r="D41" s="8">
        <v>89.106145251396654</v>
      </c>
      <c r="E41" s="8">
        <v>90.000000000000128</v>
      </c>
      <c r="F41" s="8">
        <v>88.993710691823892</v>
      </c>
      <c r="G41" s="8">
        <v>120.16806722689077</v>
      </c>
      <c r="H41" s="135"/>
    </row>
    <row r="42" spans="1:8">
      <c r="A42" s="5">
        <v>2014</v>
      </c>
      <c r="B42" s="8">
        <v>98.829039812646371</v>
      </c>
      <c r="C42" s="8">
        <v>141.33333333333329</v>
      </c>
      <c r="D42" s="8">
        <v>89.77272727272728</v>
      </c>
      <c r="E42" s="8">
        <v>95.121951219512198</v>
      </c>
      <c r="F42" s="8">
        <v>89.067524115755631</v>
      </c>
      <c r="G42" s="8">
        <v>124.99999999999997</v>
      </c>
      <c r="H42" s="135"/>
    </row>
    <row r="43" spans="1:8">
      <c r="A43" s="5">
        <v>2015</v>
      </c>
      <c r="B43" s="8">
        <v>94.724770642201833</v>
      </c>
      <c r="C43" s="8">
        <v>125.60975609756093</v>
      </c>
      <c r="D43" s="8">
        <v>87.570621468926561</v>
      </c>
      <c r="E43" s="8">
        <v>92.5</v>
      </c>
      <c r="F43" s="8">
        <v>86.942675159235677</v>
      </c>
      <c r="G43" s="8">
        <v>114.75409836065572</v>
      </c>
      <c r="H43" s="135"/>
    </row>
    <row r="44" spans="1:8">
      <c r="A44" s="5">
        <v>2016</v>
      </c>
      <c r="B44" s="8">
        <v>99.074074074074076</v>
      </c>
      <c r="C44" s="8">
        <v>132.94117647058818</v>
      </c>
      <c r="D44" s="8">
        <v>90.778097982708942</v>
      </c>
      <c r="E44" s="8">
        <v>90.243902439024382</v>
      </c>
      <c r="F44" s="8">
        <v>90.849673202614383</v>
      </c>
      <c r="G44" s="8">
        <v>119.04761904761902</v>
      </c>
      <c r="H44" s="135"/>
    </row>
    <row r="45" spans="1:8">
      <c r="A45" s="5">
        <v>2017</v>
      </c>
      <c r="B45" s="8">
        <v>97.494305239179951</v>
      </c>
      <c r="C45" s="8">
        <v>129.88505747126433</v>
      </c>
      <c r="D45" s="8">
        <v>89.48863636363636</v>
      </c>
      <c r="E45" s="8">
        <v>92.857142857142847</v>
      </c>
      <c r="F45" s="8">
        <v>89.032258064516128</v>
      </c>
      <c r="G45" s="8">
        <v>117.82945736434107</v>
      </c>
      <c r="H45" s="135"/>
    </row>
    <row r="46" spans="1:8">
      <c r="A46" s="5">
        <v>2018</v>
      </c>
      <c r="B46" s="8">
        <v>102.57009345794393</v>
      </c>
      <c r="C46" s="8">
        <v>132.53012048192767</v>
      </c>
      <c r="D46" s="8">
        <v>95.362318840579718</v>
      </c>
      <c r="E46" s="78">
        <v>114.28571428571431</v>
      </c>
      <c r="F46" s="8">
        <v>92.739273927392745</v>
      </c>
      <c r="G46" s="8">
        <v>126.39999999999998</v>
      </c>
      <c r="H46" s="135"/>
    </row>
    <row r="47" spans="1:8">
      <c r="A47" s="5">
        <v>2019</v>
      </c>
      <c r="B47" s="8">
        <v>97.862232779097383</v>
      </c>
      <c r="C47" s="8">
        <v>127.71084337349401</v>
      </c>
      <c r="D47" s="8">
        <v>90.532544378698219</v>
      </c>
      <c r="E47" s="8">
        <v>92.307692307692164</v>
      </c>
      <c r="F47" s="8">
        <v>90.301003344481614</v>
      </c>
      <c r="G47" s="8">
        <v>116.39344262295079</v>
      </c>
      <c r="H47" s="135"/>
    </row>
    <row r="49" spans="1:7">
      <c r="A49" s="22" t="s">
        <v>22</v>
      </c>
      <c r="B49" s="8">
        <f>B47-B4</f>
        <v>-6.8252672209026173</v>
      </c>
      <c r="C49" s="8">
        <f t="shared" ref="C49:F49" si="0">C47-C4</f>
        <v>-63.029897367246804</v>
      </c>
      <c r="D49" s="8">
        <f t="shared" si="0"/>
        <v>-7.351622736237573E-2</v>
      </c>
      <c r="E49" s="8">
        <f t="shared" si="0"/>
        <v>-4.358974358974308</v>
      </c>
      <c r="F49" s="8">
        <f t="shared" si="0"/>
        <v>0.30100334448160027</v>
      </c>
      <c r="G49" s="8">
        <f t="shared" ref="G49" si="1">G47-G4</f>
        <v>-40.749414519906324</v>
      </c>
    </row>
    <row r="50" spans="1:7">
      <c r="A50" s="22" t="s">
        <v>23</v>
      </c>
      <c r="B50" s="8">
        <f>B28-B4</f>
        <v>-4.9152904328018252</v>
      </c>
      <c r="C50" s="8">
        <f t="shared" ref="C50:F50" si="2">C28-C4</f>
        <v>-54.377104377104502</v>
      </c>
      <c r="D50" s="8">
        <f t="shared" si="2"/>
        <v>1.3828896701825073</v>
      </c>
      <c r="E50" s="8">
        <f t="shared" si="2"/>
        <v>-3.3333333333330302</v>
      </c>
      <c r="F50" s="8">
        <f t="shared" si="2"/>
        <v>1.7981072555204918</v>
      </c>
      <c r="G50" s="8">
        <f t="shared" ref="G50" si="3">G28-G4</f>
        <v>-36.65105386416856</v>
      </c>
    </row>
    <row r="51" spans="1:7">
      <c r="A51" s="22" t="s">
        <v>24</v>
      </c>
      <c r="B51" s="8">
        <f>B47-B28</f>
        <v>-1.9099767881007921</v>
      </c>
      <c r="C51" s="8">
        <f t="shared" ref="C51:F51" si="4">C47-C28</f>
        <v>-8.6527929901423022</v>
      </c>
      <c r="D51" s="8">
        <f t="shared" si="4"/>
        <v>-1.456405897544883</v>
      </c>
      <c r="E51" s="8">
        <f t="shared" si="4"/>
        <v>-1.0256410256412778</v>
      </c>
      <c r="F51" s="8">
        <f t="shared" si="4"/>
        <v>-1.4971039110388915</v>
      </c>
      <c r="G51" s="8">
        <f t="shared" ref="G51" si="5">G47-G28</f>
        <v>-4.0983606557377641</v>
      </c>
    </row>
    <row r="54" spans="1:7">
      <c r="A54" s="5" t="s">
        <v>645</v>
      </c>
    </row>
    <row r="62" spans="1:7">
      <c r="B62" s="115"/>
    </row>
    <row r="63" spans="1:7">
      <c r="B63" s="11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D03FF-A37B-5A41-854C-AB8AF10BB461}">
  <dimension ref="A1:S76"/>
  <sheetViews>
    <sheetView zoomScale="75" workbookViewId="0">
      <selection activeCell="J15" sqref="J15"/>
    </sheetView>
  </sheetViews>
  <sheetFormatPr baseColWidth="10" defaultColWidth="11" defaultRowHeight="16"/>
  <cols>
    <col min="1" max="1" width="13.33203125" style="159" customWidth="1"/>
    <col min="2" max="3" width="18.6640625" style="159" customWidth="1"/>
    <col min="4" max="8" width="12.6640625" style="159" customWidth="1"/>
    <col min="9" max="16384" width="11" style="159"/>
  </cols>
  <sheetData>
    <row r="1" spans="1:8">
      <c r="A1" s="3" t="s">
        <v>647</v>
      </c>
    </row>
    <row r="3" spans="1:8">
      <c r="G3" s="349"/>
      <c r="H3" s="349"/>
    </row>
    <row r="4" spans="1:8" ht="65" customHeight="1">
      <c r="B4" s="160" t="s">
        <v>511</v>
      </c>
      <c r="C4" s="160" t="s">
        <v>512</v>
      </c>
      <c r="D4" s="161" t="s">
        <v>200</v>
      </c>
      <c r="E4" s="161" t="s">
        <v>201</v>
      </c>
      <c r="F4" s="161" t="s">
        <v>202</v>
      </c>
      <c r="G4" s="161" t="s">
        <v>203</v>
      </c>
      <c r="H4" s="161" t="s">
        <v>204</v>
      </c>
    </row>
    <row r="5" spans="1:8" ht="17">
      <c r="B5" s="160" t="s">
        <v>109</v>
      </c>
      <c r="C5" s="160" t="s">
        <v>110</v>
      </c>
      <c r="D5" s="161" t="s">
        <v>111</v>
      </c>
      <c r="E5" s="161" t="s">
        <v>112</v>
      </c>
      <c r="F5" s="161" t="s">
        <v>113</v>
      </c>
      <c r="G5" s="162" t="s">
        <v>509</v>
      </c>
      <c r="H5" s="162" t="s">
        <v>510</v>
      </c>
    </row>
    <row r="6" spans="1:8">
      <c r="A6" s="163">
        <v>1981</v>
      </c>
      <c r="B6" s="120">
        <v>6652</v>
      </c>
      <c r="C6" s="164">
        <v>16898</v>
      </c>
      <c r="D6" s="165">
        <v>6529</v>
      </c>
      <c r="E6" s="165">
        <v>4567</v>
      </c>
      <c r="F6" s="166">
        <v>41.721311475409834</v>
      </c>
      <c r="G6" s="165">
        <f t="shared" ref="G6:G44" si="0">D6/F6*100</f>
        <v>15649.076620825148</v>
      </c>
      <c r="H6" s="165">
        <f t="shared" ref="H6:H44" si="1">E6/F6*100</f>
        <v>10946.444007858547</v>
      </c>
    </row>
    <row r="7" spans="1:8">
      <c r="A7" s="163">
        <v>1982</v>
      </c>
      <c r="B7" s="120">
        <v>7287</v>
      </c>
      <c r="C7" s="164">
        <v>16985</v>
      </c>
      <c r="D7" s="165">
        <v>7299</v>
      </c>
      <c r="E7" s="165">
        <v>5130</v>
      </c>
      <c r="F7" s="166">
        <v>45.57377049180328</v>
      </c>
      <c r="G7" s="165">
        <f t="shared" si="0"/>
        <v>16015.791366906475</v>
      </c>
      <c r="H7" s="165">
        <f t="shared" si="1"/>
        <v>11256.474820143885</v>
      </c>
    </row>
    <row r="8" spans="1:8">
      <c r="A8" s="163">
        <v>1983</v>
      </c>
      <c r="B8" s="120">
        <v>8323</v>
      </c>
      <c r="C8" s="164">
        <v>18242</v>
      </c>
      <c r="D8" s="165">
        <v>7754</v>
      </c>
      <c r="E8" s="165">
        <v>5511</v>
      </c>
      <c r="F8" s="166">
        <v>48.606557377049178</v>
      </c>
      <c r="G8" s="165">
        <f t="shared" si="0"/>
        <v>15952.58010118044</v>
      </c>
      <c r="H8" s="165">
        <f t="shared" si="1"/>
        <v>11337.97639123103</v>
      </c>
    </row>
    <row r="9" spans="1:8">
      <c r="A9" s="163">
        <v>1984</v>
      </c>
      <c r="B9" s="120">
        <v>9214</v>
      </c>
      <c r="C9" s="164">
        <v>18651</v>
      </c>
      <c r="D9" s="165">
        <v>8370.0000000000018</v>
      </c>
      <c r="E9" s="165">
        <v>5916</v>
      </c>
      <c r="F9" s="166">
        <v>51.065573770491802</v>
      </c>
      <c r="G9" s="165">
        <f t="shared" si="0"/>
        <v>16390.69020866774</v>
      </c>
      <c r="H9" s="165">
        <f t="shared" si="1"/>
        <v>11585.104333868379</v>
      </c>
    </row>
    <row r="10" spans="1:8">
      <c r="A10" s="163">
        <v>1985</v>
      </c>
      <c r="B10" s="120">
        <v>9796</v>
      </c>
      <c r="C10" s="164">
        <v>19336</v>
      </c>
      <c r="D10" s="165">
        <v>8969</v>
      </c>
      <c r="E10" s="165">
        <v>6358.0000000000009</v>
      </c>
      <c r="F10" s="166">
        <v>53.442622950819676</v>
      </c>
      <c r="G10" s="165">
        <f t="shared" si="0"/>
        <v>16782.484662576688</v>
      </c>
      <c r="H10" s="165">
        <f t="shared" si="1"/>
        <v>11896.871165644172</v>
      </c>
    </row>
    <row r="11" spans="1:8">
      <c r="A11" s="163">
        <v>1986</v>
      </c>
      <c r="B11" s="120">
        <v>10993</v>
      </c>
      <c r="C11" s="164">
        <v>20647</v>
      </c>
      <c r="D11" s="165">
        <v>9747</v>
      </c>
      <c r="E11" s="165">
        <v>6838</v>
      </c>
      <c r="F11" s="166">
        <v>55.327868852459019</v>
      </c>
      <c r="G11" s="165">
        <f t="shared" si="0"/>
        <v>17616.8</v>
      </c>
      <c r="H11" s="165">
        <f t="shared" si="1"/>
        <v>12359.051851851851</v>
      </c>
    </row>
    <row r="12" spans="1:8">
      <c r="A12" s="163">
        <v>1987</v>
      </c>
      <c r="B12" s="120">
        <v>12085</v>
      </c>
      <c r="C12" s="164">
        <v>21712</v>
      </c>
      <c r="D12" s="165">
        <v>10523</v>
      </c>
      <c r="E12" s="165">
        <v>7338</v>
      </c>
      <c r="F12" s="166">
        <v>56.885245901639351</v>
      </c>
      <c r="G12" s="165">
        <f t="shared" si="0"/>
        <v>18498.645533141207</v>
      </c>
      <c r="H12" s="165">
        <f t="shared" si="1"/>
        <v>12899.654178674351</v>
      </c>
    </row>
    <row r="13" spans="1:8">
      <c r="A13" s="163">
        <v>1988</v>
      </c>
      <c r="B13" s="120">
        <v>12870</v>
      </c>
      <c r="C13" s="164">
        <v>21783</v>
      </c>
      <c r="D13" s="165">
        <v>11456</v>
      </c>
      <c r="E13" s="165">
        <v>7934</v>
      </c>
      <c r="F13" s="166">
        <v>58.852459016393439</v>
      </c>
      <c r="G13" s="165">
        <f t="shared" si="0"/>
        <v>19465.626740947075</v>
      </c>
      <c r="H13" s="165">
        <f t="shared" si="1"/>
        <v>13481.169916434541</v>
      </c>
    </row>
    <row r="14" spans="1:8">
      <c r="A14" s="163">
        <v>1989</v>
      </c>
      <c r="B14" s="120">
        <v>13484</v>
      </c>
      <c r="C14" s="164">
        <v>21830</v>
      </c>
      <c r="D14" s="165">
        <v>12445</v>
      </c>
      <c r="E14" s="165">
        <v>8602</v>
      </c>
      <c r="F14" s="166">
        <v>61.639344262295083</v>
      </c>
      <c r="G14" s="165">
        <f t="shared" si="0"/>
        <v>20190.026595744679</v>
      </c>
      <c r="H14" s="165">
        <f t="shared" si="1"/>
        <v>13955.372340425532</v>
      </c>
    </row>
    <row r="15" spans="1:8">
      <c r="A15" s="163">
        <v>1990</v>
      </c>
      <c r="B15" s="120">
        <v>13814</v>
      </c>
      <c r="C15" s="164">
        <v>21610</v>
      </c>
      <c r="D15" s="165">
        <v>13190</v>
      </c>
      <c r="E15" s="165">
        <v>8877</v>
      </c>
      <c r="F15" s="166">
        <v>64.508196721311478</v>
      </c>
      <c r="G15" s="165">
        <f t="shared" si="0"/>
        <v>20447.013977128336</v>
      </c>
      <c r="H15" s="165">
        <f t="shared" si="1"/>
        <v>13761.041931385005</v>
      </c>
    </row>
    <row r="16" spans="1:8">
      <c r="A16" s="163">
        <v>1991</v>
      </c>
      <c r="B16" s="120">
        <v>13952</v>
      </c>
      <c r="C16" s="164">
        <v>21546</v>
      </c>
      <c r="D16" s="165">
        <v>13754</v>
      </c>
      <c r="E16" s="165">
        <v>9286</v>
      </c>
      <c r="F16" s="166">
        <v>68.688524590163937</v>
      </c>
      <c r="G16" s="165">
        <f t="shared" si="0"/>
        <v>20023.723150357993</v>
      </c>
      <c r="H16" s="165">
        <f t="shared" si="1"/>
        <v>13518.997613365156</v>
      </c>
    </row>
    <row r="17" spans="1:8">
      <c r="A17" s="163">
        <v>1992</v>
      </c>
      <c r="B17" s="120">
        <v>14422</v>
      </c>
      <c r="C17" s="164">
        <v>21842</v>
      </c>
      <c r="D17" s="165">
        <v>14259</v>
      </c>
      <c r="E17" s="165">
        <v>9696</v>
      </c>
      <c r="F17" s="166">
        <v>69.098360655737707</v>
      </c>
      <c r="G17" s="165">
        <f t="shared" si="0"/>
        <v>20635.800711743774</v>
      </c>
      <c r="H17" s="165">
        <f t="shared" si="1"/>
        <v>14032.170818505338</v>
      </c>
    </row>
    <row r="18" spans="1:8">
      <c r="A18" s="163">
        <v>1993</v>
      </c>
      <c r="B18" s="120">
        <v>15146</v>
      </c>
      <c r="C18" s="164">
        <v>22523</v>
      </c>
      <c r="D18" s="165">
        <v>14544</v>
      </c>
      <c r="E18" s="165">
        <v>10015</v>
      </c>
      <c r="F18" s="166">
        <v>70</v>
      </c>
      <c r="G18" s="165">
        <f t="shared" si="0"/>
        <v>20777.142857142859</v>
      </c>
      <c r="H18" s="165">
        <f t="shared" si="1"/>
        <v>14307.142857142859</v>
      </c>
    </row>
    <row r="19" spans="1:8">
      <c r="A19" s="163">
        <v>1994</v>
      </c>
      <c r="B19" s="120">
        <v>15816</v>
      </c>
      <c r="C19" s="164">
        <v>22983</v>
      </c>
      <c r="D19" s="165">
        <v>14890</v>
      </c>
      <c r="E19" s="165">
        <v>10141</v>
      </c>
      <c r="F19" s="166">
        <v>70.409836065573771</v>
      </c>
      <c r="G19" s="165">
        <f t="shared" si="0"/>
        <v>21147.613504074507</v>
      </c>
      <c r="H19" s="165">
        <f t="shared" si="1"/>
        <v>14402.817229336437</v>
      </c>
    </row>
    <row r="20" spans="1:8">
      <c r="A20" s="163">
        <v>1995</v>
      </c>
      <c r="B20" s="120">
        <v>17047</v>
      </c>
      <c r="C20" s="164">
        <v>23762</v>
      </c>
      <c r="D20" s="165">
        <v>15450.000000000002</v>
      </c>
      <c r="E20" s="165">
        <v>10226</v>
      </c>
      <c r="F20" s="166">
        <v>71.47540983606558</v>
      </c>
      <c r="G20" s="165">
        <f t="shared" si="0"/>
        <v>21615.825688073393</v>
      </c>
      <c r="H20" s="165">
        <f t="shared" si="1"/>
        <v>14307.018348623851</v>
      </c>
    </row>
    <row r="21" spans="1:8">
      <c r="A21" s="163">
        <v>1996</v>
      </c>
      <c r="B21" s="120">
        <v>17316</v>
      </c>
      <c r="C21" s="164">
        <v>24010</v>
      </c>
      <c r="D21" s="165">
        <v>15564</v>
      </c>
      <c r="E21" s="165">
        <v>10315</v>
      </c>
      <c r="F21" s="166">
        <v>72.540983606557376</v>
      </c>
      <c r="G21" s="165">
        <f t="shared" si="0"/>
        <v>21455.457627118645</v>
      </c>
      <c r="H21" s="165">
        <f t="shared" si="1"/>
        <v>14219.548022598872</v>
      </c>
    </row>
    <row r="22" spans="1:8">
      <c r="A22" s="163">
        <v>1997</v>
      </c>
      <c r="B22" s="120">
        <v>17463</v>
      </c>
      <c r="C22" s="164">
        <v>24232</v>
      </c>
      <c r="D22" s="165">
        <v>15728</v>
      </c>
      <c r="E22" s="165">
        <v>10527.000000000002</v>
      </c>
      <c r="F22" s="166">
        <v>73.852459016393439</v>
      </c>
      <c r="G22" s="165">
        <f t="shared" si="0"/>
        <v>21296.514983351834</v>
      </c>
      <c r="H22" s="165">
        <f t="shared" si="1"/>
        <v>14254.095449500559</v>
      </c>
    </row>
    <row r="23" spans="1:8">
      <c r="A23" s="163">
        <v>1998</v>
      </c>
      <c r="B23" s="120">
        <v>18231</v>
      </c>
      <c r="C23" s="164">
        <v>25060</v>
      </c>
      <c r="D23" s="165">
        <v>16496</v>
      </c>
      <c r="E23" s="165">
        <v>10999</v>
      </c>
      <c r="F23" s="166">
        <v>74.26229508196721</v>
      </c>
      <c r="G23" s="165">
        <f t="shared" si="0"/>
        <v>22213.156732891832</v>
      </c>
      <c r="H23" s="165">
        <f t="shared" si="1"/>
        <v>14811.015452538632</v>
      </c>
    </row>
    <row r="24" spans="1:8">
      <c r="A24" s="163">
        <v>1999</v>
      </c>
      <c r="B24" s="120">
        <v>19760</v>
      </c>
      <c r="C24" s="164">
        <v>26629</v>
      </c>
      <c r="D24" s="165">
        <v>17327</v>
      </c>
      <c r="E24" s="165">
        <v>11612</v>
      </c>
      <c r="F24" s="166">
        <v>75.491803278688522</v>
      </c>
      <c r="G24" s="165">
        <f t="shared" si="0"/>
        <v>22952.160694896851</v>
      </c>
      <c r="H24" s="165">
        <f t="shared" si="1"/>
        <v>15381.802388707927</v>
      </c>
    </row>
    <row r="25" spans="1:8">
      <c r="A25" s="163">
        <v>2000</v>
      </c>
      <c r="B25" s="120">
        <v>20893</v>
      </c>
      <c r="C25" s="164">
        <v>27184</v>
      </c>
      <c r="D25" s="165">
        <v>18085</v>
      </c>
      <c r="E25" s="165">
        <v>11957</v>
      </c>
      <c r="F25" s="166">
        <v>77.950819672131146</v>
      </c>
      <c r="G25" s="165">
        <f t="shared" si="0"/>
        <v>23200.525762355413</v>
      </c>
      <c r="H25" s="165">
        <f t="shared" si="1"/>
        <v>15339.158780231335</v>
      </c>
    </row>
    <row r="26" spans="1:8">
      <c r="A26" s="163">
        <v>2001</v>
      </c>
      <c r="B26" s="120">
        <v>21506</v>
      </c>
      <c r="C26" s="164">
        <v>27683</v>
      </c>
      <c r="D26" s="165">
        <v>18559</v>
      </c>
      <c r="E26" s="165">
        <v>12514.000000000002</v>
      </c>
      <c r="F26" s="166">
        <v>79.344262295081961</v>
      </c>
      <c r="G26" s="165">
        <f t="shared" si="0"/>
        <v>23390.475206611573</v>
      </c>
      <c r="H26" s="165">
        <f t="shared" si="1"/>
        <v>15771.776859504134</v>
      </c>
    </row>
    <row r="27" spans="1:8">
      <c r="A27" s="163">
        <v>2002</v>
      </c>
      <c r="B27" s="120">
        <v>22095</v>
      </c>
      <c r="C27" s="164">
        <v>28999</v>
      </c>
      <c r="D27" s="165">
        <v>19043</v>
      </c>
      <c r="E27" s="165">
        <v>12962</v>
      </c>
      <c r="F27" s="166">
        <v>81.967213114754102</v>
      </c>
      <c r="G27" s="165">
        <f t="shared" si="0"/>
        <v>23232.46</v>
      </c>
      <c r="H27" s="165">
        <f t="shared" si="1"/>
        <v>15813.639999999998</v>
      </c>
    </row>
    <row r="28" spans="1:8">
      <c r="A28" s="163">
        <v>2003</v>
      </c>
      <c r="B28" s="120">
        <v>23179</v>
      </c>
      <c r="C28" s="164">
        <v>29722</v>
      </c>
      <c r="D28" s="165">
        <v>19636</v>
      </c>
      <c r="E28" s="165">
        <v>13255</v>
      </c>
      <c r="F28" s="166">
        <v>84.754098360655732</v>
      </c>
      <c r="G28" s="165">
        <f t="shared" si="0"/>
        <v>23168.201160541586</v>
      </c>
      <c r="H28" s="165">
        <f t="shared" si="1"/>
        <v>15639.36170212766</v>
      </c>
    </row>
    <row r="29" spans="1:8">
      <c r="A29" s="163">
        <v>2004</v>
      </c>
      <c r="B29" s="120">
        <v>24502</v>
      </c>
      <c r="C29" s="164">
        <v>30475</v>
      </c>
      <c r="D29" s="165">
        <v>20485</v>
      </c>
      <c r="E29" s="165">
        <v>13766</v>
      </c>
      <c r="F29" s="166">
        <v>85.983606557377044</v>
      </c>
      <c r="G29" s="165">
        <f t="shared" si="0"/>
        <v>23824.308865586274</v>
      </c>
      <c r="H29" s="165">
        <f t="shared" si="1"/>
        <v>16010.028598665398</v>
      </c>
    </row>
    <row r="30" spans="1:8">
      <c r="A30" s="163">
        <v>2005</v>
      </c>
      <c r="B30" s="120">
        <v>25643</v>
      </c>
      <c r="C30" s="164">
        <v>30716</v>
      </c>
      <c r="D30" s="165">
        <v>21163</v>
      </c>
      <c r="E30" s="165">
        <v>14087</v>
      </c>
      <c r="F30" s="166">
        <v>88.032786885245898</v>
      </c>
      <c r="G30" s="165">
        <f t="shared" si="0"/>
        <v>24039.906890130354</v>
      </c>
      <c r="H30" s="165">
        <f t="shared" si="1"/>
        <v>16001.992551210429</v>
      </c>
    </row>
    <row r="31" spans="1:8">
      <c r="A31" s="163">
        <v>2006</v>
      </c>
      <c r="B31" s="120">
        <v>26792</v>
      </c>
      <c r="C31" s="164">
        <v>31348</v>
      </c>
      <c r="D31" s="165">
        <v>22364</v>
      </c>
      <c r="E31" s="165">
        <v>14865</v>
      </c>
      <c r="F31" s="166">
        <v>89.508196721311478</v>
      </c>
      <c r="G31" s="165">
        <f t="shared" si="0"/>
        <v>24985.421245421243</v>
      </c>
      <c r="H31" s="165">
        <f t="shared" si="1"/>
        <v>16607.417582417584</v>
      </c>
    </row>
    <row r="32" spans="1:8">
      <c r="A32" s="163">
        <v>2007</v>
      </c>
      <c r="B32" s="120">
        <v>28352</v>
      </c>
      <c r="C32" s="164">
        <v>31644</v>
      </c>
      <c r="D32" s="165">
        <v>24141</v>
      </c>
      <c r="E32" s="165">
        <v>15761.000000000002</v>
      </c>
      <c r="F32" s="166">
        <v>91.229508196721312</v>
      </c>
      <c r="G32" s="165">
        <f t="shared" si="0"/>
        <v>26461.832884097032</v>
      </c>
      <c r="H32" s="165">
        <f t="shared" si="1"/>
        <v>17276.208445642409</v>
      </c>
    </row>
    <row r="33" spans="1:8">
      <c r="A33" s="163">
        <v>2008</v>
      </c>
      <c r="B33" s="120">
        <v>28842</v>
      </c>
      <c r="C33" s="164">
        <v>31887</v>
      </c>
      <c r="D33" s="165">
        <v>25532</v>
      </c>
      <c r="E33" s="165">
        <v>16776</v>
      </c>
      <c r="F33" s="166">
        <v>92.786885245901644</v>
      </c>
      <c r="G33" s="165">
        <f t="shared" si="0"/>
        <v>27516.819787985867</v>
      </c>
      <c r="H33" s="165">
        <f t="shared" si="1"/>
        <v>18080.141342756186</v>
      </c>
    </row>
    <row r="34" spans="1:8">
      <c r="A34" s="163">
        <v>2009</v>
      </c>
      <c r="B34" s="120">
        <v>28914</v>
      </c>
      <c r="C34" s="164">
        <v>31425</v>
      </c>
      <c r="D34" s="165">
        <v>25892</v>
      </c>
      <c r="E34" s="165">
        <v>17407</v>
      </c>
      <c r="F34" s="166">
        <v>93.032786885245898</v>
      </c>
      <c r="G34" s="165">
        <f t="shared" si="0"/>
        <v>27831.04845814978</v>
      </c>
      <c r="H34" s="165">
        <f t="shared" si="1"/>
        <v>18710.60792951542</v>
      </c>
    </row>
    <row r="35" spans="1:8">
      <c r="A35" s="163">
        <v>2010</v>
      </c>
      <c r="B35" s="120">
        <v>30269</v>
      </c>
      <c r="C35" s="164">
        <v>32050</v>
      </c>
      <c r="D35" s="165">
        <v>26710</v>
      </c>
      <c r="E35" s="165">
        <v>18420</v>
      </c>
      <c r="F35" s="166">
        <v>95</v>
      </c>
      <c r="G35" s="165">
        <f t="shared" si="0"/>
        <v>28115.789473684206</v>
      </c>
      <c r="H35" s="165">
        <f t="shared" si="1"/>
        <v>19389.473684210527</v>
      </c>
    </row>
    <row r="36" spans="1:8">
      <c r="A36" s="163">
        <v>2011</v>
      </c>
      <c r="B36" s="120">
        <v>31561</v>
      </c>
      <c r="C36" s="164">
        <v>32136</v>
      </c>
      <c r="D36" s="165">
        <v>27699</v>
      </c>
      <c r="E36" s="165">
        <v>19014</v>
      </c>
      <c r="F36" s="166">
        <v>98.360655737704917</v>
      </c>
      <c r="G36" s="165">
        <f t="shared" si="0"/>
        <v>28160.649999999998</v>
      </c>
      <c r="H36" s="165">
        <f t="shared" si="1"/>
        <v>19330.900000000001</v>
      </c>
    </row>
    <row r="37" spans="1:8">
      <c r="A37" s="163">
        <v>2012</v>
      </c>
      <c r="B37" s="120">
        <v>31797</v>
      </c>
      <c r="C37" s="164">
        <v>31796</v>
      </c>
      <c r="D37" s="165">
        <v>28669</v>
      </c>
      <c r="E37" s="165">
        <v>19672</v>
      </c>
      <c r="F37" s="166">
        <v>100</v>
      </c>
      <c r="G37" s="165">
        <f t="shared" si="0"/>
        <v>28669</v>
      </c>
      <c r="H37" s="165">
        <f t="shared" si="1"/>
        <v>19672</v>
      </c>
    </row>
    <row r="38" spans="1:8">
      <c r="A38" s="163">
        <v>2013</v>
      </c>
      <c r="B38" s="120">
        <v>31891</v>
      </c>
      <c r="C38" s="164">
        <v>31710</v>
      </c>
      <c r="D38" s="165">
        <v>29425</v>
      </c>
      <c r="E38" s="165">
        <v>20188</v>
      </c>
      <c r="F38" s="166">
        <v>100.81967213114754</v>
      </c>
      <c r="G38" s="165">
        <f t="shared" si="0"/>
        <v>29185.772357723577</v>
      </c>
      <c r="H38" s="165">
        <f t="shared" si="1"/>
        <v>20023.869918699187</v>
      </c>
    </row>
    <row r="39" spans="1:8">
      <c r="A39" s="163">
        <v>2014</v>
      </c>
      <c r="B39" s="120">
        <v>32462</v>
      </c>
      <c r="C39" s="164">
        <v>31747</v>
      </c>
      <c r="D39" s="165">
        <v>30197</v>
      </c>
      <c r="E39" s="165">
        <v>20716</v>
      </c>
      <c r="F39" s="166">
        <v>102.29508196721312</v>
      </c>
      <c r="G39" s="165">
        <f t="shared" si="0"/>
        <v>29519.503205128207</v>
      </c>
      <c r="H39" s="165">
        <f t="shared" si="1"/>
        <v>20251.217948717949</v>
      </c>
    </row>
    <row r="40" spans="1:8">
      <c r="A40" s="163">
        <v>2015</v>
      </c>
      <c r="B40" s="120">
        <v>33453</v>
      </c>
      <c r="C40" s="164">
        <v>31954</v>
      </c>
      <c r="D40" s="165">
        <v>30987.000000000004</v>
      </c>
      <c r="E40" s="165">
        <v>21167</v>
      </c>
      <c r="F40" s="166">
        <v>102.78688524590164</v>
      </c>
      <c r="G40" s="165">
        <f t="shared" si="0"/>
        <v>30146.84210526316</v>
      </c>
      <c r="H40" s="165">
        <f t="shared" si="1"/>
        <v>20593.094098883572</v>
      </c>
    </row>
    <row r="41" spans="1:8">
      <c r="A41" s="163">
        <v>2016</v>
      </c>
      <c r="B41" s="120">
        <v>34330</v>
      </c>
      <c r="C41" s="164">
        <v>32213</v>
      </c>
      <c r="D41" s="165">
        <v>31909</v>
      </c>
      <c r="E41" s="165">
        <v>21881</v>
      </c>
      <c r="F41" s="166">
        <v>105.08196721311474</v>
      </c>
      <c r="G41" s="165">
        <f t="shared" si="0"/>
        <v>30365.819032761316</v>
      </c>
      <c r="H41" s="165">
        <f t="shared" si="1"/>
        <v>20822.792511700471</v>
      </c>
    </row>
    <row r="42" spans="1:8">
      <c r="A42" s="163">
        <v>2017</v>
      </c>
      <c r="B42" s="120">
        <v>35828</v>
      </c>
      <c r="C42" s="164">
        <v>33014</v>
      </c>
      <c r="D42" s="165">
        <v>33001</v>
      </c>
      <c r="E42" s="165">
        <v>22641</v>
      </c>
      <c r="F42" s="166">
        <v>107.54098360655736</v>
      </c>
      <c r="G42" s="165">
        <f t="shared" si="0"/>
        <v>30686.905487804881</v>
      </c>
      <c r="H42" s="165">
        <f t="shared" si="1"/>
        <v>21053.368902439026</v>
      </c>
    </row>
    <row r="43" spans="1:8">
      <c r="A43" s="163">
        <v>2018</v>
      </c>
      <c r="B43" s="120">
        <v>37105</v>
      </c>
      <c r="C43" s="164">
        <v>33176</v>
      </c>
      <c r="D43" s="165">
        <v>34024</v>
      </c>
      <c r="E43" s="165">
        <v>23158</v>
      </c>
      <c r="F43" s="166">
        <v>109.8360655737705</v>
      </c>
      <c r="G43" s="165">
        <f t="shared" si="0"/>
        <v>30977.074626865669</v>
      </c>
      <c r="H43" s="165">
        <f t="shared" si="1"/>
        <v>21084.149253731342</v>
      </c>
    </row>
    <row r="44" spans="1:8">
      <c r="A44" s="163">
        <v>2019</v>
      </c>
      <c r="B44" s="120">
        <v>38236</v>
      </c>
      <c r="C44" s="164">
        <v>33568</v>
      </c>
      <c r="D44" s="165">
        <v>35113</v>
      </c>
      <c r="E44" s="165">
        <v>23634</v>
      </c>
      <c r="F44" s="166">
        <v>111.72131147540985</v>
      </c>
      <c r="G44" s="165">
        <f t="shared" si="0"/>
        <v>31429.097578870136</v>
      </c>
      <c r="H44" s="165">
        <f t="shared" si="1"/>
        <v>21154.42406456346</v>
      </c>
    </row>
    <row r="45" spans="1:8">
      <c r="A45" s="163"/>
    </row>
    <row r="46" spans="1:8" ht="78.75" customHeight="1">
      <c r="A46" s="163" t="s">
        <v>67</v>
      </c>
      <c r="B46" s="160" t="s">
        <v>257</v>
      </c>
      <c r="C46" s="160" t="s">
        <v>258</v>
      </c>
      <c r="D46" s="161" t="s">
        <v>200</v>
      </c>
      <c r="E46" s="161" t="s">
        <v>201</v>
      </c>
      <c r="F46" s="161" t="s">
        <v>202</v>
      </c>
      <c r="G46" s="161" t="s">
        <v>203</v>
      </c>
      <c r="H46" s="161" t="s">
        <v>204</v>
      </c>
    </row>
    <row r="47" spans="1:8">
      <c r="A47" s="163" t="s">
        <v>209</v>
      </c>
      <c r="B47" s="167">
        <f t="shared" ref="B47:C47" si="2">100*((B44/B6)^(1/38)-1)</f>
        <v>4.7098105936752788</v>
      </c>
      <c r="C47" s="167">
        <f t="shared" si="2"/>
        <v>1.8226692891904817</v>
      </c>
      <c r="D47" s="166">
        <f t="shared" ref="D47:H47" si="3">100*((D44/D6)^(1/38)-1)</f>
        <v>4.5266123721621199</v>
      </c>
      <c r="E47" s="166">
        <f t="shared" si="3"/>
        <v>4.4207975059316729</v>
      </c>
      <c r="F47" s="166">
        <f t="shared" si="3"/>
        <v>2.6259800932392885</v>
      </c>
      <c r="G47" s="166">
        <f t="shared" si="3"/>
        <v>1.8519991499190036</v>
      </c>
      <c r="H47" s="166">
        <f t="shared" si="3"/>
        <v>1.7488918605812254</v>
      </c>
    </row>
    <row r="48" spans="1:8">
      <c r="A48" s="163" t="s">
        <v>210</v>
      </c>
      <c r="B48" s="167">
        <f t="shared" ref="B48:C48" si="4">100*((B25/B6)^(1/19)-1)</f>
        <v>6.2087874618408589</v>
      </c>
      <c r="C48" s="167">
        <f t="shared" si="4"/>
        <v>2.5338503005175816</v>
      </c>
      <c r="D48" s="166">
        <f t="shared" ref="D48:H48" si="5">100*((D25/D6)^(1/19)-1)</f>
        <v>5.5086319275999607</v>
      </c>
      <c r="E48" s="166">
        <f t="shared" si="5"/>
        <v>5.1960754196605174</v>
      </c>
      <c r="F48" s="166">
        <f t="shared" si="5"/>
        <v>3.3445342531813527</v>
      </c>
      <c r="G48" s="166">
        <f t="shared" si="5"/>
        <v>2.0940610841758245</v>
      </c>
      <c r="H48" s="166">
        <f t="shared" si="5"/>
        <v>1.7916198276564099</v>
      </c>
    </row>
    <row r="49" spans="1:19">
      <c r="A49" s="163" t="s">
        <v>47</v>
      </c>
      <c r="B49" s="167">
        <f t="shared" ref="B49:C49" si="6">100*((B44/B25)^(1/19)-1)</f>
        <v>3.2319895234901974</v>
      </c>
      <c r="C49" s="167">
        <f t="shared" si="6"/>
        <v>1.1164210725393753</v>
      </c>
      <c r="D49" s="166">
        <f t="shared" ref="D49:H49" si="7">100*((D44/D25)^(1/19)-1)</f>
        <v>3.5537329447843602</v>
      </c>
      <c r="E49" s="166">
        <f t="shared" si="7"/>
        <v>3.6512332639450085</v>
      </c>
      <c r="F49" s="166">
        <f t="shared" si="7"/>
        <v>1.9124220376824486</v>
      </c>
      <c r="G49" s="166">
        <f t="shared" si="7"/>
        <v>1.610511137194881</v>
      </c>
      <c r="H49" s="166">
        <f t="shared" si="7"/>
        <v>1.7061818289625608</v>
      </c>
    </row>
    <row r="50" spans="1:19">
      <c r="A50" s="163" t="s">
        <v>503</v>
      </c>
      <c r="B50" s="167">
        <f t="shared" ref="B50:C50" si="8">100*((B14/B6)^(1/8)-1)</f>
        <v>9.2341196475698606</v>
      </c>
      <c r="C50" s="167">
        <f t="shared" si="8"/>
        <v>3.2529108134925933</v>
      </c>
      <c r="D50" s="166">
        <f t="shared" ref="D50:H50" si="9">100*((D14/D6)^(1/8)-1)</f>
        <v>8.3973160421195949</v>
      </c>
      <c r="E50" s="166">
        <f t="shared" si="9"/>
        <v>8.2358303665310615</v>
      </c>
      <c r="F50" s="166">
        <f t="shared" si="9"/>
        <v>4.9995667977193126</v>
      </c>
      <c r="G50" s="166">
        <f t="shared" si="9"/>
        <v>3.2359650120709738</v>
      </c>
      <c r="H50" s="166">
        <f t="shared" si="9"/>
        <v>3.0821684960342433</v>
      </c>
    </row>
    <row r="51" spans="1:19">
      <c r="A51" s="163" t="s">
        <v>504</v>
      </c>
      <c r="B51" s="167">
        <f t="shared" ref="B51:C51" si="10">100*((B25/B14)^(1/11)-1)</f>
        <v>4.0613074620765355</v>
      </c>
      <c r="C51" s="167">
        <f t="shared" si="10"/>
        <v>2.0140444576431271</v>
      </c>
      <c r="D51" s="166">
        <f t="shared" ref="D51:H51" si="11">100*((D25/D14)^(1/11)-1)</f>
        <v>3.456240380109632</v>
      </c>
      <c r="E51" s="166">
        <f t="shared" si="11"/>
        <v>3.0391036170525521</v>
      </c>
      <c r="F51" s="166">
        <f t="shared" si="11"/>
        <v>2.1572830955479239</v>
      </c>
      <c r="G51" s="166">
        <f t="shared" si="11"/>
        <v>1.2715268507550004</v>
      </c>
      <c r="H51" s="166">
        <f t="shared" si="11"/>
        <v>0.8631988780279487</v>
      </c>
    </row>
    <row r="52" spans="1:19">
      <c r="A52" s="163" t="s">
        <v>170</v>
      </c>
      <c r="B52" s="167">
        <f t="shared" ref="B52:C52" si="12">100*((B33/B25)^(1/8)-1)</f>
        <v>4.1125469718332752</v>
      </c>
      <c r="C52" s="167">
        <f t="shared" si="12"/>
        <v>2.0146485057426666</v>
      </c>
      <c r="D52" s="166">
        <f t="shared" ref="D52:H52" si="13">100*((D33/D25)^(1/8)-1)</f>
        <v>4.4048780252533781</v>
      </c>
      <c r="E52" s="166">
        <f t="shared" si="13"/>
        <v>4.3237701295524289</v>
      </c>
      <c r="F52" s="166">
        <f t="shared" si="13"/>
        <v>2.2017279862191375</v>
      </c>
      <c r="G52" s="166">
        <f t="shared" si="13"/>
        <v>2.1556876605171471</v>
      </c>
      <c r="H52" s="166">
        <f t="shared" si="13"/>
        <v>2.0763270691660285</v>
      </c>
    </row>
    <row r="53" spans="1:19">
      <c r="A53" s="163" t="s">
        <v>211</v>
      </c>
      <c r="B53" s="167">
        <f t="shared" ref="B53:C53" si="14">100*((B44/B33)^(1/11)-1)</f>
        <v>2.5962655009741598</v>
      </c>
      <c r="C53" s="167">
        <f t="shared" si="14"/>
        <v>0.46813624989339164</v>
      </c>
      <c r="D53" s="166">
        <f t="shared" ref="D53:H53" si="15">100*((D44/D33)^(1/11)-1)</f>
        <v>2.9390798541147012</v>
      </c>
      <c r="E53" s="166">
        <f t="shared" si="15"/>
        <v>3.164840327686691</v>
      </c>
      <c r="F53" s="166">
        <f t="shared" si="15"/>
        <v>1.7025322247170793</v>
      </c>
      <c r="G53" s="166">
        <f t="shared" si="15"/>
        <v>1.2158474350131065</v>
      </c>
      <c r="H53" s="166">
        <f t="shared" si="15"/>
        <v>1.4378286075892088</v>
      </c>
    </row>
    <row r="54" spans="1:19">
      <c r="A54" s="163"/>
      <c r="B54" s="164"/>
      <c r="C54" s="164"/>
    </row>
    <row r="55" spans="1:19">
      <c r="A55" s="163"/>
      <c r="B55" s="164"/>
      <c r="C55" s="164"/>
    </row>
    <row r="56" spans="1:19">
      <c r="A56" s="163" t="s">
        <v>117</v>
      </c>
      <c r="B56" s="159" t="s">
        <v>505</v>
      </c>
    </row>
    <row r="57" spans="1:19">
      <c r="A57" s="163"/>
      <c r="B57" s="5" t="s">
        <v>506</v>
      </c>
      <c r="C57" s="5"/>
    </row>
    <row r="58" spans="1:19">
      <c r="B58" s="5" t="s">
        <v>507</v>
      </c>
      <c r="C58" s="5"/>
    </row>
    <row r="59" spans="1:19">
      <c r="B59" s="5" t="s">
        <v>508</v>
      </c>
      <c r="C59" s="5"/>
    </row>
    <row r="60" spans="1:19">
      <c r="M60" s="5"/>
    </row>
    <row r="62" spans="1:19">
      <c r="A62" s="5" t="s">
        <v>208</v>
      </c>
      <c r="H62" s="77"/>
    </row>
    <row r="63" spans="1:19">
      <c r="H63" s="77"/>
      <c r="M63" s="347"/>
      <c r="N63" s="348"/>
      <c r="O63" s="348"/>
      <c r="P63" s="348"/>
      <c r="Q63" s="348"/>
      <c r="R63" s="348"/>
      <c r="S63" s="348"/>
    </row>
    <row r="64" spans="1:19">
      <c r="H64" s="77"/>
      <c r="M64" s="347"/>
      <c r="N64" s="162"/>
      <c r="O64" s="162"/>
      <c r="P64" s="162"/>
      <c r="Q64" s="162"/>
      <c r="R64" s="162"/>
      <c r="S64" s="162"/>
    </row>
    <row r="65" spans="1:19" ht="32" customHeight="1">
      <c r="A65" s="347" t="s">
        <v>67</v>
      </c>
      <c r="B65" s="348" t="s">
        <v>258</v>
      </c>
      <c r="C65" s="348"/>
      <c r="D65" s="348" t="s">
        <v>203</v>
      </c>
      <c r="E65" s="348"/>
      <c r="F65" s="348" t="s">
        <v>204</v>
      </c>
      <c r="G65" s="348"/>
      <c r="H65" s="77"/>
      <c r="M65" s="163"/>
      <c r="N65" s="166"/>
      <c r="O65" s="166"/>
      <c r="P65" s="166"/>
      <c r="Q65" s="166"/>
      <c r="R65" s="166"/>
      <c r="S65" s="166"/>
    </row>
    <row r="66" spans="1:19">
      <c r="A66" s="347"/>
      <c r="B66" s="162" t="s">
        <v>43</v>
      </c>
      <c r="C66" s="162" t="s">
        <v>98</v>
      </c>
      <c r="D66" s="162" t="s">
        <v>43</v>
      </c>
      <c r="E66" s="162" t="s">
        <v>98</v>
      </c>
      <c r="F66" s="162" t="s">
        <v>43</v>
      </c>
      <c r="G66" s="162" t="s">
        <v>98</v>
      </c>
      <c r="H66" s="77"/>
      <c r="M66" s="163"/>
      <c r="N66" s="166"/>
      <c r="O66" s="166"/>
      <c r="P66" s="166"/>
      <c r="Q66" s="166"/>
      <c r="R66" s="166"/>
      <c r="S66" s="166"/>
    </row>
    <row r="67" spans="1:19">
      <c r="A67" s="163" t="s">
        <v>209</v>
      </c>
      <c r="B67" s="166">
        <v>2.3447671661271041</v>
      </c>
      <c r="C67" s="166">
        <v>1.8226692891904817</v>
      </c>
      <c r="D67" s="166">
        <v>2.1744541635896342</v>
      </c>
      <c r="E67" s="166">
        <v>1.8519991499190036</v>
      </c>
      <c r="F67" s="166">
        <v>2.1053409097085529</v>
      </c>
      <c r="G67" s="166">
        <v>1.7488918605812254</v>
      </c>
      <c r="H67" s="77"/>
      <c r="M67" s="163"/>
      <c r="N67" s="166"/>
      <c r="O67" s="166"/>
      <c r="P67" s="166"/>
      <c r="Q67" s="166"/>
      <c r="R67" s="166"/>
      <c r="S67" s="166"/>
    </row>
    <row r="68" spans="1:19">
      <c r="A68" s="163" t="s">
        <v>210</v>
      </c>
      <c r="B68" s="166">
        <v>2.7072368501869226</v>
      </c>
      <c r="C68" s="166">
        <v>2.5338503005175816</v>
      </c>
      <c r="D68" s="166">
        <v>2.1686694043938637</v>
      </c>
      <c r="E68" s="166">
        <v>2.0940610841758245</v>
      </c>
      <c r="F68" s="166">
        <v>1.9115710562496613</v>
      </c>
      <c r="G68" s="166">
        <v>1.7916198276564099</v>
      </c>
      <c r="H68" s="77"/>
      <c r="M68" s="163"/>
      <c r="N68" s="166"/>
      <c r="O68" s="166"/>
      <c r="P68" s="166"/>
      <c r="Q68" s="166"/>
      <c r="R68" s="166"/>
      <c r="S68" s="166"/>
    </row>
    <row r="69" spans="1:19">
      <c r="A69" s="163" t="s">
        <v>47</v>
      </c>
      <c r="B69" s="166">
        <v>1.9835766935025534</v>
      </c>
      <c r="C69" s="166">
        <v>1.1164210725393753</v>
      </c>
      <c r="D69" s="166">
        <v>2.1802392503166956</v>
      </c>
      <c r="E69" s="166">
        <v>1.610511137194881</v>
      </c>
      <c r="F69" s="166">
        <v>2.2994791880255994</v>
      </c>
      <c r="G69" s="166">
        <v>1.7061818289625608</v>
      </c>
      <c r="H69" s="77"/>
      <c r="M69" s="163"/>
      <c r="N69" s="166"/>
      <c r="O69" s="166"/>
      <c r="P69" s="166"/>
      <c r="Q69" s="166"/>
      <c r="R69" s="166"/>
      <c r="S69" s="166"/>
    </row>
    <row r="70" spans="1:19">
      <c r="A70" s="163" t="s">
        <v>503</v>
      </c>
      <c r="B70" s="166">
        <v>2.5409912552030844</v>
      </c>
      <c r="C70" s="166">
        <v>3.2529108134925933</v>
      </c>
      <c r="D70" s="166">
        <v>2.7138209134276225</v>
      </c>
      <c r="E70" s="166">
        <v>3.2359650120709738</v>
      </c>
      <c r="F70" s="166">
        <v>2.1698938855667427</v>
      </c>
      <c r="G70" s="166">
        <v>3.0821684960342433</v>
      </c>
      <c r="H70" s="77"/>
      <c r="M70" s="163"/>
      <c r="N70" s="166"/>
      <c r="O70" s="166"/>
      <c r="P70" s="166"/>
      <c r="Q70" s="166"/>
      <c r="R70" s="166"/>
      <c r="S70" s="166"/>
    </row>
    <row r="71" spans="1:19">
      <c r="A71" s="163" t="s">
        <v>504</v>
      </c>
      <c r="B71" s="166">
        <v>2.8570883190768281</v>
      </c>
      <c r="C71" s="166">
        <v>2.0140444576431271</v>
      </c>
      <c r="D71" s="166">
        <v>1.6805073249038571</v>
      </c>
      <c r="E71" s="166">
        <v>1.2715268507550004</v>
      </c>
      <c r="F71" s="166">
        <v>1.6796389869716544</v>
      </c>
      <c r="G71" s="166">
        <v>0.8631988780279487</v>
      </c>
      <c r="H71" s="77"/>
      <c r="M71" s="163"/>
      <c r="N71" s="166"/>
      <c r="O71" s="166"/>
      <c r="P71" s="166"/>
      <c r="Q71" s="166"/>
      <c r="R71" s="166"/>
      <c r="S71" s="166"/>
    </row>
    <row r="72" spans="1:19">
      <c r="A72" s="163" t="s">
        <v>170</v>
      </c>
      <c r="B72" s="166">
        <v>2.3237607612261124</v>
      </c>
      <c r="C72" s="166">
        <v>2.0146485057426666</v>
      </c>
      <c r="D72" s="166">
        <v>2.5996214269618845</v>
      </c>
      <c r="E72" s="166">
        <v>2.1556876605171471</v>
      </c>
      <c r="F72" s="166">
        <v>2.7656983067904095</v>
      </c>
      <c r="G72" s="166">
        <v>2.0763270691660285</v>
      </c>
      <c r="H72" s="77"/>
    </row>
    <row r="73" spans="1:19">
      <c r="A73" s="163" t="s">
        <v>211</v>
      </c>
      <c r="B73" s="166">
        <v>1.7368806756311805</v>
      </c>
      <c r="C73" s="166">
        <v>0.46813624989339164</v>
      </c>
      <c r="D73" s="166">
        <v>1.8763111506283847</v>
      </c>
      <c r="E73" s="166">
        <v>1.2158474350131065</v>
      </c>
      <c r="F73" s="166">
        <v>1.9617397825691274</v>
      </c>
      <c r="G73" s="166">
        <v>1.4378286075892088</v>
      </c>
      <c r="H73" s="77"/>
    </row>
    <row r="74" spans="1:19">
      <c r="A74" s="77"/>
      <c r="B74" s="77"/>
      <c r="C74" s="77"/>
      <c r="D74" s="77"/>
      <c r="E74" s="77"/>
      <c r="F74" s="77"/>
      <c r="G74" s="77"/>
      <c r="H74" s="77"/>
    </row>
    <row r="75" spans="1:19">
      <c r="A75" s="77"/>
      <c r="B75" s="77"/>
      <c r="C75" s="77"/>
      <c r="D75" s="77"/>
      <c r="E75" s="77"/>
      <c r="F75" s="77"/>
      <c r="G75" s="77"/>
      <c r="H75" s="77"/>
    </row>
    <row r="76" spans="1:19">
      <c r="A76" s="77"/>
      <c r="B76" s="77"/>
      <c r="C76" s="77"/>
      <c r="D76" s="77"/>
      <c r="E76" s="77"/>
      <c r="F76" s="77"/>
      <c r="G76" s="77"/>
      <c r="H76" s="77"/>
    </row>
  </sheetData>
  <mergeCells count="9">
    <mergeCell ref="G3:H3"/>
    <mergeCell ref="A65:A66"/>
    <mergeCell ref="M63:M64"/>
    <mergeCell ref="N63:O63"/>
    <mergeCell ref="P63:Q63"/>
    <mergeCell ref="R63:S63"/>
    <mergeCell ref="B65:C65"/>
    <mergeCell ref="D65:E65"/>
    <mergeCell ref="F65:G6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56AB3-9361-8C44-A4F2-9D057ECEF810}">
  <dimension ref="A1:G75"/>
  <sheetViews>
    <sheetView workbookViewId="0"/>
  </sheetViews>
  <sheetFormatPr baseColWidth="10" defaultColWidth="11" defaultRowHeight="16"/>
  <cols>
    <col min="1" max="1" width="16.1640625" style="159" customWidth="1"/>
    <col min="2" max="7" width="15.83203125" style="159" customWidth="1"/>
    <col min="8" max="16384" width="11" style="159"/>
  </cols>
  <sheetData>
    <row r="1" spans="1:7">
      <c r="A1" s="19" t="s">
        <v>649</v>
      </c>
    </row>
    <row r="3" spans="1:7" ht="65" customHeight="1">
      <c r="B3" s="160" t="s">
        <v>199</v>
      </c>
      <c r="C3" s="160" t="s">
        <v>522</v>
      </c>
      <c r="D3" s="161" t="s">
        <v>200</v>
      </c>
      <c r="E3" s="161" t="s">
        <v>201</v>
      </c>
      <c r="F3" s="161" t="s">
        <v>203</v>
      </c>
      <c r="G3" s="161" t="s">
        <v>204</v>
      </c>
    </row>
    <row r="4" spans="1:7" ht="17">
      <c r="B4" s="153" t="s">
        <v>109</v>
      </c>
      <c r="C4" s="153" t="s">
        <v>110</v>
      </c>
      <c r="D4" s="153" t="s">
        <v>111</v>
      </c>
      <c r="E4" s="153" t="s">
        <v>112</v>
      </c>
      <c r="F4" s="153" t="s">
        <v>113</v>
      </c>
      <c r="G4" s="153" t="s">
        <v>114</v>
      </c>
    </row>
    <row r="5" spans="1:7">
      <c r="A5" s="163">
        <v>1981</v>
      </c>
      <c r="B5" s="166">
        <v>1.805851915799304</v>
      </c>
      <c r="C5" s="166">
        <v>1.9392517733630033</v>
      </c>
      <c r="D5" s="166">
        <v>2.0946557244512318</v>
      </c>
      <c r="E5" s="166">
        <v>2.1758705626200014</v>
      </c>
      <c r="F5" s="166">
        <v>2.0420638724747451</v>
      </c>
      <c r="G5" s="166">
        <v>2.1212395981070697</v>
      </c>
    </row>
    <row r="6" spans="1:7">
      <c r="A6" s="163">
        <v>1982</v>
      </c>
      <c r="B6" s="166">
        <v>1.877217071417715</v>
      </c>
      <c r="C6" s="166">
        <v>2.0134092940442914</v>
      </c>
      <c r="D6" s="166">
        <v>2.1267482517482517</v>
      </c>
      <c r="E6" s="166">
        <v>2.2209522819959995</v>
      </c>
      <c r="F6" s="166">
        <v>2.1051492407558747</v>
      </c>
      <c r="G6" s="166">
        <v>2.1983965456915531</v>
      </c>
    </row>
    <row r="7" spans="1:7">
      <c r="A7" s="163">
        <v>1983</v>
      </c>
      <c r="B7" s="166">
        <v>1.9754768392370572</v>
      </c>
      <c r="C7" s="166">
        <v>2.1075884506648457</v>
      </c>
      <c r="D7" s="166">
        <v>2.1540205234764347</v>
      </c>
      <c r="E7" s="166">
        <v>2.259023180504601</v>
      </c>
      <c r="F7" s="166">
        <v>2.1156339538529711</v>
      </c>
      <c r="G7" s="166">
        <v>2.2187653697482292</v>
      </c>
    </row>
    <row r="8" spans="1:7">
      <c r="A8" s="163">
        <v>1984</v>
      </c>
      <c r="B8" s="166">
        <v>1.9944327317278012</v>
      </c>
      <c r="C8" s="166">
        <v>2.0346271704707974</v>
      </c>
      <c r="D8" s="166">
        <v>2.1495876746700504</v>
      </c>
      <c r="E8" s="166">
        <v>2.2375358361258399</v>
      </c>
      <c r="F8" s="166">
        <v>2.0960854977664751</v>
      </c>
      <c r="G8" s="166">
        <v>2.1818446728654868</v>
      </c>
    </row>
    <row r="9" spans="1:7">
      <c r="A9" s="163">
        <v>1985</v>
      </c>
      <c r="B9" s="166">
        <v>1.9590942089127188</v>
      </c>
      <c r="C9" s="166">
        <v>2.0139442936509093</v>
      </c>
      <c r="D9" s="166">
        <v>2.1233226958078046</v>
      </c>
      <c r="E9" s="166">
        <v>2.1990336426553041</v>
      </c>
      <c r="F9" s="166">
        <v>2.0567343815349513</v>
      </c>
      <c r="G9" s="166">
        <v>2.130071000479993</v>
      </c>
    </row>
    <row r="10" spans="1:7">
      <c r="A10" s="163">
        <v>1986</v>
      </c>
      <c r="B10" s="166">
        <v>2.0874238079866321</v>
      </c>
      <c r="C10" s="166">
        <v>2.105332925461405</v>
      </c>
      <c r="D10" s="166">
        <v>2.1549951580595095</v>
      </c>
      <c r="E10" s="166">
        <v>2.2347208559784826</v>
      </c>
      <c r="F10" s="166">
        <v>2.0994987369039668</v>
      </c>
      <c r="G10" s="166">
        <v>2.1771713021780319</v>
      </c>
    </row>
    <row r="11" spans="1:7">
      <c r="A11" s="163">
        <v>1987</v>
      </c>
      <c r="B11" s="166">
        <v>2.1041689881880989</v>
      </c>
      <c r="C11" s="166">
        <v>2.1272864263018509</v>
      </c>
      <c r="D11" s="166">
        <v>2.1583870041432496</v>
      </c>
      <c r="E11" s="166">
        <v>2.2481135514863344</v>
      </c>
      <c r="F11" s="166">
        <v>2.1356479879925283</v>
      </c>
      <c r="G11" s="166">
        <v>2.2244292491541886</v>
      </c>
    </row>
    <row r="12" spans="1:7">
      <c r="A12" s="163">
        <v>1988</v>
      </c>
      <c r="B12" s="166">
        <v>2.0529786534884686</v>
      </c>
      <c r="C12" s="166">
        <v>2.0440949463006319</v>
      </c>
      <c r="D12" s="166">
        <v>2.1368111227584561</v>
      </c>
      <c r="E12" s="166">
        <v>2.2343505345093666</v>
      </c>
      <c r="F12" s="166">
        <v>2.1241781512977767</v>
      </c>
      <c r="G12" s="166">
        <v>2.2211409034685228</v>
      </c>
    </row>
    <row r="13" spans="1:7">
      <c r="A13" s="163">
        <v>1989</v>
      </c>
      <c r="B13" s="166">
        <v>2.0078054852817018</v>
      </c>
      <c r="C13" s="166">
        <v>2.002116759267242</v>
      </c>
      <c r="D13" s="166">
        <v>2.1229412416946003</v>
      </c>
      <c r="E13" s="166">
        <v>2.220100139369225</v>
      </c>
      <c r="F13" s="166">
        <v>2.1168543806718914</v>
      </c>
      <c r="G13" s="166">
        <v>2.2137347060075134</v>
      </c>
    </row>
    <row r="14" spans="1:7">
      <c r="A14" s="163">
        <v>1990</v>
      </c>
      <c r="B14" s="166">
        <v>1.986194124810748</v>
      </c>
      <c r="C14" s="166">
        <v>1.978682239747432</v>
      </c>
      <c r="D14" s="166">
        <v>2.0996163703220261</v>
      </c>
      <c r="E14" s="166">
        <v>2.2011564936224235</v>
      </c>
      <c r="F14" s="166">
        <v>2.0967687388067726</v>
      </c>
      <c r="G14" s="166">
        <v>2.198171147018233</v>
      </c>
    </row>
    <row r="15" spans="1:7">
      <c r="A15" s="163">
        <v>1991</v>
      </c>
      <c r="B15" s="166">
        <v>1.9881072654547838</v>
      </c>
      <c r="C15" s="166">
        <v>2.01485377207633</v>
      </c>
      <c r="D15" s="166">
        <v>2.1191428518602975</v>
      </c>
      <c r="E15" s="166">
        <v>2.2194868362871518</v>
      </c>
      <c r="F15" s="166">
        <v>2.0990162664119856</v>
      </c>
      <c r="G15" s="166">
        <v>2.1984072326055397</v>
      </c>
    </row>
    <row r="16" spans="1:7">
      <c r="A16" s="163">
        <v>1992</v>
      </c>
      <c r="B16" s="166">
        <v>2.007416109437723</v>
      </c>
      <c r="C16" s="166">
        <v>2.0243098838260032</v>
      </c>
      <c r="D16" s="166">
        <v>2.1443137113364852</v>
      </c>
      <c r="E16" s="166">
        <v>2.2462851503315218</v>
      </c>
      <c r="F16" s="166">
        <v>2.1419497913384333</v>
      </c>
      <c r="G16" s="166">
        <v>2.2438088156608424</v>
      </c>
    </row>
    <row r="17" spans="1:7">
      <c r="A17" s="163">
        <v>1993</v>
      </c>
      <c r="B17" s="166">
        <v>2.0274765506929375</v>
      </c>
      <c r="C17" s="166">
        <v>2.0333196111568519</v>
      </c>
      <c r="D17" s="166">
        <v>2.138565643554748</v>
      </c>
      <c r="E17" s="166">
        <v>2.2446852621787903</v>
      </c>
      <c r="F17" s="166">
        <v>2.1488580712323802</v>
      </c>
      <c r="G17" s="166">
        <v>2.2554884193274392</v>
      </c>
    </row>
    <row r="18" spans="1:7">
      <c r="A18" s="163">
        <v>1994</v>
      </c>
      <c r="B18" s="166">
        <v>1.9970402994045244</v>
      </c>
      <c r="C18" s="166">
        <v>1.9856049472950312</v>
      </c>
      <c r="D18" s="166">
        <v>2.1364026365705069</v>
      </c>
      <c r="E18" s="166">
        <v>2.23086517795665</v>
      </c>
      <c r="F18" s="166">
        <v>2.1366826120069753</v>
      </c>
      <c r="G18" s="166">
        <v>2.2311575327034605</v>
      </c>
    </row>
    <row r="19" spans="1:7">
      <c r="A19" s="163">
        <v>1995</v>
      </c>
      <c r="B19" s="166">
        <v>2.049852035963498</v>
      </c>
      <c r="C19" s="166">
        <v>1.9990527172125321</v>
      </c>
      <c r="D19" s="166">
        <v>2.1338983214714373</v>
      </c>
      <c r="E19" s="166">
        <v>2.1959426813005583</v>
      </c>
      <c r="F19" s="166">
        <v>2.1489712012948763</v>
      </c>
      <c r="G19" s="166">
        <v>2.2114538140482423</v>
      </c>
    </row>
    <row r="20" spans="1:7">
      <c r="A20" s="163">
        <v>1996</v>
      </c>
      <c r="B20" s="166">
        <v>2.0138770972071351</v>
      </c>
      <c r="C20" s="166">
        <v>1.9877325195854987</v>
      </c>
      <c r="D20" s="166">
        <v>2.0999060951784729</v>
      </c>
      <c r="E20" s="166">
        <v>2.1691677461684695</v>
      </c>
      <c r="F20" s="166">
        <v>2.1145970249234418</v>
      </c>
      <c r="G20" s="166">
        <v>2.1843432299851901</v>
      </c>
    </row>
    <row r="21" spans="1:7">
      <c r="A21" s="163">
        <v>1997</v>
      </c>
      <c r="B21" s="166">
        <v>1.9255154224269675</v>
      </c>
      <c r="C21" s="166">
        <v>1.9237731103644944</v>
      </c>
      <c r="D21" s="166">
        <v>2.0429635441156986</v>
      </c>
      <c r="E21" s="166">
        <v>2.1269631524394312</v>
      </c>
      <c r="F21" s="166">
        <v>2.054818697324639</v>
      </c>
      <c r="G21" s="166">
        <v>2.139305748622593</v>
      </c>
    </row>
    <row r="22" spans="1:7">
      <c r="A22" s="163">
        <v>1998</v>
      </c>
      <c r="B22" s="166">
        <v>1.9383380752497481</v>
      </c>
      <c r="C22" s="166">
        <v>1.9148993073199434</v>
      </c>
      <c r="D22" s="166">
        <v>2.0399960921510361</v>
      </c>
      <c r="E22" s="166">
        <v>2.1209555966501283</v>
      </c>
      <c r="F22" s="166">
        <v>2.0608252544466206</v>
      </c>
      <c r="G22" s="166">
        <v>2.1426113873226349</v>
      </c>
    </row>
    <row r="23" spans="1:7">
      <c r="A23" s="163">
        <v>1999</v>
      </c>
      <c r="B23" s="166">
        <v>1.9604594380346989</v>
      </c>
      <c r="C23" s="166">
        <v>1.9348941435828202</v>
      </c>
      <c r="D23" s="166">
        <v>2.0484404684919424</v>
      </c>
      <c r="E23" s="166">
        <v>2.1257276754658956</v>
      </c>
      <c r="F23" s="166">
        <v>2.0713270811347013</v>
      </c>
      <c r="G23" s="166">
        <v>2.1494777949546973</v>
      </c>
    </row>
    <row r="24" spans="1:7">
      <c r="A24" s="163">
        <v>2000</v>
      </c>
      <c r="B24" s="166">
        <v>1.8889384135376481</v>
      </c>
      <c r="C24" s="166">
        <v>1.8779861665704092</v>
      </c>
      <c r="D24" s="166">
        <v>2.0026465719142243</v>
      </c>
      <c r="E24" s="166">
        <v>2.0626933181985203</v>
      </c>
      <c r="F24" s="166">
        <v>2.0139163222379133</v>
      </c>
      <c r="G24" s="166">
        <v>2.0743009772914673</v>
      </c>
    </row>
    <row r="25" spans="1:7">
      <c r="A25" s="163">
        <v>2001</v>
      </c>
      <c r="B25" s="166">
        <v>1.8790032353524506</v>
      </c>
      <c r="C25" s="166">
        <v>1.8788286826956098</v>
      </c>
      <c r="D25" s="166">
        <v>1.9648905117989772</v>
      </c>
      <c r="E25" s="166">
        <v>2.0338542301535063</v>
      </c>
      <c r="F25" s="166">
        <v>1.9900826132697156</v>
      </c>
      <c r="G25" s="166">
        <v>2.0599305238884722</v>
      </c>
    </row>
    <row r="26" spans="1:7">
      <c r="A26" s="163">
        <v>2002</v>
      </c>
      <c r="B26" s="166">
        <v>1.850976883522913</v>
      </c>
      <c r="C26" s="166">
        <v>1.9104847725818852</v>
      </c>
      <c r="D26" s="166">
        <v>1.9724521672839967</v>
      </c>
      <c r="E26" s="166">
        <v>2.0171744617807534</v>
      </c>
      <c r="F26" s="166">
        <v>1.9773144158475562</v>
      </c>
      <c r="G26" s="166">
        <v>2.0221469542913053</v>
      </c>
    </row>
    <row r="27" spans="1:7">
      <c r="A27" s="163">
        <v>2003</v>
      </c>
      <c r="B27" s="166">
        <v>1.8473046757633211</v>
      </c>
      <c r="C27" s="166">
        <v>1.9234652142849746</v>
      </c>
      <c r="D27" s="166">
        <v>1.9655734357294723</v>
      </c>
      <c r="E27" s="166">
        <v>1.9985284317243583</v>
      </c>
      <c r="F27" s="166">
        <v>1.958984963305521</v>
      </c>
      <c r="G27" s="166">
        <v>1.9918294963289422</v>
      </c>
    </row>
    <row r="28" spans="1:7">
      <c r="A28" s="163">
        <v>2004</v>
      </c>
      <c r="B28" s="166">
        <v>1.8343513776351676</v>
      </c>
      <c r="C28" s="166">
        <v>1.9131375895910248</v>
      </c>
      <c r="D28" s="166">
        <v>1.9460797678954309</v>
      </c>
      <c r="E28" s="166">
        <v>1.9800442151381472</v>
      </c>
      <c r="F28" s="166">
        <v>1.9471575078535097</v>
      </c>
      <c r="G28" s="166">
        <v>1.9811407646242585</v>
      </c>
    </row>
    <row r="29" spans="1:7">
      <c r="A29" s="163">
        <v>2005</v>
      </c>
      <c r="B29" s="166">
        <v>1.8038252942128181</v>
      </c>
      <c r="C29" s="166">
        <v>1.8684005150936178</v>
      </c>
      <c r="D29" s="166">
        <v>1.9119299805220382</v>
      </c>
      <c r="E29" s="166">
        <v>1.9524303856767256</v>
      </c>
      <c r="F29" s="166">
        <v>1.9095047018368496</v>
      </c>
      <c r="G29" s="166">
        <v>1.949953732322818</v>
      </c>
    </row>
    <row r="30" spans="1:7">
      <c r="A30" s="163">
        <v>2006</v>
      </c>
      <c r="B30" s="166">
        <v>1.7901863151508348</v>
      </c>
      <c r="C30" s="166">
        <v>1.8579003734410569</v>
      </c>
      <c r="D30" s="166">
        <v>1.8821652137760621</v>
      </c>
      <c r="E30" s="166">
        <v>1.9196150697208325</v>
      </c>
      <c r="F30" s="166">
        <v>1.8850770546382092</v>
      </c>
      <c r="G30" s="166">
        <v>1.9225848481221632</v>
      </c>
    </row>
    <row r="31" spans="1:7">
      <c r="A31" s="163">
        <v>2007</v>
      </c>
      <c r="B31" s="166">
        <v>1.7970907565059921</v>
      </c>
      <c r="C31" s="166">
        <v>1.8373767156455727</v>
      </c>
      <c r="D31" s="166">
        <v>1.9014410656450453</v>
      </c>
      <c r="E31" s="166">
        <v>1.9307379459035676</v>
      </c>
      <c r="F31" s="166">
        <v>1.9095534743255771</v>
      </c>
      <c r="G31" s="166">
        <v>1.938975348342789</v>
      </c>
    </row>
    <row r="32" spans="1:7">
      <c r="A32" s="163">
        <v>2008</v>
      </c>
      <c r="B32" s="166">
        <v>1.7405725024305374</v>
      </c>
      <c r="C32" s="166">
        <v>1.8330771344509507</v>
      </c>
      <c r="D32" s="166">
        <v>1.9251620764485087</v>
      </c>
      <c r="E32" s="166">
        <v>1.945262249783454</v>
      </c>
      <c r="F32" s="166">
        <v>1.9452515407883701</v>
      </c>
      <c r="G32" s="166">
        <v>1.9655614635882444</v>
      </c>
    </row>
    <row r="33" spans="1:7">
      <c r="A33" s="163">
        <v>2009</v>
      </c>
      <c r="B33" s="166">
        <v>1.8400925582975993</v>
      </c>
      <c r="C33" s="166">
        <v>1.8609694451616572</v>
      </c>
      <c r="D33" s="166">
        <v>1.9532184123952272</v>
      </c>
      <c r="E33" s="166">
        <v>1.9673772748541449</v>
      </c>
      <c r="F33" s="166">
        <v>1.9735595030835347</v>
      </c>
      <c r="G33" s="166">
        <v>1.9878658179233493</v>
      </c>
    </row>
    <row r="34" spans="1:7">
      <c r="A34" s="163">
        <v>2010</v>
      </c>
      <c r="B34" s="166">
        <v>1.8168144015058389</v>
      </c>
      <c r="C34" s="166">
        <v>1.8410927301825468</v>
      </c>
      <c r="D34" s="166">
        <v>1.9468086114393046</v>
      </c>
      <c r="E34" s="166">
        <v>1.9847191708571681</v>
      </c>
      <c r="F34" s="166">
        <v>1.9617108786288884</v>
      </c>
      <c r="G34" s="166">
        <v>1.9999116326156645</v>
      </c>
    </row>
    <row r="35" spans="1:7">
      <c r="A35" s="163">
        <v>2011</v>
      </c>
      <c r="B35" s="166">
        <v>1.7790236310660896</v>
      </c>
      <c r="C35" s="166">
        <v>1.7897261166574403</v>
      </c>
      <c r="D35" s="166">
        <v>1.9264004985175918</v>
      </c>
      <c r="E35" s="166">
        <v>1.9763059480427148</v>
      </c>
      <c r="F35" s="166">
        <v>1.9295399351010423</v>
      </c>
      <c r="G35" s="166">
        <v>1.9795267150629432</v>
      </c>
    </row>
    <row r="36" spans="1:7">
      <c r="A36" s="163">
        <v>2012</v>
      </c>
      <c r="B36" s="166">
        <v>1.7402026378050361</v>
      </c>
      <c r="C36" s="166">
        <v>1.7401479092885785</v>
      </c>
      <c r="D36" s="166">
        <v>1.9102236845349105</v>
      </c>
      <c r="E36" s="166">
        <v>1.9647401453380366</v>
      </c>
      <c r="F36" s="166">
        <v>1.9102236845349105</v>
      </c>
      <c r="G36" s="166">
        <v>1.9647401453380366</v>
      </c>
    </row>
    <row r="37" spans="1:7">
      <c r="A37" s="163">
        <v>2013</v>
      </c>
      <c r="B37" s="166">
        <v>1.676491012996735</v>
      </c>
      <c r="C37" s="166">
        <v>1.6959404928656581</v>
      </c>
      <c r="D37" s="166">
        <v>1.8852946377543303</v>
      </c>
      <c r="E37" s="166">
        <v>1.9285551885089136</v>
      </c>
      <c r="F37" s="166">
        <v>1.8868689597223798</v>
      </c>
      <c r="G37" s="166">
        <v>1.9301656353531704</v>
      </c>
    </row>
    <row r="38" spans="1:7">
      <c r="A38" s="163">
        <v>2014</v>
      </c>
      <c r="B38" s="166">
        <v>1.6272511176010001</v>
      </c>
      <c r="C38" s="166">
        <v>1.6505478256981567</v>
      </c>
      <c r="D38" s="166">
        <v>1.8682158312994361</v>
      </c>
      <c r="E38" s="166">
        <v>1.9152132611599817</v>
      </c>
      <c r="F38" s="166">
        <v>1.8788237609822456</v>
      </c>
      <c r="G38" s="166">
        <v>1.9260880472856501</v>
      </c>
    </row>
    <row r="39" spans="1:7">
      <c r="A39" s="163">
        <v>2015</v>
      </c>
      <c r="B39" s="166">
        <v>1.6806828235551821</v>
      </c>
      <c r="C39" s="166">
        <v>1.6504312793760654</v>
      </c>
      <c r="D39" s="166">
        <v>1.834463185526052</v>
      </c>
      <c r="E39" s="166">
        <v>1.8733847842248734</v>
      </c>
      <c r="F39" s="166">
        <v>1.8565832257457795</v>
      </c>
      <c r="G39" s="166">
        <v>1.8959741428454429</v>
      </c>
    </row>
    <row r="40" spans="1:7">
      <c r="A40" s="163">
        <v>2016</v>
      </c>
      <c r="B40" s="166">
        <v>1.6948608639199025</v>
      </c>
      <c r="C40" s="166">
        <v>1.6473125889803466</v>
      </c>
      <c r="D40" s="166">
        <v>1.8722653712758148</v>
      </c>
      <c r="E40" s="166">
        <v>1.9316570706187906</v>
      </c>
      <c r="F40" s="166">
        <v>1.8798087025050334</v>
      </c>
      <c r="G40" s="166">
        <v>1.9394396901814279</v>
      </c>
    </row>
    <row r="41" spans="1:7">
      <c r="A41" s="163">
        <v>2017</v>
      </c>
      <c r="B41" s="166">
        <v>1.673704278297949</v>
      </c>
      <c r="C41" s="166">
        <v>1.6384663906938841</v>
      </c>
      <c r="D41" s="166">
        <v>1.854036677352336</v>
      </c>
      <c r="E41" s="166">
        <v>1.9036176386262609</v>
      </c>
      <c r="F41" s="166">
        <v>1.8472740528402791</v>
      </c>
      <c r="G41" s="166">
        <v>1.8966741668698432</v>
      </c>
    </row>
    <row r="42" spans="1:7">
      <c r="A42" s="163">
        <v>2018</v>
      </c>
      <c r="B42" s="166">
        <v>1.6630303052033732</v>
      </c>
      <c r="C42" s="166">
        <v>1.6074523459859964</v>
      </c>
      <c r="D42" s="166">
        <v>1.8340503544497442</v>
      </c>
      <c r="E42" s="166">
        <v>1.8890657208558304</v>
      </c>
      <c r="F42" s="166">
        <v>1.8303390223450551</v>
      </c>
      <c r="G42" s="166">
        <v>1.8852430612212843</v>
      </c>
    </row>
    <row r="43" spans="1:7">
      <c r="A43" s="163">
        <v>2019</v>
      </c>
      <c r="B43" s="166">
        <v>1.6547280665007149</v>
      </c>
      <c r="C43" s="166">
        <v>1.5967243557544484</v>
      </c>
      <c r="D43" s="166">
        <v>1.8104719973146874</v>
      </c>
      <c r="E43" s="166">
        <v>1.8567956016398002</v>
      </c>
      <c r="F43" s="166">
        <v>1.8109402310171379</v>
      </c>
      <c r="G43" s="166">
        <v>1.8572758157941971</v>
      </c>
    </row>
    <row r="44" spans="1:7">
      <c r="A44" s="163"/>
      <c r="B44" s="166"/>
      <c r="C44" s="166"/>
      <c r="D44" s="166"/>
      <c r="E44" s="166"/>
      <c r="F44" s="166"/>
      <c r="G44" s="166"/>
    </row>
    <row r="45" spans="1:7">
      <c r="A45" s="163" t="s">
        <v>68</v>
      </c>
    </row>
    <row r="46" spans="1:7">
      <c r="A46" s="163" t="s">
        <v>209</v>
      </c>
      <c r="B46" s="166">
        <f>B43-B5</f>
        <v>-0.15112384929858913</v>
      </c>
      <c r="C46" s="166">
        <f t="shared" ref="C46:G46" si="0">C43-C5</f>
        <v>-0.34252741760855487</v>
      </c>
      <c r="D46" s="166">
        <f t="shared" si="0"/>
        <v>-0.28418372713654438</v>
      </c>
      <c r="E46" s="166">
        <f t="shared" si="0"/>
        <v>-0.31907496098020127</v>
      </c>
      <c r="F46" s="166">
        <f t="shared" si="0"/>
        <v>-0.23112364145760722</v>
      </c>
      <c r="G46" s="166">
        <f t="shared" si="0"/>
        <v>-0.26396378231287265</v>
      </c>
    </row>
    <row r="47" spans="1:7">
      <c r="A47" s="163" t="s">
        <v>210</v>
      </c>
      <c r="B47" s="166">
        <f>B24-B5</f>
        <v>8.3086497738344089E-2</v>
      </c>
      <c r="C47" s="166">
        <f t="shared" ref="C47:G47" si="1">C24-C5</f>
        <v>-6.1265606792594074E-2</v>
      </c>
      <c r="D47" s="166">
        <f t="shared" si="1"/>
        <v>-9.2009152537007477E-2</v>
      </c>
      <c r="E47" s="166">
        <f t="shared" si="1"/>
        <v>-0.11317724442148114</v>
      </c>
      <c r="F47" s="166">
        <f t="shared" si="1"/>
        <v>-2.8147550236831798E-2</v>
      </c>
      <c r="G47" s="166">
        <f t="shared" si="1"/>
        <v>-4.6938620815602405E-2</v>
      </c>
    </row>
    <row r="48" spans="1:7">
      <c r="A48" s="163" t="s">
        <v>47</v>
      </c>
      <c r="B48" s="166">
        <f>B43-B24</f>
        <v>-0.23421034703693322</v>
      </c>
      <c r="C48" s="166">
        <f t="shared" ref="C48:G48" si="2">C43-C24</f>
        <v>-0.2812618108159608</v>
      </c>
      <c r="D48" s="166">
        <f t="shared" si="2"/>
        <v>-0.19217457459953691</v>
      </c>
      <c r="E48" s="166">
        <f t="shared" si="2"/>
        <v>-0.20589771655872013</v>
      </c>
      <c r="F48" s="166">
        <f t="shared" si="2"/>
        <v>-0.20297609122077542</v>
      </c>
      <c r="G48" s="166">
        <f t="shared" si="2"/>
        <v>-0.21702516149727025</v>
      </c>
    </row>
    <row r="49" spans="1:5">
      <c r="A49" s="163"/>
    </row>
    <row r="50" spans="1:5">
      <c r="A50" s="163"/>
    </row>
    <row r="51" spans="1:5">
      <c r="A51" s="163" t="s">
        <v>117</v>
      </c>
      <c r="B51" s="159" t="s">
        <v>523</v>
      </c>
    </row>
    <row r="52" spans="1:5">
      <c r="A52" s="163"/>
      <c r="B52" s="159" t="s">
        <v>524</v>
      </c>
    </row>
    <row r="53" spans="1:5">
      <c r="A53" s="163"/>
      <c r="B53" s="159" t="s">
        <v>507</v>
      </c>
    </row>
    <row r="54" spans="1:5">
      <c r="A54" s="163"/>
    </row>
    <row r="55" spans="1:5">
      <c r="A55" s="163"/>
    </row>
    <row r="56" spans="1:5">
      <c r="A56" s="163"/>
    </row>
    <row r="61" spans="1:5">
      <c r="A61" s="5"/>
    </row>
    <row r="62" spans="1:5">
      <c r="B62" s="348"/>
      <c r="C62" s="348"/>
      <c r="D62" s="348"/>
      <c r="E62" s="348"/>
    </row>
    <row r="63" spans="1:5">
      <c r="B63" s="162"/>
      <c r="C63" s="162"/>
      <c r="D63" s="162"/>
      <c r="E63" s="162"/>
    </row>
    <row r="64" spans="1:5" ht="32" customHeight="1">
      <c r="A64" s="347"/>
      <c r="B64" s="166"/>
      <c r="C64" s="166"/>
      <c r="D64" s="166"/>
      <c r="E64" s="166"/>
    </row>
    <row r="65" spans="1:5">
      <c r="A65" s="347"/>
      <c r="B65" s="166"/>
      <c r="C65" s="166"/>
      <c r="D65" s="166"/>
      <c r="E65" s="166"/>
    </row>
    <row r="66" spans="1:5">
      <c r="A66" s="163"/>
      <c r="B66" s="166"/>
      <c r="C66" s="166"/>
      <c r="D66" s="166"/>
      <c r="E66" s="166"/>
    </row>
    <row r="67" spans="1:5">
      <c r="A67" s="163"/>
      <c r="B67" s="166"/>
      <c r="C67" s="166"/>
      <c r="D67" s="166"/>
      <c r="E67" s="166"/>
    </row>
    <row r="68" spans="1:5">
      <c r="A68" s="163"/>
      <c r="B68" s="166"/>
      <c r="C68" s="166"/>
      <c r="D68" s="166"/>
      <c r="E68" s="166"/>
    </row>
    <row r="69" spans="1:5">
      <c r="A69" s="163"/>
      <c r="B69" s="166"/>
      <c r="C69" s="166"/>
      <c r="D69" s="166"/>
      <c r="E69" s="166"/>
    </row>
    <row r="70" spans="1:5">
      <c r="A70" s="163"/>
      <c r="B70" s="166"/>
      <c r="C70" s="166"/>
      <c r="D70" s="166"/>
      <c r="E70" s="166"/>
    </row>
    <row r="71" spans="1:5">
      <c r="A71" s="163"/>
    </row>
    <row r="72" spans="1:5">
      <c r="A72" s="163"/>
    </row>
    <row r="73" spans="1:5">
      <c r="A73" s="77"/>
    </row>
    <row r="74" spans="1:5">
      <c r="A74" s="77"/>
    </row>
    <row r="75" spans="1:5">
      <c r="A75" s="77"/>
    </row>
  </sheetData>
  <mergeCells count="3">
    <mergeCell ref="B62:C62"/>
    <mergeCell ref="D62:E62"/>
    <mergeCell ref="A64:A6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BC9E-5917-6E4C-8907-05BC750E91C1}">
  <dimension ref="A1:S74"/>
  <sheetViews>
    <sheetView zoomScale="75" zoomScaleNormal="86" workbookViewId="0"/>
  </sheetViews>
  <sheetFormatPr baseColWidth="10" defaultColWidth="11" defaultRowHeight="16"/>
  <cols>
    <col min="1" max="1" width="13.33203125" style="5" customWidth="1"/>
    <col min="2" max="3" width="18.6640625" style="5" customWidth="1"/>
    <col min="4" max="8" width="12.6640625" style="5" customWidth="1"/>
    <col min="9" max="16384" width="11" style="5"/>
  </cols>
  <sheetData>
    <row r="1" spans="1:11">
      <c r="A1" s="3" t="s">
        <v>650</v>
      </c>
    </row>
    <row r="3" spans="1:11">
      <c r="G3" s="328"/>
      <c r="H3" s="328"/>
    </row>
    <row r="4" spans="1:11" ht="65" customHeight="1">
      <c r="B4" s="82" t="s">
        <v>514</v>
      </c>
      <c r="C4" s="82" t="s">
        <v>513</v>
      </c>
      <c r="D4" s="153" t="s">
        <v>515</v>
      </c>
      <c r="E4" s="153" t="s">
        <v>516</v>
      </c>
      <c r="F4" s="153" t="s">
        <v>202</v>
      </c>
      <c r="G4" s="153" t="s">
        <v>517</v>
      </c>
      <c r="H4" s="153" t="s">
        <v>518</v>
      </c>
      <c r="K4" s="170"/>
    </row>
    <row r="5" spans="1:11" ht="17">
      <c r="B5" s="82" t="s">
        <v>109</v>
      </c>
      <c r="C5" s="82" t="s">
        <v>110</v>
      </c>
      <c r="D5" s="153" t="s">
        <v>111</v>
      </c>
      <c r="E5" s="153" t="s">
        <v>112</v>
      </c>
      <c r="F5" s="153" t="s">
        <v>113</v>
      </c>
      <c r="G5" s="152" t="s">
        <v>509</v>
      </c>
      <c r="H5" s="152" t="s">
        <v>510</v>
      </c>
      <c r="K5" s="171"/>
    </row>
    <row r="6" spans="1:11">
      <c r="A6" s="6">
        <v>1981</v>
      </c>
      <c r="B6" s="20">
        <v>9416.2545049954842</v>
      </c>
      <c r="C6" s="16">
        <v>23920.004303279267</v>
      </c>
      <c r="D6" s="20">
        <v>9242.1415609013111</v>
      </c>
      <c r="E6" s="20">
        <v>6464.8277697405856</v>
      </c>
      <c r="F6" s="154">
        <v>59.058702215070298</v>
      </c>
      <c r="G6" s="20">
        <f>((D6/F6*100)/706438)*1000000</f>
        <v>22152.08782770059</v>
      </c>
      <c r="H6" s="20">
        <f>((E6/F6*100)/706438)*1000000</f>
        <v>15495.264988376257</v>
      </c>
      <c r="K6" s="172"/>
    </row>
    <row r="7" spans="1:11">
      <c r="A7" s="6">
        <v>1982</v>
      </c>
      <c r="B7" s="20">
        <v>10300.272666748649</v>
      </c>
      <c r="C7" s="16">
        <v>24008.526313260027</v>
      </c>
      <c r="D7" s="20">
        <v>10317.234828406532</v>
      </c>
      <c r="E7" s="20">
        <v>7251.3241087444185</v>
      </c>
      <c r="F7" s="154">
        <v>64.419138536763754</v>
      </c>
      <c r="G7" s="20">
        <f>((D7/F7*100)/707457)*1000000</f>
        <v>22638.536853697788</v>
      </c>
      <c r="H7" s="20">
        <f>((E7/F7*100)/707457)*1000000</f>
        <v>15911.178799762934</v>
      </c>
      <c r="K7" s="172"/>
    </row>
    <row r="8" spans="1:11">
      <c r="A8" s="6">
        <v>1983</v>
      </c>
      <c r="B8" s="20">
        <v>11643.13232854253</v>
      </c>
      <c r="C8" s="16">
        <v>25518.92586053981</v>
      </c>
      <c r="D8" s="20">
        <v>10847.152237837172</v>
      </c>
      <c r="E8" s="20">
        <v>7709.395922455592</v>
      </c>
      <c r="F8" s="154">
        <v>67.996224867941692</v>
      </c>
      <c r="G8" s="20">
        <f>((D8/F8*100)/714842)*1000000</f>
        <v>22316.23225996855</v>
      </c>
      <c r="H8" s="20">
        <f>((E8/F8*100)/714842)*1000000</f>
        <v>15860.814545355523</v>
      </c>
      <c r="K8" s="172"/>
    </row>
    <row r="9" spans="1:11">
      <c r="A9" s="6">
        <v>1984</v>
      </c>
      <c r="B9" s="20">
        <v>12788.554424223583</v>
      </c>
      <c r="C9" s="16">
        <v>25886.621290014547</v>
      </c>
      <c r="D9" s="20">
        <v>11617.126170040308</v>
      </c>
      <c r="E9" s="20">
        <v>8211.1013646306401</v>
      </c>
      <c r="F9" s="154">
        <v>70.876369586296789</v>
      </c>
      <c r="G9" s="20">
        <f>((D9/F9*100)/720488)*1000000</f>
        <v>22749.428454974601</v>
      </c>
      <c r="H9" s="20">
        <f>((E9/F9*100)/720488)*1000000</f>
        <v>16079.524341652297</v>
      </c>
      <c r="K9" s="172"/>
    </row>
    <row r="10" spans="1:11">
      <c r="A10" s="6">
        <v>1985</v>
      </c>
      <c r="B10" s="20">
        <v>13543.724690199049</v>
      </c>
      <c r="C10" s="16">
        <v>26733.509657991915</v>
      </c>
      <c r="D10" s="20">
        <v>12400.333477582204</v>
      </c>
      <c r="E10" s="20">
        <v>8790.4248244472819</v>
      </c>
      <c r="F10" s="154">
        <v>73.888543483872482</v>
      </c>
      <c r="G10" s="20">
        <f>((D10/F10*100)/723287)*1000000</f>
        <v>23203.077979524984</v>
      </c>
      <c r="H10" s="20">
        <f>((E10/F10*100)/723287)*1000000</f>
        <v>16448.340929180496</v>
      </c>
      <c r="K10" s="172"/>
    </row>
    <row r="11" spans="1:11">
      <c r="A11" s="6">
        <v>1986</v>
      </c>
      <c r="B11" s="20">
        <v>15162.361262256574</v>
      </c>
      <c r="C11" s="16">
        <v>28477.87437294747</v>
      </c>
      <c r="D11" s="20">
        <v>13443.785611135709</v>
      </c>
      <c r="E11" s="20">
        <v>9431.4769681897978</v>
      </c>
      <c r="F11" s="154">
        <v>76.312301956857709</v>
      </c>
      <c r="G11" s="20">
        <f>((D11/F11*100)/725019)*1000000</f>
        <v>24298.397697163797</v>
      </c>
      <c r="H11" s="20">
        <f>((E11/F11*100)/725019)*1000000</f>
        <v>17046.521335098598</v>
      </c>
      <c r="K11" s="172"/>
    </row>
    <row r="12" spans="1:11">
      <c r="A12" s="6">
        <v>1987</v>
      </c>
      <c r="B12" s="20">
        <v>16605.566609139176</v>
      </c>
      <c r="C12" s="16">
        <v>29833.683261698785</v>
      </c>
      <c r="D12" s="20">
        <v>14459.278231524331</v>
      </c>
      <c r="E12" s="20">
        <v>10082.88355629816</v>
      </c>
      <c r="F12" s="154">
        <v>78.163983442030087</v>
      </c>
      <c r="G12" s="20">
        <f>((D12/F12*100)/727768)*1000000</f>
        <v>25418.32772688715</v>
      </c>
      <c r="H12" s="20">
        <f>((E12/F12*100)/727768)*1000000</f>
        <v>17724.953802137974</v>
      </c>
      <c r="K12" s="172"/>
    </row>
    <row r="13" spans="1:11">
      <c r="A13" s="6">
        <v>1988</v>
      </c>
      <c r="B13" s="20">
        <v>17621.712359433641</v>
      </c>
      <c r="C13" s="16">
        <v>29825.467002761696</v>
      </c>
      <c r="D13" s="20">
        <v>15685.65165420915</v>
      </c>
      <c r="E13" s="20">
        <v>10863.299600601906</v>
      </c>
      <c r="F13" s="154">
        <v>80.581282395667614</v>
      </c>
      <c r="G13" s="20">
        <f>((D13/F13*100)/730349)*1000000</f>
        <v>26652.50002525789</v>
      </c>
      <c r="H13" s="20">
        <f>((E13/F13*100)/730349)*1000000</f>
        <v>18458.531354783179</v>
      </c>
      <c r="K13" s="172"/>
    </row>
    <row r="14" spans="1:11">
      <c r="A14" s="6">
        <v>1989</v>
      </c>
      <c r="B14" s="20">
        <v>18342.358960128087</v>
      </c>
      <c r="C14" s="16">
        <v>29695.468414387135</v>
      </c>
      <c r="D14" s="20">
        <v>16929.001576594041</v>
      </c>
      <c r="E14" s="20">
        <v>11701.347654629324</v>
      </c>
      <c r="F14" s="154">
        <v>83.848337179318293</v>
      </c>
      <c r="G14" s="20">
        <f>((D14/F14*100)/735129)*1000000</f>
        <v>27464.603621602033</v>
      </c>
      <c r="H14" s="20">
        <f>((E14/F14*100)/735129)*1000000</f>
        <v>18983.569333308213</v>
      </c>
      <c r="K14" s="172"/>
    </row>
    <row r="15" spans="1:11">
      <c r="A15" s="6">
        <v>1990</v>
      </c>
      <c r="B15" s="20">
        <v>18663.633071946995</v>
      </c>
      <c r="C15" s="16">
        <v>29196.547754797637</v>
      </c>
      <c r="D15" s="20">
        <v>17820.567556028727</v>
      </c>
      <c r="E15" s="20">
        <v>11993.417603856486</v>
      </c>
      <c r="F15" s="154">
        <v>87.154865624694636</v>
      </c>
      <c r="G15" s="20">
        <f>((D15/F15*100)/740156)*1000000</f>
        <v>27625.276262204628</v>
      </c>
      <c r="H15" s="20">
        <f>((E15/F15*100)/740156)*1000000</f>
        <v>18592.083197846139</v>
      </c>
      <c r="K15" s="172"/>
    </row>
    <row r="16" spans="1:11">
      <c r="A16" s="6">
        <v>1991</v>
      </c>
      <c r="B16" s="20">
        <v>18713.274595039748</v>
      </c>
      <c r="C16" s="16">
        <v>28898.81124030436</v>
      </c>
      <c r="D16" s="20">
        <v>18447.704901102115</v>
      </c>
      <c r="E16" s="20">
        <v>12454.950393458939</v>
      </c>
      <c r="F16" s="154">
        <v>92.129244709280229</v>
      </c>
      <c r="G16" s="20">
        <f>((D16/F16*100)/745567)*1000000</f>
        <v>26857.04054814389</v>
      </c>
      <c r="H16" s="20">
        <f>((E16/F16*100)/745567)*1000000</f>
        <v>18132.505346085807</v>
      </c>
      <c r="K16" s="172"/>
    </row>
    <row r="17" spans="1:11">
      <c r="A17" s="6">
        <v>1992</v>
      </c>
      <c r="B17" s="20">
        <v>19277.630222918488</v>
      </c>
      <c r="C17" s="16">
        <v>29195.811907432086</v>
      </c>
      <c r="D17" s="20">
        <v>19059.751029579438</v>
      </c>
      <c r="E17" s="20">
        <v>12960.470298253893</v>
      </c>
      <c r="F17" s="154">
        <v>92.362546507500397</v>
      </c>
      <c r="G17" s="20">
        <f>((D17/F17*100)/748121)*1000000</f>
        <v>27583.506828098354</v>
      </c>
      <c r="H17" s="20">
        <f>((E17/F17*100)/748121)*1000000</f>
        <v>18756.552507556047</v>
      </c>
      <c r="K17" s="172"/>
    </row>
    <row r="18" spans="1:11">
      <c r="A18" s="6">
        <v>1993</v>
      </c>
      <c r="B18" s="20">
        <v>20226.705768604137</v>
      </c>
      <c r="C18" s="16">
        <v>30078.310710832626</v>
      </c>
      <c r="D18" s="20">
        <v>19422.765660806715</v>
      </c>
      <c r="E18" s="20">
        <v>13374.5185707494</v>
      </c>
      <c r="F18" s="154">
        <v>93.481407883420673</v>
      </c>
      <c r="G18" s="20">
        <f>((D18/F18*100)/748812)*1000000</f>
        <v>27746.808086866738</v>
      </c>
      <c r="H18" s="20">
        <f>((E18/F18*100)/748812)*1000000</f>
        <v>19106.455101070569</v>
      </c>
      <c r="K18" s="172"/>
    </row>
    <row r="19" spans="1:11">
      <c r="A19" s="6">
        <v>1994</v>
      </c>
      <c r="B19" s="20">
        <v>21082.79957610456</v>
      </c>
      <c r="C19" s="16">
        <v>30636.443010724022</v>
      </c>
      <c r="D19" s="20">
        <v>19848.437385444922</v>
      </c>
      <c r="E19" s="20">
        <v>13517.998893606244</v>
      </c>
      <c r="F19" s="154">
        <v>93.856630118669088</v>
      </c>
      <c r="G19" s="20">
        <f>((D19/F19*100)/750185)*1000000</f>
        <v>28189.864505521313</v>
      </c>
      <c r="H19" s="20">
        <f>((E19/F19*100)/750185)*1000000</f>
        <v>19199.020547380227</v>
      </c>
      <c r="K19" s="172"/>
    </row>
    <row r="20" spans="1:11">
      <c r="A20" s="6">
        <v>1995</v>
      </c>
      <c r="B20" s="20">
        <v>22700.79087227659</v>
      </c>
      <c r="C20" s="16">
        <v>31642.881017600535</v>
      </c>
      <c r="D20" s="20">
        <v>20574.131458712582</v>
      </c>
      <c r="E20" s="20">
        <v>13617.544873578952</v>
      </c>
      <c r="F20" s="154">
        <v>95.180872364567733</v>
      </c>
      <c r="G20" s="20">
        <f>((D20/F20*100)/750943)*1000000</f>
        <v>28784.908692235487</v>
      </c>
      <c r="H20" s="20">
        <f>((E20/F20*100)/750943)*1000000</f>
        <v>19052.069662576054</v>
      </c>
      <c r="K20" s="172"/>
    </row>
    <row r="21" spans="1:11">
      <c r="A21" s="6">
        <v>1996</v>
      </c>
      <c r="B21" s="20">
        <v>23018.392381438527</v>
      </c>
      <c r="C21" s="16">
        <v>31916.816879090962</v>
      </c>
      <c r="D21" s="20">
        <v>20689.435148112108</v>
      </c>
      <c r="E21" s="20">
        <v>13711.868642558238</v>
      </c>
      <c r="F21" s="154">
        <v>96.42970803830201</v>
      </c>
      <c r="G21" s="20">
        <f>((D21/F21*100)/752268)*1000000</f>
        <v>28521.02924372517</v>
      </c>
      <c r="H21" s="20">
        <f>((E21/F21*100)/752268)*1000000</f>
        <v>18902.236998780849</v>
      </c>
      <c r="K21" s="172"/>
    </row>
    <row r="22" spans="1:11">
      <c r="A22" s="6">
        <v>1997</v>
      </c>
      <c r="B22" s="20">
        <v>23206.305289889449</v>
      </c>
      <c r="C22" s="16">
        <v>32201.522635549511</v>
      </c>
      <c r="D22" s="20">
        <v>20900.691152687468</v>
      </c>
      <c r="E22" s="20">
        <v>13989.164277997268</v>
      </c>
      <c r="F22" s="154">
        <v>98.1413680549433</v>
      </c>
      <c r="G22" s="20">
        <f>((D22/F22*100)/752511)*1000000</f>
        <v>28300.602892651183</v>
      </c>
      <c r="H22" s="20">
        <f>((E22/F22*100)/752511)*1000000</f>
        <v>18942.042640573436</v>
      </c>
      <c r="K22" s="172"/>
    </row>
    <row r="23" spans="1:11">
      <c r="A23" s="6">
        <v>1998</v>
      </c>
      <c r="B23" s="20">
        <v>24290.834476969609</v>
      </c>
      <c r="C23" s="16">
        <v>33389.737918537568</v>
      </c>
      <c r="D23" s="20">
        <v>21979.134744780356</v>
      </c>
      <c r="E23" s="20">
        <v>14654.977149481034</v>
      </c>
      <c r="F23" s="154">
        <v>98.946471269592436</v>
      </c>
      <c r="G23" s="20">
        <f>((D23/F23*100)/750530)*1000000</f>
        <v>29596.627360521012</v>
      </c>
      <c r="H23" s="20">
        <f>((E23/F23*100)/750530)*1000000</f>
        <v>19734.075190250398</v>
      </c>
      <c r="K23" s="172"/>
    </row>
    <row r="24" spans="1:11">
      <c r="A24" s="6">
        <v>1999</v>
      </c>
      <c r="B24" s="20">
        <v>26325.571109017976</v>
      </c>
      <c r="C24" s="16">
        <v>35476.904507188243</v>
      </c>
      <c r="D24" s="20">
        <v>23084.168552932915</v>
      </c>
      <c r="E24" s="20">
        <v>15470.269823781209</v>
      </c>
      <c r="F24" s="154">
        <v>100.57514348993476</v>
      </c>
      <c r="G24" s="20">
        <f>((D24/F24*100)/750601)*1000000</f>
        <v>30578.377453396479</v>
      </c>
      <c r="H24" s="20">
        <f>((E24/F24*100)/750601)*1000000</f>
        <v>20492.648409351874</v>
      </c>
      <c r="K24" s="172"/>
    </row>
    <row r="25" spans="1:11">
      <c r="A25" s="6">
        <v>2000</v>
      </c>
      <c r="B25" s="20">
        <v>27838.143573030324</v>
      </c>
      <c r="C25" s="16">
        <v>36220.36542809823</v>
      </c>
      <c r="D25" s="20">
        <v>24096.722659180272</v>
      </c>
      <c r="E25" s="20">
        <v>15931.684425535997</v>
      </c>
      <c r="F25" s="154">
        <v>103.86283011861309</v>
      </c>
      <c r="G25" s="20">
        <f>((D25/F25*100)/750517)*1000000</f>
        <v>30912.725177917913</v>
      </c>
      <c r="H25" s="20">
        <f>((E25/F25*100)/750517)*1000000</f>
        <v>20438.123027501493</v>
      </c>
      <c r="K25" s="172"/>
    </row>
    <row r="26" spans="1:11">
      <c r="A26" s="6">
        <v>2001</v>
      </c>
      <c r="B26" s="20">
        <v>28681.550238723961</v>
      </c>
      <c r="C26" s="16">
        <v>36919.527353231446</v>
      </c>
      <c r="D26" s="20">
        <v>24751.273639006697</v>
      </c>
      <c r="E26" s="20">
        <v>16689.338774639251</v>
      </c>
      <c r="F26" s="154">
        <v>105.81774598581255</v>
      </c>
      <c r="G26" s="20">
        <f>((D26/F26*100)/749820)*1000000</f>
        <v>31194.787024367943</v>
      </c>
      <c r="H26" s="20">
        <f>((E26/F26*100)/749820)*1000000</f>
        <v>21034.083992830463</v>
      </c>
      <c r="K26" s="172"/>
    </row>
    <row r="27" spans="1:11">
      <c r="A27" s="6">
        <v>2002</v>
      </c>
      <c r="B27" s="20">
        <v>29484.688512514476</v>
      </c>
      <c r="C27" s="16">
        <v>38697.736237809797</v>
      </c>
      <c r="D27" s="20">
        <v>25411.944935225765</v>
      </c>
      <c r="E27" s="20">
        <v>17297.150147056469</v>
      </c>
      <c r="F27" s="154">
        <v>109.38120601617634</v>
      </c>
      <c r="G27" s="20">
        <f>((D27/F27*100)/749372)*1000000</f>
        <v>31002.572820975434</v>
      </c>
      <c r="H27" s="20">
        <f>((E27/F27*100)/749372)*1000000</f>
        <v>21102.52317940889</v>
      </c>
      <c r="K27" s="172"/>
    </row>
    <row r="28" spans="1:11">
      <c r="A28" s="6">
        <v>2003</v>
      </c>
      <c r="B28" s="20">
        <v>30928.385289836027</v>
      </c>
      <c r="C28" s="16">
        <v>39658.892427822866</v>
      </c>
      <c r="D28" s="20">
        <v>26200.861708927056</v>
      </c>
      <c r="E28" s="20">
        <v>17686.515683022411</v>
      </c>
      <c r="F28" s="154">
        <v>113.08975404422193</v>
      </c>
      <c r="G28" s="20">
        <f>((D28/F28*100)/749441)*1000000</f>
        <v>30913.976097573512</v>
      </c>
      <c r="H28" s="20">
        <f>((E28/F28*100)/749441)*1000000</f>
        <v>20868.035912270159</v>
      </c>
      <c r="K28" s="172"/>
    </row>
    <row r="29" spans="1:11">
      <c r="A29" s="6">
        <v>2004</v>
      </c>
      <c r="B29" s="20">
        <v>32694.660797230921</v>
      </c>
      <c r="C29" s="16">
        <v>40664.835025533117</v>
      </c>
      <c r="D29" s="20">
        <v>27334.508465891577</v>
      </c>
      <c r="E29" s="20">
        <v>18368.896438440981</v>
      </c>
      <c r="F29" s="154">
        <v>114.7336891076648</v>
      </c>
      <c r="G29" s="20">
        <f>((D29/F29*100)/749419)*1000000</f>
        <v>31790.372095698502</v>
      </c>
      <c r="H29" s="20">
        <f>((E29/F29*100)/749419)*1000000</f>
        <v>21363.25419914013</v>
      </c>
      <c r="K29" s="172"/>
    </row>
    <row r="30" spans="1:11">
      <c r="A30" s="6">
        <v>2005</v>
      </c>
      <c r="B30" s="20">
        <v>34279.47335564001</v>
      </c>
      <c r="C30" s="16">
        <v>41061.042139836936</v>
      </c>
      <c r="D30" s="20">
        <v>28290.624912272728</v>
      </c>
      <c r="E30" s="20">
        <v>18831.452683418513</v>
      </c>
      <c r="F30" s="154">
        <v>117.6819238176314</v>
      </c>
      <c r="G30" s="20">
        <f>((D30/F30*100)/748057)*1000000</f>
        <v>32136.464053047235</v>
      </c>
      <c r="H30" s="20">
        <f>((E30/F30*100)/748057)*1000000</f>
        <v>21391.408076136486</v>
      </c>
      <c r="K30" s="172"/>
    </row>
    <row r="31" spans="1:11">
      <c r="A31" s="6">
        <v>2006</v>
      </c>
      <c r="B31" s="20">
        <v>35932.464348509493</v>
      </c>
      <c r="C31" s="16">
        <v>42042.80727071796</v>
      </c>
      <c r="D31" s="20">
        <v>29993.790410946043</v>
      </c>
      <c r="E31" s="20">
        <v>19936.402005844793</v>
      </c>
      <c r="F31" s="154">
        <v>120.04516600432589</v>
      </c>
      <c r="G31" s="20">
        <f>((D31/F31*100)/745621)*1000000</f>
        <v>33509.546063511145</v>
      </c>
      <c r="H31" s="20">
        <f>((E31/F31*100)/745621)*1000000</f>
        <v>22273.26964022953</v>
      </c>
      <c r="K31" s="172"/>
    </row>
    <row r="32" spans="1:11">
      <c r="A32" s="6">
        <v>2007</v>
      </c>
      <c r="B32" s="20">
        <v>38034.270014877264</v>
      </c>
      <c r="C32" s="16">
        <v>42450.49521553245</v>
      </c>
      <c r="D32" s="20">
        <v>32385.204304075618</v>
      </c>
      <c r="E32" s="20">
        <v>21143.41597433975</v>
      </c>
      <c r="F32" s="154">
        <v>122.38458479396714</v>
      </c>
      <c r="G32" s="20">
        <f>((D32/F32*100)/745433)*1000000</f>
        <v>35498.606694494396</v>
      </c>
      <c r="H32" s="20">
        <f>((E32/F32*100)/745433)*1000000</f>
        <v>23176.071418413743</v>
      </c>
      <c r="K32" s="172"/>
    </row>
    <row r="33" spans="1:11">
      <c r="A33" s="6">
        <v>2008</v>
      </c>
      <c r="B33" s="20">
        <v>38616.800356685235</v>
      </c>
      <c r="C33" s="16">
        <v>42693.77688695729</v>
      </c>
      <c r="D33" s="20">
        <v>34185.013061052894</v>
      </c>
      <c r="E33" s="20">
        <v>22461.529810129377</v>
      </c>
      <c r="F33" s="154">
        <v>124.23315384715508</v>
      </c>
      <c r="G33" s="20">
        <f>((D33/F33*100)/746877)*1000000</f>
        <v>36842.505242477499</v>
      </c>
      <c r="H33" s="20">
        <f>((E33/F33*100)/746877)*1000000</f>
        <v>24207.655802436253</v>
      </c>
      <c r="K33" s="172"/>
    </row>
    <row r="34" spans="1:11">
      <c r="A34" s="6">
        <v>2009</v>
      </c>
      <c r="B34" s="20">
        <v>38554.261850028532</v>
      </c>
      <c r="C34" s="16">
        <v>41902.458277552287</v>
      </c>
      <c r="D34" s="20">
        <v>34524.692115270758</v>
      </c>
      <c r="E34" s="20">
        <v>23210.695027441612</v>
      </c>
      <c r="F34" s="154">
        <v>124.05099350528016</v>
      </c>
      <c r="G34" s="20">
        <f>((D34/F34*100)/749956)*1000000</f>
        <v>37110.241745048748</v>
      </c>
      <c r="H34" s="20">
        <f>((E34/F34*100)/749956)*1000000</f>
        <v>24948.940910553982</v>
      </c>
      <c r="K34" s="172"/>
    </row>
    <row r="35" spans="1:11">
      <c r="A35" s="6">
        <v>2010</v>
      </c>
      <c r="B35" s="20">
        <v>40196.006825711949</v>
      </c>
      <c r="C35" s="16">
        <v>42561.102737588553</v>
      </c>
      <c r="D35" s="20">
        <v>35469.798880530128</v>
      </c>
      <c r="E35" s="20">
        <v>24461.014428280228</v>
      </c>
      <c r="F35" s="154">
        <v>126.15615476040291</v>
      </c>
      <c r="G35" s="20">
        <f>((D35/F35*100)/753035)*1000000</f>
        <v>37336.630400558024</v>
      </c>
      <c r="H35" s="20">
        <f>((E35/F35*100)/753035)*1000000</f>
        <v>25748.436240294974</v>
      </c>
      <c r="K35" s="172"/>
    </row>
    <row r="36" spans="1:11">
      <c r="A36" s="6">
        <v>2011</v>
      </c>
      <c r="B36" s="20">
        <v>41763.651160174937</v>
      </c>
      <c r="C36" s="16">
        <v>42524.530074566137</v>
      </c>
      <c r="D36" s="20">
        <v>36653.191390820488</v>
      </c>
      <c r="E36" s="20">
        <v>25160.611614320402</v>
      </c>
      <c r="F36" s="154">
        <v>130.1574764461065</v>
      </c>
      <c r="G36" s="20">
        <f>((D36/F36*100)/755705)*1000000</f>
        <v>37264.077914000831</v>
      </c>
      <c r="H36" s="20">
        <f>((E36/F36*100)/755705)*1000000</f>
        <v>25579.955141225746</v>
      </c>
      <c r="K36" s="172"/>
    </row>
    <row r="37" spans="1:11">
      <c r="A37" s="6">
        <v>2012</v>
      </c>
      <c r="B37" s="20">
        <v>41927.640306021538</v>
      </c>
      <c r="C37" s="16">
        <v>41926.321702370064</v>
      </c>
      <c r="D37" s="20">
        <v>37803.048084200753</v>
      </c>
      <c r="E37" s="20">
        <v>25939.571031860101</v>
      </c>
      <c r="F37" s="154">
        <v>131.86036514772317</v>
      </c>
      <c r="G37" s="20">
        <f>((D37/F37*100)/758378)*1000000</f>
        <v>37803.048084200753</v>
      </c>
      <c r="H37" s="20">
        <f>((E37/F37*100)/758378)*1000000</f>
        <v>25939.571031860101</v>
      </c>
      <c r="K37" s="172"/>
    </row>
    <row r="38" spans="1:11">
      <c r="A38" s="6">
        <v>2013</v>
      </c>
      <c r="B38" s="20">
        <v>42042.386466704636</v>
      </c>
      <c r="C38" s="16">
        <v>41803.771435803326</v>
      </c>
      <c r="D38" s="20">
        <v>38791.421460060323</v>
      </c>
      <c r="E38" s="20">
        <v>26614.144993566621</v>
      </c>
      <c r="F38" s="154">
        <v>132.91209492283576</v>
      </c>
      <c r="G38" s="20">
        <f>((D38/F38*100)/758544)*1000000</f>
        <v>38476.04404981593</v>
      </c>
      <c r="H38" s="20">
        <f>((E38/F38*100)/758544)*1000000</f>
        <v>26397.7698310173</v>
      </c>
      <c r="K38" s="172"/>
    </row>
    <row r="39" spans="1:11">
      <c r="A39" s="6">
        <v>2014</v>
      </c>
      <c r="B39" s="20">
        <v>42770.785901003459</v>
      </c>
      <c r="C39" s="16">
        <v>41828.727127076483</v>
      </c>
      <c r="D39" s="20">
        <v>39786.501812969058</v>
      </c>
      <c r="E39" s="20">
        <v>27294.670714225485</v>
      </c>
      <c r="F39" s="154">
        <v>134.7803909046045</v>
      </c>
      <c r="G39" s="20">
        <f>((D39/F39*100)/758976)*1000000</f>
        <v>38893.855938960136</v>
      </c>
      <c r="H39" s="20">
        <f>((E39/F39*100)/758976)*1000000</f>
        <v>26682.290281534533</v>
      </c>
      <c r="K39" s="172"/>
    </row>
    <row r="40" spans="1:11">
      <c r="A40" s="6">
        <v>2015</v>
      </c>
      <c r="B40" s="20">
        <v>44084.275778093463</v>
      </c>
      <c r="C40" s="16">
        <v>42108.897504355322</v>
      </c>
      <c r="D40" s="20">
        <v>40834.587437174021</v>
      </c>
      <c r="E40" s="20">
        <v>27893.817158249018</v>
      </c>
      <c r="F40" s="154">
        <v>135.45228815208125</v>
      </c>
      <c r="G40" s="20">
        <f>((D40/F40*100)/758842)*1000000</f>
        <v>39727.429564076796</v>
      </c>
      <c r="H40" s="20">
        <f>((E40/F40*100)/758842)*1000000</f>
        <v>27137.525464963161</v>
      </c>
      <c r="K40" s="172"/>
    </row>
    <row r="41" spans="1:11">
      <c r="A41" s="6">
        <v>2016</v>
      </c>
      <c r="B41" s="20">
        <v>44972.817187397661</v>
      </c>
      <c r="C41" s="16">
        <v>42199.515294425888</v>
      </c>
      <c r="D41" s="20">
        <v>41801.270714613216</v>
      </c>
      <c r="E41" s="20">
        <v>28664.439641055873</v>
      </c>
      <c r="F41" s="154">
        <v>137.65896012722177</v>
      </c>
      <c r="G41" s="20">
        <f>((D41/F41*100)/763350)*1000000</f>
        <v>39779.680399241908</v>
      </c>
      <c r="H41" s="20">
        <f>((E41/F41*100)/763350)*1000000</f>
        <v>27278.171889304343</v>
      </c>
      <c r="K41" s="172"/>
    </row>
    <row r="42" spans="1:11">
      <c r="A42" s="6">
        <v>2017</v>
      </c>
      <c r="B42" s="20">
        <v>46734.957690958108</v>
      </c>
      <c r="C42" s="16">
        <v>43064.304265080136</v>
      </c>
      <c r="D42" s="20">
        <v>43047.34673326194</v>
      </c>
      <c r="E42" s="20">
        <v>29533.498299681331</v>
      </c>
      <c r="F42" s="154">
        <v>140.27920394374451</v>
      </c>
      <c r="G42" s="20">
        <f>((D42/F42*100)/766621)*1000000</f>
        <v>40028.782785502728</v>
      </c>
      <c r="H42" s="20">
        <f>((E42/F42*100)/766621)*1000000</f>
        <v>27462.551772569535</v>
      </c>
      <c r="K42" s="172"/>
    </row>
    <row r="43" spans="1:11">
      <c r="A43" s="6">
        <v>2018</v>
      </c>
      <c r="B43" s="20">
        <v>48169.481799971698</v>
      </c>
      <c r="C43" s="16">
        <v>43068.878269663415</v>
      </c>
      <c r="D43" s="20">
        <v>44169.746631511574</v>
      </c>
      <c r="E43" s="20">
        <v>30063.572551509085</v>
      </c>
      <c r="F43" s="154">
        <v>142.58850186325927</v>
      </c>
      <c r="G43" s="20">
        <f>((D43/F43*100)/770301)*1000000</f>
        <v>40214.246933167262</v>
      </c>
      <c r="H43" s="20">
        <f>((E43/F43*100)/770301)*1000000</f>
        <v>27371.312323015736</v>
      </c>
      <c r="K43" s="172"/>
    </row>
    <row r="44" spans="1:11">
      <c r="A44" s="6">
        <v>2019</v>
      </c>
      <c r="B44" s="20">
        <v>49218.142593078876</v>
      </c>
      <c r="C44" s="16">
        <v>43209.399795074576</v>
      </c>
      <c r="D44" s="20">
        <v>45198.154641457753</v>
      </c>
      <c r="E44" s="20">
        <v>30422.156659818658</v>
      </c>
      <c r="F44" s="154">
        <v>143.8099026802621</v>
      </c>
      <c r="G44" s="20">
        <f>((D44/F44*100)/776868)*1000000</f>
        <v>40456.16189477509</v>
      </c>
      <c r="H44" s="20">
        <f>((E44/F44*100)/776868)*1000000</f>
        <v>27230.397010255874</v>
      </c>
      <c r="K44" s="172"/>
    </row>
    <row r="45" spans="1:11">
      <c r="A45" s="6"/>
    </row>
    <row r="46" spans="1:11" ht="78.75" customHeight="1">
      <c r="A46" s="6" t="s">
        <v>67</v>
      </c>
      <c r="B46" s="82" t="s">
        <v>257</v>
      </c>
      <c r="C46" s="82" t="s">
        <v>258</v>
      </c>
      <c r="D46" s="153" t="s">
        <v>200</v>
      </c>
      <c r="E46" s="153" t="s">
        <v>201</v>
      </c>
      <c r="F46" s="153" t="s">
        <v>202</v>
      </c>
      <c r="G46" s="153" t="s">
        <v>203</v>
      </c>
      <c r="H46" s="153" t="s">
        <v>204</v>
      </c>
    </row>
    <row r="47" spans="1:11">
      <c r="A47" s="6" t="s">
        <v>209</v>
      </c>
      <c r="B47" s="18">
        <f t="shared" ref="B47:H47" si="0">100*((B44/B6)^(1/38)-1)</f>
        <v>4.4482667828504407</v>
      </c>
      <c r="C47" s="18">
        <f t="shared" si="0"/>
        <v>1.568336970153128</v>
      </c>
      <c r="D47" s="154">
        <f t="shared" si="0"/>
        <v>4.2655261532354993</v>
      </c>
      <c r="E47" s="154">
        <f t="shared" si="0"/>
        <v>4.1599755910201042</v>
      </c>
      <c r="F47" s="154">
        <f t="shared" si="0"/>
        <v>2.3696412671919687</v>
      </c>
      <c r="G47" s="154">
        <f t="shared" si="0"/>
        <v>1.597593570854694</v>
      </c>
      <c r="H47" s="154">
        <f t="shared" si="0"/>
        <v>1.4947438225555665</v>
      </c>
    </row>
    <row r="48" spans="1:11">
      <c r="A48" s="6" t="s">
        <v>210</v>
      </c>
      <c r="B48" s="18">
        <f t="shared" ref="B48:H48" si="1">100*((B25/B6)^(1/19)-1)</f>
        <v>5.8709845157710827</v>
      </c>
      <c r="C48" s="18">
        <f t="shared" si="1"/>
        <v>2.2077356961508254</v>
      </c>
      <c r="D48" s="154">
        <f t="shared" si="1"/>
        <v>5.1730558650849856</v>
      </c>
      <c r="E48" s="154">
        <f t="shared" si="1"/>
        <v>4.8614934604746418</v>
      </c>
      <c r="F48" s="154">
        <f t="shared" si="1"/>
        <v>3.015841223487592</v>
      </c>
      <c r="G48" s="154">
        <f t="shared" si="1"/>
        <v>1.7693452538321885</v>
      </c>
      <c r="H48" s="154">
        <f t="shared" si="1"/>
        <v>1.46786592852306</v>
      </c>
    </row>
    <row r="49" spans="1:19">
      <c r="A49" s="6" t="s">
        <v>47</v>
      </c>
      <c r="B49" s="18">
        <f t="shared" ref="B49:H49" si="2">100*((B44/B25)^(1/19)-1)</f>
        <v>3.0446678458569965</v>
      </c>
      <c r="C49" s="18">
        <f t="shared" si="2"/>
        <v>0.93293824208144915</v>
      </c>
      <c r="D49" s="154">
        <f t="shared" si="2"/>
        <v>3.3658274411712208</v>
      </c>
      <c r="E49" s="154">
        <f t="shared" si="2"/>
        <v>3.4631508391716803</v>
      </c>
      <c r="F49" s="154">
        <f t="shared" si="2"/>
        <v>1.7274948077038221</v>
      </c>
      <c r="G49" s="154">
        <f t="shared" si="2"/>
        <v>1.4261317456976563</v>
      </c>
      <c r="H49" s="154">
        <f t="shared" si="2"/>
        <v>1.5216288362922548</v>
      </c>
    </row>
    <row r="50" spans="1:19">
      <c r="A50" s="6" t="s">
        <v>503</v>
      </c>
      <c r="B50" s="18">
        <f t="shared" ref="B50:H50" si="3">100*((B14/B6)^(1/8)-1)</f>
        <v>8.6918861011049842</v>
      </c>
      <c r="C50" s="18">
        <f t="shared" si="3"/>
        <v>2.7403677345182009</v>
      </c>
      <c r="D50" s="154">
        <f t="shared" si="3"/>
        <v>7.8592363533334542</v>
      </c>
      <c r="E50" s="154">
        <f t="shared" si="3"/>
        <v>7.6985522858034727</v>
      </c>
      <c r="F50" s="154">
        <f t="shared" si="3"/>
        <v>4.4783533923685503</v>
      </c>
      <c r="G50" s="154">
        <f t="shared" si="3"/>
        <v>2.7235060513375986</v>
      </c>
      <c r="H50" s="154">
        <f t="shared" si="3"/>
        <v>2.570472974696858</v>
      </c>
    </row>
    <row r="51" spans="1:19">
      <c r="A51" s="6" t="s">
        <v>504</v>
      </c>
      <c r="B51" s="18">
        <f t="shared" ref="B51:H51" si="4">100*((B25/B14)^(1/11)-1)</f>
        <v>3.8655131502506102</v>
      </c>
      <c r="C51" s="18">
        <f t="shared" si="4"/>
        <v>1.8221021294301032</v>
      </c>
      <c r="D51" s="154">
        <f t="shared" si="4"/>
        <v>3.2615845192201176</v>
      </c>
      <c r="E51" s="154">
        <f t="shared" si="4"/>
        <v>2.8452326108554304</v>
      </c>
      <c r="F51" s="154">
        <f t="shared" si="4"/>
        <v>1.9650712597607756</v>
      </c>
      <c r="G51" s="154">
        <f t="shared" si="4"/>
        <v>1.0809815905531872</v>
      </c>
      <c r="H51" s="154">
        <f t="shared" si="4"/>
        <v>0.67342189852881429</v>
      </c>
    </row>
    <row r="52" spans="1:19">
      <c r="A52" s="6" t="s">
        <v>170</v>
      </c>
      <c r="B52" s="18">
        <f t="shared" ref="B52:H52" si="5">100*((B33/B25)^(1/8)-1)</f>
        <v>4.1758378617780645</v>
      </c>
      <c r="C52" s="18">
        <f t="shared" si="5"/>
        <v>2.0766640656259439</v>
      </c>
      <c r="D52" s="154">
        <f t="shared" si="5"/>
        <v>4.4683466256957738</v>
      </c>
      <c r="E52" s="154">
        <f t="shared" si="5"/>
        <v>4.3871894238251885</v>
      </c>
      <c r="F52" s="154">
        <f t="shared" si="5"/>
        <v>2.2638572732866402</v>
      </c>
      <c r="G52" s="154">
        <f t="shared" si="5"/>
        <v>2.2177889592847722</v>
      </c>
      <c r="H52" s="154">
        <f t="shared" si="5"/>
        <v>2.1383801239649669</v>
      </c>
    </row>
    <row r="53" spans="1:19">
      <c r="A53" s="6" t="s">
        <v>211</v>
      </c>
      <c r="B53" s="18">
        <f t="shared" ref="B53:H53" si="6">100*((B44/B33)^(1/11)-1)</f>
        <v>2.229721048606681</v>
      </c>
      <c r="C53" s="18">
        <f t="shared" si="6"/>
        <v>0.10919493948333692</v>
      </c>
      <c r="D53" s="154">
        <f t="shared" si="6"/>
        <v>2.5713106330022661</v>
      </c>
      <c r="E53" s="154">
        <f t="shared" si="6"/>
        <v>2.7962645348267534</v>
      </c>
      <c r="F53" s="154">
        <f t="shared" si="6"/>
        <v>1.339180802551132</v>
      </c>
      <c r="G53" s="154">
        <f t="shared" si="6"/>
        <v>0.85423478578248169</v>
      </c>
      <c r="H53" s="154">
        <f t="shared" si="6"/>
        <v>1.0754228888746109</v>
      </c>
    </row>
    <row r="54" spans="1:19">
      <c r="A54" s="6"/>
      <c r="B54" s="16"/>
      <c r="C54" s="16"/>
    </row>
    <row r="55" spans="1:19">
      <c r="A55" s="6"/>
      <c r="B55" s="16"/>
      <c r="C55" s="16"/>
    </row>
    <row r="56" spans="1:19">
      <c r="A56" s="6" t="s">
        <v>117</v>
      </c>
      <c r="B56" s="5" t="s">
        <v>519</v>
      </c>
    </row>
    <row r="57" spans="1:19">
      <c r="A57" s="6"/>
      <c r="B57" s="5" t="s">
        <v>521</v>
      </c>
    </row>
    <row r="60" spans="1:19">
      <c r="A60" s="5" t="s">
        <v>520</v>
      </c>
      <c r="H60" s="77"/>
    </row>
    <row r="61" spans="1:19">
      <c r="H61" s="77"/>
      <c r="M61" s="350"/>
      <c r="N61" s="330"/>
      <c r="O61" s="330"/>
      <c r="P61" s="330"/>
      <c r="Q61" s="330"/>
      <c r="R61" s="330"/>
      <c r="S61" s="330"/>
    </row>
    <row r="62" spans="1:19">
      <c r="H62" s="77"/>
      <c r="M62" s="350"/>
      <c r="N62" s="152"/>
      <c r="O62" s="152"/>
      <c r="P62" s="152"/>
      <c r="Q62" s="152"/>
      <c r="R62" s="152"/>
      <c r="S62" s="152"/>
    </row>
    <row r="63" spans="1:19" ht="32" customHeight="1">
      <c r="A63" s="350" t="s">
        <v>67</v>
      </c>
      <c r="B63" s="330" t="s">
        <v>258</v>
      </c>
      <c r="C63" s="330"/>
      <c r="D63" s="330" t="s">
        <v>203</v>
      </c>
      <c r="E63" s="330"/>
      <c r="F63" s="330" t="s">
        <v>204</v>
      </c>
      <c r="G63" s="330"/>
      <c r="H63" s="77"/>
      <c r="M63" s="6"/>
      <c r="N63" s="154"/>
      <c r="O63" s="154"/>
      <c r="P63" s="154"/>
      <c r="Q63" s="154"/>
      <c r="R63" s="154"/>
      <c r="S63" s="154"/>
    </row>
    <row r="64" spans="1:19">
      <c r="A64" s="350"/>
      <c r="B64" s="152" t="s">
        <v>43</v>
      </c>
      <c r="C64" s="152" t="s">
        <v>44</v>
      </c>
      <c r="D64" s="152" t="s">
        <v>43</v>
      </c>
      <c r="E64" s="152" t="s">
        <v>44</v>
      </c>
      <c r="F64" s="152" t="s">
        <v>43</v>
      </c>
      <c r="G64" s="152" t="s">
        <v>44</v>
      </c>
      <c r="H64" s="77"/>
      <c r="M64" s="6"/>
      <c r="N64" s="154"/>
      <c r="O64" s="154"/>
      <c r="P64" s="154"/>
      <c r="Q64" s="154"/>
      <c r="R64" s="154"/>
      <c r="S64" s="154"/>
    </row>
    <row r="65" spans="1:19">
      <c r="A65" s="6" t="s">
        <v>209</v>
      </c>
      <c r="B65" s="154">
        <v>1.2326516060991999</v>
      </c>
      <c r="C65" s="154">
        <v>1.568336970153128</v>
      </c>
      <c r="D65" s="154">
        <v>1.0641892867518932</v>
      </c>
      <c r="E65" s="154">
        <v>1.597593570854694</v>
      </c>
      <c r="F65" s="154">
        <v>0.99582704268963429</v>
      </c>
      <c r="G65" s="154">
        <v>1.4947438225555665</v>
      </c>
      <c r="H65" s="77"/>
      <c r="M65" s="6"/>
      <c r="N65" s="154"/>
      <c r="O65" s="154"/>
      <c r="P65" s="154"/>
      <c r="Q65" s="154"/>
      <c r="R65" s="154"/>
      <c r="S65" s="154"/>
    </row>
    <row r="66" spans="1:19">
      <c r="A66" s="6" t="s">
        <v>210</v>
      </c>
      <c r="B66" s="154">
        <v>1.5668008811489997</v>
      </c>
      <c r="C66" s="154">
        <v>2.2077356961508254</v>
      </c>
      <c r="D66" s="154">
        <v>1.0342135561903998</v>
      </c>
      <c r="E66" s="154">
        <v>1.7693452538321885</v>
      </c>
      <c r="F66" s="154">
        <v>0.77996996505060867</v>
      </c>
      <c r="G66" s="154">
        <v>1.46786592852306</v>
      </c>
      <c r="H66" s="77"/>
      <c r="M66" s="6"/>
      <c r="N66" s="154"/>
      <c r="O66" s="154"/>
      <c r="P66" s="154"/>
      <c r="Q66" s="154"/>
      <c r="R66" s="154"/>
      <c r="S66" s="154"/>
    </row>
    <row r="67" spans="1:19">
      <c r="A67" s="6" t="s">
        <v>47</v>
      </c>
      <c r="B67" s="154">
        <v>0.89960166407008213</v>
      </c>
      <c r="C67" s="154">
        <v>0.93293824208144915</v>
      </c>
      <c r="D67" s="154">
        <v>1.0941739107801718</v>
      </c>
      <c r="E67" s="154">
        <v>1.4261317456976563</v>
      </c>
      <c r="F67" s="154">
        <v>1.2121464570209683</v>
      </c>
      <c r="G67" s="154">
        <v>1.5216288362922548</v>
      </c>
      <c r="H67" s="77"/>
      <c r="M67" s="6"/>
      <c r="N67" s="154"/>
      <c r="O67" s="154"/>
      <c r="P67" s="154"/>
      <c r="Q67" s="154"/>
      <c r="R67" s="154"/>
      <c r="S67" s="154"/>
    </row>
    <row r="68" spans="1:19">
      <c r="A68" s="6" t="s">
        <v>503</v>
      </c>
      <c r="B68" s="154">
        <v>1.3013497693948439</v>
      </c>
      <c r="C68" s="154">
        <v>2.7403677345182009</v>
      </c>
      <c r="D68" s="154">
        <v>1.4720900503694567</v>
      </c>
      <c r="E68" s="154">
        <v>2.7235060513375986</v>
      </c>
      <c r="F68" s="154">
        <v>0.93473868069886556</v>
      </c>
      <c r="G68" s="154">
        <v>2.570472974696858</v>
      </c>
      <c r="H68" s="77"/>
      <c r="M68" s="6"/>
      <c r="N68" s="154"/>
      <c r="O68" s="154"/>
      <c r="P68" s="154"/>
      <c r="Q68" s="154"/>
      <c r="R68" s="154"/>
      <c r="S68" s="154"/>
    </row>
    <row r="69" spans="1:19">
      <c r="A69" s="6" t="s">
        <v>504</v>
      </c>
      <c r="B69" s="154">
        <v>1.8063015600002341</v>
      </c>
      <c r="C69" s="154">
        <v>1.8221021294301032</v>
      </c>
      <c r="D69" s="154">
        <v>0.6417405029056189</v>
      </c>
      <c r="E69" s="154">
        <v>1.0809815905531872</v>
      </c>
      <c r="F69" s="154">
        <v>0.64088103590314027</v>
      </c>
      <c r="G69" s="154">
        <v>0.67342189852881429</v>
      </c>
      <c r="H69" s="77"/>
      <c r="M69" s="6"/>
      <c r="N69" s="154"/>
      <c r="O69" s="154"/>
      <c r="P69" s="154"/>
      <c r="Q69" s="154"/>
      <c r="R69" s="154"/>
      <c r="S69" s="154"/>
    </row>
    <row r="70" spans="1:19">
      <c r="A70" s="6" t="s">
        <v>170</v>
      </c>
      <c r="B70" s="154">
        <v>1.3034650377014234</v>
      </c>
      <c r="C70" s="154">
        <v>2.0766640656259439</v>
      </c>
      <c r="D70" s="154">
        <v>1.576575027978766</v>
      </c>
      <c r="E70" s="154">
        <v>2.2177889592847722</v>
      </c>
      <c r="F70" s="154">
        <v>1.7409959138426023</v>
      </c>
      <c r="G70" s="154">
        <v>2.1383801239649669</v>
      </c>
      <c r="H70" s="77"/>
    </row>
    <row r="71" spans="1:19">
      <c r="A71" s="6" t="s">
        <v>211</v>
      </c>
      <c r="B71" s="154">
        <v>0.6068944972181578</v>
      </c>
      <c r="C71" s="154">
        <v>0.10919493948333692</v>
      </c>
      <c r="D71" s="154">
        <v>0.74477632526894766</v>
      </c>
      <c r="E71" s="154">
        <v>0.85423478578248169</v>
      </c>
      <c r="F71" s="154">
        <v>0.82925610589152932</v>
      </c>
      <c r="G71" s="154">
        <v>1.0754228888746109</v>
      </c>
      <c r="H71" s="77"/>
    </row>
    <row r="72" spans="1:19">
      <c r="A72" s="77"/>
      <c r="B72" s="77"/>
      <c r="C72" s="77"/>
      <c r="D72" s="77"/>
      <c r="E72" s="77"/>
      <c r="F72" s="77"/>
      <c r="G72" s="77"/>
      <c r="H72" s="77"/>
    </row>
    <row r="73" spans="1:19">
      <c r="A73" s="77"/>
      <c r="B73" s="77"/>
      <c r="C73" s="77"/>
      <c r="D73" s="77"/>
      <c r="E73" s="77"/>
      <c r="F73" s="77"/>
      <c r="G73" s="77"/>
      <c r="H73" s="77"/>
    </row>
    <row r="74" spans="1:19">
      <c r="A74" s="77"/>
      <c r="B74" s="77"/>
      <c r="C74" s="77"/>
      <c r="D74" s="77"/>
      <c r="E74" s="77"/>
      <c r="F74" s="77"/>
      <c r="G74" s="77"/>
      <c r="H74" s="77"/>
    </row>
  </sheetData>
  <mergeCells count="9">
    <mergeCell ref="A63:A64"/>
    <mergeCell ref="B63:C63"/>
    <mergeCell ref="D63:E63"/>
    <mergeCell ref="F63:G63"/>
    <mergeCell ref="G3:H3"/>
    <mergeCell ref="M61:M62"/>
    <mergeCell ref="N61:O61"/>
    <mergeCell ref="P61:Q61"/>
    <mergeCell ref="R61:S6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267D1-A84B-3845-B545-49F744824A4D}">
  <dimension ref="A1:G72"/>
  <sheetViews>
    <sheetView zoomScale="85" workbookViewId="0">
      <selection activeCell="O42" sqref="O42"/>
    </sheetView>
  </sheetViews>
  <sheetFormatPr baseColWidth="10" defaultColWidth="11" defaultRowHeight="16"/>
  <cols>
    <col min="1" max="1" width="22" style="159" customWidth="1"/>
    <col min="2" max="7" width="15.83203125" style="159" customWidth="1"/>
    <col min="8" max="16384" width="11" style="159"/>
  </cols>
  <sheetData>
    <row r="1" spans="1:7">
      <c r="A1" s="3" t="s">
        <v>651</v>
      </c>
    </row>
    <row r="3" spans="1:7" ht="81" customHeight="1">
      <c r="B3" s="160" t="s">
        <v>514</v>
      </c>
      <c r="C3" s="160" t="s">
        <v>525</v>
      </c>
      <c r="D3" s="161" t="s">
        <v>515</v>
      </c>
      <c r="E3" s="161" t="s">
        <v>516</v>
      </c>
      <c r="F3" s="161" t="s">
        <v>517</v>
      </c>
      <c r="G3" s="161" t="s">
        <v>518</v>
      </c>
    </row>
    <row r="4" spans="1:7" ht="17">
      <c r="B4" s="153" t="s">
        <v>109</v>
      </c>
      <c r="C4" s="153" t="s">
        <v>110</v>
      </c>
      <c r="D4" s="153" t="s">
        <v>111</v>
      </c>
      <c r="E4" s="153" t="s">
        <v>112</v>
      </c>
      <c r="F4" s="153" t="s">
        <v>113</v>
      </c>
      <c r="G4" s="153" t="s">
        <v>114</v>
      </c>
    </row>
    <row r="5" spans="1:7">
      <c r="A5" s="163">
        <v>1981</v>
      </c>
      <c r="B5" s="169">
        <v>63.446602607342591</v>
      </c>
      <c r="C5" s="169">
        <v>68.133458532056594</v>
      </c>
      <c r="D5" s="169">
        <v>73.593403858715135</v>
      </c>
      <c r="E5" s="169">
        <v>76.446797051164609</v>
      </c>
      <c r="F5" s="169">
        <v>71.745647515272438</v>
      </c>
      <c r="G5" s="169">
        <v>74.527398752122096</v>
      </c>
    </row>
    <row r="6" spans="1:7">
      <c r="A6" s="163">
        <v>1982</v>
      </c>
      <c r="B6" s="169">
        <v>66.647092762116415</v>
      </c>
      <c r="C6" s="169">
        <v>71.482343747777463</v>
      </c>
      <c r="D6" s="169">
        <v>75.506232163597559</v>
      </c>
      <c r="E6" s="169">
        <v>78.850770649892738</v>
      </c>
      <c r="F6" s="169">
        <v>74.739399541469439</v>
      </c>
      <c r="G6" s="169">
        <v>78.049971279010734</v>
      </c>
    </row>
    <row r="7" spans="1:7">
      <c r="A7" s="163">
        <v>1983</v>
      </c>
      <c r="B7" s="169">
        <v>70.100576692670117</v>
      </c>
      <c r="C7" s="169">
        <v>74.78860945769236</v>
      </c>
      <c r="D7" s="169">
        <v>76.436269919449799</v>
      </c>
      <c r="E7" s="169">
        <v>80.162330719423494</v>
      </c>
      <c r="F7" s="169">
        <v>75.074107319306449</v>
      </c>
      <c r="G7" s="169">
        <v>78.733766387838642</v>
      </c>
    </row>
    <row r="8" spans="1:7">
      <c r="A8" s="163">
        <v>1984</v>
      </c>
      <c r="B8" s="169">
        <v>70.884656880182021</v>
      </c>
      <c r="C8" s="169">
        <v>72.313217970994316</v>
      </c>
      <c r="D8" s="169">
        <v>76.399059406156297</v>
      </c>
      <c r="E8" s="169">
        <v>79.524848082235522</v>
      </c>
      <c r="F8" s="169">
        <v>74.497524502611455</v>
      </c>
      <c r="G8" s="169">
        <v>77.545513840388992</v>
      </c>
    </row>
    <row r="9" spans="1:7">
      <c r="A9" s="163">
        <v>1985</v>
      </c>
      <c r="B9" s="169">
        <v>69.995921123496913</v>
      </c>
      <c r="C9" s="169">
        <v>71.955644238130731</v>
      </c>
      <c r="D9" s="169">
        <v>75.863594134137628</v>
      </c>
      <c r="E9" s="169">
        <v>78.568649072084696</v>
      </c>
      <c r="F9" s="169">
        <v>73.484479147025269</v>
      </c>
      <c r="G9" s="169">
        <v>76.104702397029186</v>
      </c>
    </row>
    <row r="10" spans="1:7">
      <c r="A10" s="163">
        <v>1986</v>
      </c>
      <c r="B10" s="169">
        <v>75.146088160820227</v>
      </c>
      <c r="C10" s="169">
        <v>75.790806361069102</v>
      </c>
      <c r="D10" s="169">
        <v>77.578618924479414</v>
      </c>
      <c r="E10" s="169">
        <v>80.44869940434161</v>
      </c>
      <c r="F10" s="169">
        <v>75.580778840061285</v>
      </c>
      <c r="G10" s="169">
        <v>78.376947694430925</v>
      </c>
    </row>
    <row r="11" spans="1:7">
      <c r="A11" s="163">
        <v>1987</v>
      </c>
      <c r="B11" s="169">
        <v>76.464089747260616</v>
      </c>
      <c r="C11" s="169">
        <v>77.304161943257967</v>
      </c>
      <c r="D11" s="169">
        <v>78.434336082600339</v>
      </c>
      <c r="E11" s="169">
        <v>81.694938632712677</v>
      </c>
      <c r="F11" s="169">
        <v>77.608015486928792</v>
      </c>
      <c r="G11" s="169">
        <v>80.834266971219407</v>
      </c>
    </row>
    <row r="12" spans="1:7">
      <c r="A12" s="163">
        <v>1988</v>
      </c>
      <c r="B12" s="169">
        <v>75.310412803555167</v>
      </c>
      <c r="C12" s="169">
        <v>74.984527459153256</v>
      </c>
      <c r="D12" s="169">
        <v>78.385679980023923</v>
      </c>
      <c r="E12" s="169">
        <v>81.963765583152352</v>
      </c>
      <c r="F12" s="169">
        <v>77.922258553784232</v>
      </c>
      <c r="G12" s="169">
        <v>81.479190273526896</v>
      </c>
    </row>
    <row r="13" spans="1:7">
      <c r="A13" s="163">
        <v>1989</v>
      </c>
      <c r="B13" s="169">
        <v>74.499129421676614</v>
      </c>
      <c r="C13" s="169">
        <v>74.28805064004041</v>
      </c>
      <c r="D13" s="169">
        <v>78.771213386455528</v>
      </c>
      <c r="E13" s="169">
        <v>82.376270422801753</v>
      </c>
      <c r="F13" s="169">
        <v>78.545361903118788</v>
      </c>
      <c r="G13" s="169">
        <v>82.140082581242638</v>
      </c>
    </row>
    <row r="14" spans="1:7">
      <c r="A14" s="163">
        <v>1990</v>
      </c>
      <c r="B14" s="169">
        <v>74.30862629624518</v>
      </c>
      <c r="C14" s="169">
        <v>74.027587372115093</v>
      </c>
      <c r="D14" s="169">
        <v>78.552043971333504</v>
      </c>
      <c r="E14" s="169">
        <v>82.350920920042071</v>
      </c>
      <c r="F14" s="169">
        <v>78.445506758553961</v>
      </c>
      <c r="G14" s="169">
        <v>82.239231431887589</v>
      </c>
    </row>
    <row r="15" spans="1:7">
      <c r="A15" s="163">
        <v>1991</v>
      </c>
      <c r="B15" s="169">
        <v>74.763768255042493</v>
      </c>
      <c r="C15" s="169">
        <v>75.769584016310176</v>
      </c>
      <c r="D15" s="169">
        <v>79.691427031514181</v>
      </c>
      <c r="E15" s="169">
        <v>83.464912762305914</v>
      </c>
      <c r="F15" s="169">
        <v>78.934556717538115</v>
      </c>
      <c r="G15" s="169">
        <v>82.672203720925452</v>
      </c>
    </row>
    <row r="16" spans="1:7">
      <c r="A16" s="163">
        <v>1992</v>
      </c>
      <c r="B16" s="169">
        <v>76.127969136958512</v>
      </c>
      <c r="C16" s="169">
        <v>76.768637869859091</v>
      </c>
      <c r="D16" s="169">
        <v>81.319586541678717</v>
      </c>
      <c r="E16" s="169">
        <v>85.186686404118177</v>
      </c>
      <c r="F16" s="169">
        <v>81.229938746282485</v>
      </c>
      <c r="G16" s="169">
        <v>85.09277546632309</v>
      </c>
    </row>
    <row r="17" spans="1:7">
      <c r="A17" s="163">
        <v>1993</v>
      </c>
      <c r="B17" s="169">
        <v>77.666605733029058</v>
      </c>
      <c r="C17" s="169">
        <v>77.890436027475602</v>
      </c>
      <c r="D17" s="169">
        <v>81.922098983290937</v>
      </c>
      <c r="E17" s="169">
        <v>85.987226433172452</v>
      </c>
      <c r="F17" s="169">
        <v>82.316371322569609</v>
      </c>
      <c r="G17" s="169">
        <v>86.401063301790842</v>
      </c>
    </row>
    <row r="18" spans="1:7">
      <c r="A18" s="163">
        <v>1994</v>
      </c>
      <c r="B18" s="169">
        <v>77.201613895838648</v>
      </c>
      <c r="C18" s="169">
        <v>76.759545882197017</v>
      </c>
      <c r="D18" s="169">
        <v>82.589085219636161</v>
      </c>
      <c r="E18" s="169">
        <v>86.240819563648728</v>
      </c>
      <c r="F18" s="169">
        <v>82.599908514265209</v>
      </c>
      <c r="G18" s="169">
        <v>86.252121417842957</v>
      </c>
    </row>
    <row r="19" spans="1:7">
      <c r="A19" s="163">
        <v>1995</v>
      </c>
      <c r="B19" s="169">
        <v>79.986632622962844</v>
      </c>
      <c r="C19" s="169">
        <v>78.00440835743413</v>
      </c>
      <c r="D19" s="169">
        <v>83.266176338462472</v>
      </c>
      <c r="E19" s="169">
        <v>85.687189820855693</v>
      </c>
      <c r="F19" s="169">
        <v>83.854330449030172</v>
      </c>
      <c r="G19" s="169">
        <v>86.292444861164924</v>
      </c>
    </row>
    <row r="20" spans="1:7">
      <c r="A20" s="163">
        <v>1996</v>
      </c>
      <c r="B20" s="169">
        <v>79.268744481368969</v>
      </c>
      <c r="C20" s="169">
        <v>78.239660906240701</v>
      </c>
      <c r="D20" s="169">
        <v>82.654954428160352</v>
      </c>
      <c r="E20" s="169">
        <v>85.381180433857423</v>
      </c>
      <c r="F20" s="169">
        <v>83.233207965957021</v>
      </c>
      <c r="G20" s="169">
        <v>85.978506631527111</v>
      </c>
    </row>
    <row r="21" spans="1:7">
      <c r="A21" s="163">
        <v>1997</v>
      </c>
      <c r="B21" s="169">
        <v>76.522953280814392</v>
      </c>
      <c r="C21" s="169">
        <v>76.45371111167654</v>
      </c>
      <c r="D21" s="169">
        <v>81.190522817898724</v>
      </c>
      <c r="E21" s="169">
        <v>84.528796834557511</v>
      </c>
      <c r="F21" s="169">
        <v>81.661664894756896</v>
      </c>
      <c r="G21" s="169">
        <v>85.019310647164389</v>
      </c>
    </row>
    <row r="22" spans="1:7">
      <c r="A22" s="163">
        <v>1998</v>
      </c>
      <c r="B22" s="169">
        <v>77.879525124436299</v>
      </c>
      <c r="C22" s="169">
        <v>76.937790481144077</v>
      </c>
      <c r="D22" s="169">
        <v>81.963992216351684</v>
      </c>
      <c r="E22" s="169">
        <v>85.216824034086343</v>
      </c>
      <c r="F22" s="169">
        <v>82.800876807864924</v>
      </c>
      <c r="G22" s="169">
        <v>86.086921317580988</v>
      </c>
    </row>
    <row r="23" spans="1:7">
      <c r="A23" s="163">
        <v>1999</v>
      </c>
      <c r="B23" s="169">
        <v>79.4036886003245</v>
      </c>
      <c r="C23" s="169">
        <v>78.368227911748576</v>
      </c>
      <c r="D23" s="169">
        <v>82.967148373899747</v>
      </c>
      <c r="E23" s="169">
        <v>86.097480578834663</v>
      </c>
      <c r="F23" s="169">
        <v>83.894115506269316</v>
      </c>
      <c r="G23" s="169">
        <v>87.059421976612228</v>
      </c>
    </row>
    <row r="24" spans="1:7">
      <c r="A24" s="163">
        <v>2000</v>
      </c>
      <c r="B24" s="169">
        <v>77.231367370019072</v>
      </c>
      <c r="C24" s="169">
        <v>76.783572458871149</v>
      </c>
      <c r="D24" s="169">
        <v>81.880453062602797</v>
      </c>
      <c r="E24" s="169">
        <v>84.335531686882348</v>
      </c>
      <c r="F24" s="169">
        <v>82.341229454876597</v>
      </c>
      <c r="G24" s="169">
        <v>84.810123858489689</v>
      </c>
    </row>
    <row r="25" spans="1:7">
      <c r="A25" s="163">
        <v>2001</v>
      </c>
      <c r="B25" s="169">
        <v>77.736490386427818</v>
      </c>
      <c r="C25" s="169">
        <v>77.729268945466401</v>
      </c>
      <c r="D25" s="169">
        <v>81.289744214939489</v>
      </c>
      <c r="E25" s="169">
        <v>84.142851292146617</v>
      </c>
      <c r="F25" s="169">
        <v>82.331969963649598</v>
      </c>
      <c r="G25" s="169">
        <v>85.22165707550208</v>
      </c>
    </row>
    <row r="26" spans="1:7">
      <c r="A26" s="163">
        <v>2002</v>
      </c>
      <c r="B26" s="169">
        <v>77.460568708801958</v>
      </c>
      <c r="C26" s="169">
        <v>79.950883401654949</v>
      </c>
      <c r="D26" s="169">
        <v>82.544124666717408</v>
      </c>
      <c r="E26" s="169">
        <v>84.415684704294932</v>
      </c>
      <c r="F26" s="169">
        <v>82.747602377481712</v>
      </c>
      <c r="G26" s="169">
        <v>84.623775956647364</v>
      </c>
    </row>
    <row r="27" spans="1:7">
      <c r="A27" s="163">
        <v>2003</v>
      </c>
      <c r="B27" s="169">
        <v>77.999683610031283</v>
      </c>
      <c r="C27" s="169">
        <v>81.215448711586006</v>
      </c>
      <c r="D27" s="169">
        <v>82.993405533296993</v>
      </c>
      <c r="E27" s="169">
        <v>84.384881067731385</v>
      </c>
      <c r="F27" s="169">
        <v>82.715217115715433</v>
      </c>
      <c r="G27" s="169">
        <v>84.10202851599918</v>
      </c>
    </row>
    <row r="28" spans="1:7">
      <c r="A28" s="163">
        <v>2004</v>
      </c>
      <c r="B28" s="169">
        <v>78.181076943364943</v>
      </c>
      <c r="C28" s="169">
        <v>81.538989159146638</v>
      </c>
      <c r="D28" s="169">
        <v>82.943003138201775</v>
      </c>
      <c r="E28" s="169">
        <v>84.390586788529973</v>
      </c>
      <c r="F28" s="169">
        <v>82.988937015219435</v>
      </c>
      <c r="G28" s="169">
        <v>84.437322338104124</v>
      </c>
    </row>
    <row r="29" spans="1:7">
      <c r="A29" s="163">
        <v>2005</v>
      </c>
      <c r="B29" s="169">
        <v>77.750889627061085</v>
      </c>
      <c r="C29" s="169">
        <v>80.534297137452597</v>
      </c>
      <c r="D29" s="169">
        <v>82.410562357209969</v>
      </c>
      <c r="E29" s="169">
        <v>84.156264971058476</v>
      </c>
      <c r="F29" s="169">
        <v>82.306024752613808</v>
      </c>
      <c r="G29" s="169">
        <v>84.049512946800931</v>
      </c>
    </row>
    <row r="30" spans="1:7">
      <c r="A30" s="163">
        <v>2006</v>
      </c>
      <c r="B30" s="169">
        <v>78.201217459267738</v>
      </c>
      <c r="C30" s="169">
        <v>81.159189907491381</v>
      </c>
      <c r="D30" s="169">
        <v>82.219157822335077</v>
      </c>
      <c r="E30" s="169">
        <v>83.855090520384181</v>
      </c>
      <c r="F30" s="169">
        <v>82.346356594072077</v>
      </c>
      <c r="G30" s="169">
        <v>83.984820194107385</v>
      </c>
    </row>
    <row r="31" spans="1:7">
      <c r="A31" s="163">
        <v>2007</v>
      </c>
      <c r="B31" s="169">
        <v>79.288900300891555</v>
      </c>
      <c r="C31" s="169">
        <v>81.06634497706051</v>
      </c>
      <c r="D31" s="169">
        <v>83.892908878499526</v>
      </c>
      <c r="E31" s="169">
        <v>85.18550771333048</v>
      </c>
      <c r="F31" s="169">
        <v>84.250834019866019</v>
      </c>
      <c r="G31" s="169">
        <v>85.548947666698027</v>
      </c>
    </row>
    <row r="32" spans="1:7">
      <c r="A32" s="163">
        <v>2008</v>
      </c>
      <c r="B32" s="169">
        <v>77.481324737357497</v>
      </c>
      <c r="C32" s="169">
        <v>81.599154602689083</v>
      </c>
      <c r="D32" s="169">
        <v>85.698302029395208</v>
      </c>
      <c r="E32" s="169">
        <v>86.593058240508086</v>
      </c>
      <c r="F32" s="169">
        <v>86.592581531192891</v>
      </c>
      <c r="G32" s="169">
        <v>87.496674708380425</v>
      </c>
    </row>
    <row r="33" spans="1:7">
      <c r="A33" s="163">
        <v>2009</v>
      </c>
      <c r="B33" s="169">
        <v>82.511879941318355</v>
      </c>
      <c r="C33" s="169">
        <v>83.44802371012382</v>
      </c>
      <c r="D33" s="169">
        <v>87.584574165025401</v>
      </c>
      <c r="E33" s="169">
        <v>88.219473944412982</v>
      </c>
      <c r="F33" s="169">
        <v>88.496692213207638</v>
      </c>
      <c r="G33" s="169">
        <v>89.138203928008366</v>
      </c>
    </row>
    <row r="34" spans="1:7">
      <c r="A34" s="163">
        <v>2010</v>
      </c>
      <c r="B34" s="169">
        <v>82.042099048261349</v>
      </c>
      <c r="C34" s="169">
        <v>83.138438357532451</v>
      </c>
      <c r="D34" s="169">
        <v>87.912262691956812</v>
      </c>
      <c r="E34" s="169">
        <v>89.624194228913723</v>
      </c>
      <c r="F34" s="169">
        <v>88.585206103126481</v>
      </c>
      <c r="G34" s="169">
        <v>90.310241989953269</v>
      </c>
    </row>
    <row r="35" spans="1:7">
      <c r="A35" s="163">
        <v>2011</v>
      </c>
      <c r="B35" s="169">
        <v>80.839052258393735</v>
      </c>
      <c r="C35" s="169">
        <v>81.32537451792183</v>
      </c>
      <c r="D35" s="169">
        <v>87.535875213157368</v>
      </c>
      <c r="E35" s="169">
        <v>89.803584967930263</v>
      </c>
      <c r="F35" s="169">
        <v>87.678531597029775</v>
      </c>
      <c r="G35" s="169">
        <v>89.949937016837183</v>
      </c>
    </row>
    <row r="36" spans="1:7">
      <c r="A36" s="163">
        <v>2012</v>
      </c>
      <c r="B36" s="169">
        <v>79.656557407717031</v>
      </c>
      <c r="C36" s="169">
        <v>79.654052248192301</v>
      </c>
      <c r="D36" s="169">
        <v>87.439151787898439</v>
      </c>
      <c r="E36" s="169">
        <v>89.934604613499943</v>
      </c>
      <c r="F36" s="169">
        <v>87.439151787898425</v>
      </c>
      <c r="G36" s="169">
        <v>89.934604613499943</v>
      </c>
    </row>
    <row r="37" spans="1:7">
      <c r="A37" s="163">
        <v>2013</v>
      </c>
      <c r="B37" s="169">
        <v>77.538359133257728</v>
      </c>
      <c r="C37" s="169">
        <v>78.437905115514994</v>
      </c>
      <c r="D37" s="169">
        <v>87.195607707373384</v>
      </c>
      <c r="E37" s="169">
        <v>89.19642494689765</v>
      </c>
      <c r="F37" s="169">
        <v>87.268420708578688</v>
      </c>
      <c r="G37" s="169">
        <v>89.270908737629014</v>
      </c>
    </row>
    <row r="38" spans="1:7">
      <c r="A38" s="163">
        <v>2014</v>
      </c>
      <c r="B38" s="169">
        <v>75.978167568754216</v>
      </c>
      <c r="C38" s="169">
        <v>77.065916824207562</v>
      </c>
      <c r="D38" s="169">
        <v>87.229078505308124</v>
      </c>
      <c r="E38" s="169">
        <v>89.423440864394763</v>
      </c>
      <c r="F38" s="169">
        <v>87.724374560281049</v>
      </c>
      <c r="G38" s="169">
        <v>89.931196743984245</v>
      </c>
    </row>
    <row r="39" spans="1:7">
      <c r="A39" s="163">
        <v>2015</v>
      </c>
      <c r="B39" s="169">
        <v>79.074780028742339</v>
      </c>
      <c r="C39" s="169">
        <v>77.651469117268093</v>
      </c>
      <c r="D39" s="169">
        <v>86.310022827180859</v>
      </c>
      <c r="E39" s="169">
        <v>88.141252856036573</v>
      </c>
      <c r="F39" s="169">
        <v>87.350752993567568</v>
      </c>
      <c r="G39" s="169">
        <v>89.204064077093378</v>
      </c>
    </row>
    <row r="40" spans="1:7">
      <c r="A40" s="163">
        <v>2016</v>
      </c>
      <c r="B40" s="169">
        <v>80.173650792591204</v>
      </c>
      <c r="C40" s="169">
        <v>77.92442852783411</v>
      </c>
      <c r="D40" s="169">
        <v>88.565588635140116</v>
      </c>
      <c r="E40" s="169">
        <v>91.375051915854201</v>
      </c>
      <c r="F40" s="169">
        <v>88.922418164134868</v>
      </c>
      <c r="G40" s="169">
        <v>91.743200733464704</v>
      </c>
    </row>
    <row r="41" spans="1:7">
      <c r="A41" s="163">
        <v>2017</v>
      </c>
      <c r="B41" s="169">
        <v>79.786513274695906</v>
      </c>
      <c r="C41" s="169">
        <v>78.106701480253264</v>
      </c>
      <c r="D41" s="169">
        <v>88.383069749799375</v>
      </c>
      <c r="E41" s="169">
        <v>90.746624695645053</v>
      </c>
      <c r="F41" s="169">
        <v>88.060691276254616</v>
      </c>
      <c r="G41" s="169">
        <v>90.41562512263252</v>
      </c>
    </row>
    <row r="42" spans="1:7">
      <c r="A42" s="163">
        <v>2018</v>
      </c>
      <c r="B42" s="169">
        <v>80.021334883061741</v>
      </c>
      <c r="C42" s="169">
        <v>77.34704658372317</v>
      </c>
      <c r="D42" s="169">
        <v>88.250440864860423</v>
      </c>
      <c r="E42" s="169">
        <v>90.897658444192174</v>
      </c>
      <c r="F42" s="169">
        <v>88.071859784117436</v>
      </c>
      <c r="G42" s="169">
        <v>90.713720529288963</v>
      </c>
    </row>
    <row r="43" spans="1:7">
      <c r="A43" s="163">
        <v>2019</v>
      </c>
      <c r="B43" s="169">
        <v>80.073870489631332</v>
      </c>
      <c r="C43" s="169">
        <v>77.2670155651019</v>
      </c>
      <c r="D43" s="169">
        <v>87.610467951180908</v>
      </c>
      <c r="E43" s="169">
        <v>89.852111377938144</v>
      </c>
      <c r="F43" s="169">
        <v>87.633126226947155</v>
      </c>
      <c r="G43" s="169">
        <v>89.875349399208801</v>
      </c>
    </row>
    <row r="44" spans="1:7">
      <c r="A44" s="163"/>
    </row>
    <row r="45" spans="1:7">
      <c r="A45" s="163" t="s">
        <v>212</v>
      </c>
      <c r="B45" s="166">
        <f>B43-B5</f>
        <v>16.627267882288741</v>
      </c>
      <c r="C45" s="166">
        <f t="shared" ref="C45:G45" si="0">C43-C5</f>
        <v>9.1335570330453066</v>
      </c>
      <c r="D45" s="166">
        <f t="shared" si="0"/>
        <v>14.017064092465773</v>
      </c>
      <c r="E45" s="166">
        <f t="shared" si="0"/>
        <v>13.405314326773535</v>
      </c>
      <c r="F45" s="166">
        <f t="shared" si="0"/>
        <v>15.887478711674717</v>
      </c>
      <c r="G45" s="166">
        <f t="shared" si="0"/>
        <v>15.347950647086705</v>
      </c>
    </row>
    <row r="46" spans="1:7">
      <c r="A46" s="163" t="s">
        <v>213</v>
      </c>
      <c r="B46" s="166">
        <f>B24-B5</f>
        <v>13.784764762676481</v>
      </c>
      <c r="C46" s="166">
        <f t="shared" ref="C46:G46" si="1">C24-C5</f>
        <v>8.650113926814555</v>
      </c>
      <c r="D46" s="166">
        <f t="shared" si="1"/>
        <v>8.287049203887662</v>
      </c>
      <c r="E46" s="166">
        <f t="shared" si="1"/>
        <v>7.8887346357177393</v>
      </c>
      <c r="F46" s="166">
        <f t="shared" si="1"/>
        <v>10.595581939604159</v>
      </c>
      <c r="G46" s="166">
        <f t="shared" si="1"/>
        <v>10.282725106367593</v>
      </c>
    </row>
    <row r="47" spans="1:7">
      <c r="A47" s="163" t="s">
        <v>24</v>
      </c>
      <c r="B47" s="166">
        <f>B43-B24</f>
        <v>2.8425031196122603</v>
      </c>
      <c r="C47" s="166">
        <f t="shared" ref="C47:G47" si="2">C43-C24</f>
        <v>0.4834431062307516</v>
      </c>
      <c r="D47" s="166">
        <f t="shared" si="2"/>
        <v>5.7300148885781113</v>
      </c>
      <c r="E47" s="166">
        <f t="shared" si="2"/>
        <v>5.5165796910557958</v>
      </c>
      <c r="F47" s="166">
        <f t="shared" si="2"/>
        <v>5.2918967720705581</v>
      </c>
      <c r="G47" s="166">
        <f t="shared" si="2"/>
        <v>5.065225540719112</v>
      </c>
    </row>
    <row r="48" spans="1:7">
      <c r="A48" s="163" t="s">
        <v>216</v>
      </c>
      <c r="B48" s="166">
        <f>B13-B5</f>
        <v>11.052526814334023</v>
      </c>
      <c r="C48" s="166">
        <f t="shared" ref="C48:G48" si="3">C13-C5</f>
        <v>6.1545921079838166</v>
      </c>
      <c r="D48" s="166">
        <f t="shared" si="3"/>
        <v>5.1778095277403935</v>
      </c>
      <c r="E48" s="166">
        <f t="shared" si="3"/>
        <v>5.9294733716371439</v>
      </c>
      <c r="F48" s="166">
        <f t="shared" si="3"/>
        <v>6.7997143878463504</v>
      </c>
      <c r="G48" s="166">
        <f t="shared" si="3"/>
        <v>7.6126838291205416</v>
      </c>
    </row>
    <row r="49" spans="1:7">
      <c r="A49" s="163" t="s">
        <v>217</v>
      </c>
      <c r="B49" s="166">
        <f>B24-B13</f>
        <v>2.7322379483424584</v>
      </c>
      <c r="C49" s="166">
        <f t="shared" ref="C49:G49" si="4">C24-C13</f>
        <v>2.4955218188307384</v>
      </c>
      <c r="D49" s="166">
        <f t="shared" si="4"/>
        <v>3.1092396761472685</v>
      </c>
      <c r="E49" s="166">
        <f t="shared" si="4"/>
        <v>1.9592612640805953</v>
      </c>
      <c r="F49" s="166">
        <f t="shared" si="4"/>
        <v>3.7958675517578087</v>
      </c>
      <c r="G49" s="166">
        <f t="shared" si="4"/>
        <v>2.6700412772470514</v>
      </c>
    </row>
    <row r="50" spans="1:7">
      <c r="A50" s="163" t="s">
        <v>164</v>
      </c>
      <c r="B50" s="166">
        <f>B32-B24</f>
        <v>0.24995736733842477</v>
      </c>
      <c r="C50" s="166">
        <f t="shared" ref="C50:G50" si="5">C32-C24</f>
        <v>4.8155821438179345</v>
      </c>
      <c r="D50" s="166">
        <f t="shared" si="5"/>
        <v>3.8178489667924111</v>
      </c>
      <c r="E50" s="166">
        <f t="shared" si="5"/>
        <v>2.2575265536257376</v>
      </c>
      <c r="F50" s="166">
        <f t="shared" si="5"/>
        <v>4.2513520763162944</v>
      </c>
      <c r="G50" s="166">
        <f t="shared" si="5"/>
        <v>2.686550849890736</v>
      </c>
    </row>
    <row r="51" spans="1:7">
      <c r="A51" s="163" t="s">
        <v>218</v>
      </c>
      <c r="B51" s="166">
        <f>B43-B32</f>
        <v>2.5925457522738355</v>
      </c>
      <c r="C51" s="166">
        <f t="shared" ref="C51:G51" si="6">C43-C32</f>
        <v>-4.3321390375871829</v>
      </c>
      <c r="D51" s="166">
        <f t="shared" si="6"/>
        <v>1.9121659217857001</v>
      </c>
      <c r="E51" s="166">
        <f t="shared" si="6"/>
        <v>3.2590531374300582</v>
      </c>
      <c r="F51" s="166">
        <f t="shared" si="6"/>
        <v>1.0405446957542637</v>
      </c>
      <c r="G51" s="166">
        <f t="shared" si="6"/>
        <v>2.378674690828376</v>
      </c>
    </row>
    <row r="52" spans="1:7">
      <c r="A52" s="163"/>
      <c r="B52" s="168"/>
      <c r="C52" s="168"/>
      <c r="D52" s="168"/>
      <c r="E52" s="168"/>
      <c r="F52" s="168"/>
      <c r="G52" s="168"/>
    </row>
    <row r="53" spans="1:7">
      <c r="A53" s="163"/>
    </row>
    <row r="54" spans="1:7">
      <c r="A54" s="163"/>
    </row>
    <row r="55" spans="1:7">
      <c r="A55" s="163" t="s">
        <v>117</v>
      </c>
      <c r="B55" s="159" t="s">
        <v>523</v>
      </c>
    </row>
    <row r="56" spans="1:7">
      <c r="A56" s="163"/>
      <c r="B56" s="159" t="s">
        <v>524</v>
      </c>
    </row>
    <row r="57" spans="1:7">
      <c r="A57" s="163"/>
      <c r="B57" s="159" t="s">
        <v>507</v>
      </c>
    </row>
    <row r="58" spans="1:7">
      <c r="A58" s="5"/>
    </row>
    <row r="59" spans="1:7">
      <c r="B59" s="348"/>
      <c r="C59" s="348"/>
      <c r="D59" s="348"/>
      <c r="E59" s="348"/>
    </row>
    <row r="60" spans="1:7">
      <c r="B60" s="162"/>
      <c r="C60" s="162"/>
      <c r="D60" s="162"/>
      <c r="E60" s="162"/>
    </row>
    <row r="61" spans="1:7" ht="32" customHeight="1">
      <c r="A61" s="347"/>
      <c r="B61" s="166"/>
      <c r="C61" s="166"/>
      <c r="D61" s="166"/>
      <c r="E61" s="166"/>
    </row>
    <row r="62" spans="1:7">
      <c r="A62" s="347"/>
      <c r="B62" s="166"/>
      <c r="C62" s="166"/>
      <c r="D62" s="166"/>
      <c r="E62" s="166"/>
    </row>
    <row r="63" spans="1:7">
      <c r="A63" s="163"/>
      <c r="B63" s="166"/>
      <c r="C63" s="166"/>
      <c r="D63" s="166"/>
      <c r="E63" s="166"/>
    </row>
    <row r="64" spans="1:7">
      <c r="A64" s="163"/>
      <c r="B64" s="166"/>
      <c r="C64" s="166"/>
      <c r="D64" s="166"/>
      <c r="E64" s="166"/>
    </row>
    <row r="65" spans="1:5">
      <c r="A65" s="163"/>
      <c r="B65" s="166"/>
      <c r="C65" s="166"/>
      <c r="D65" s="166"/>
      <c r="E65" s="166"/>
    </row>
    <row r="66" spans="1:5">
      <c r="A66" s="163"/>
      <c r="B66" s="166"/>
      <c r="C66" s="166"/>
      <c r="D66" s="166"/>
      <c r="E66" s="166"/>
    </row>
    <row r="67" spans="1:5">
      <c r="A67" s="163"/>
      <c r="B67" s="166"/>
      <c r="C67" s="166"/>
      <c r="D67" s="166"/>
      <c r="E67" s="166"/>
    </row>
    <row r="68" spans="1:5">
      <c r="A68" s="163"/>
    </row>
    <row r="69" spans="1:5">
      <c r="A69" s="163"/>
    </row>
    <row r="70" spans="1:5">
      <c r="A70" s="77"/>
    </row>
    <row r="71" spans="1:5">
      <c r="A71" s="77"/>
    </row>
    <row r="72" spans="1:5">
      <c r="A72" s="77"/>
    </row>
  </sheetData>
  <mergeCells count="3">
    <mergeCell ref="B59:C59"/>
    <mergeCell ref="D59:E59"/>
    <mergeCell ref="A61:A6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B0B8D-8219-244A-82CF-AAC037DABBA5}">
  <dimension ref="A1:M83"/>
  <sheetViews>
    <sheetView topLeftCell="A37" zoomScale="80" zoomScaleNormal="80" workbookViewId="0">
      <selection activeCell="A83" sqref="A83"/>
    </sheetView>
  </sheetViews>
  <sheetFormatPr baseColWidth="10" defaultColWidth="11" defaultRowHeight="13"/>
  <cols>
    <col min="1" max="1" width="13.33203125" style="291" customWidth="1"/>
    <col min="2" max="13" width="16.83203125" style="291" customWidth="1"/>
    <col min="14" max="16384" width="11" style="291"/>
  </cols>
  <sheetData>
    <row r="1" spans="1:13">
      <c r="A1" s="290" t="s">
        <v>652</v>
      </c>
    </row>
    <row r="4" spans="1:13" ht="42">
      <c r="B4" s="292" t="s">
        <v>258</v>
      </c>
      <c r="C4" s="293" t="s">
        <v>290</v>
      </c>
      <c r="D4" s="294" t="s">
        <v>526</v>
      </c>
      <c r="E4" s="294" t="s">
        <v>527</v>
      </c>
      <c r="F4" s="294" t="s">
        <v>528</v>
      </c>
      <c r="G4" s="294" t="s">
        <v>529</v>
      </c>
      <c r="H4" s="294" t="s">
        <v>530</v>
      </c>
      <c r="I4" s="294" t="s">
        <v>531</v>
      </c>
      <c r="J4" s="294" t="s">
        <v>533</v>
      </c>
      <c r="K4" s="294" t="s">
        <v>531</v>
      </c>
      <c r="L4" s="294" t="s">
        <v>534</v>
      </c>
      <c r="M4" s="294" t="s">
        <v>532</v>
      </c>
    </row>
    <row r="5" spans="1:13">
      <c r="M5" s="294"/>
    </row>
    <row r="6" spans="1:13">
      <c r="A6" s="295">
        <v>1981</v>
      </c>
      <c r="B6" s="296">
        <v>16898</v>
      </c>
      <c r="C6" s="296">
        <v>706438</v>
      </c>
      <c r="D6" s="296">
        <f>B6/C6*1000000</f>
        <v>23920.004303279267</v>
      </c>
      <c r="E6" s="297">
        <v>257700</v>
      </c>
      <c r="F6" s="297">
        <f>B6*1000000/E6</f>
        <v>65572.370974000776</v>
      </c>
      <c r="G6" s="298">
        <f>100*E6/C6</f>
        <v>36.47878511631594</v>
      </c>
      <c r="H6" s="297">
        <v>174669</v>
      </c>
      <c r="I6" s="298">
        <f>100*H6/C6</f>
        <v>24.725312058524597</v>
      </c>
      <c r="J6" s="297">
        <v>531769</v>
      </c>
      <c r="K6" s="298">
        <f>100*J6/C6</f>
        <v>75.274687941475406</v>
      </c>
      <c r="L6" s="298">
        <f>100*E6/J6</f>
        <v>48.460891853417557</v>
      </c>
      <c r="M6" s="298">
        <f>100*E6/H6</f>
        <v>147.53619703553579</v>
      </c>
    </row>
    <row r="7" spans="1:13">
      <c r="A7" s="295">
        <v>1982</v>
      </c>
      <c r="B7" s="296">
        <v>16985</v>
      </c>
      <c r="C7" s="296">
        <v>707457</v>
      </c>
      <c r="D7" s="296">
        <f t="shared" ref="D7:D44" si="0">B7/C7*1000000</f>
        <v>24008.526313260027</v>
      </c>
      <c r="E7" s="297">
        <v>248400</v>
      </c>
      <c r="F7" s="297">
        <f t="shared" ref="F7:F44" si="1">B7*1000000/E7</f>
        <v>68377.616747181964</v>
      </c>
      <c r="G7" s="298">
        <f t="shared" ref="G7:G44" si="2">100*E7/C7</f>
        <v>35.111674631815077</v>
      </c>
      <c r="H7" s="297">
        <v>171531</v>
      </c>
      <c r="I7" s="298">
        <f t="shared" ref="I7:I44" si="3">100*H7/C7</f>
        <v>24.246137927817522</v>
      </c>
      <c r="J7" s="297">
        <v>535926</v>
      </c>
      <c r="K7" s="298">
        <f t="shared" ref="K7:K44" si="4">100*J7/C7</f>
        <v>75.753862072182486</v>
      </c>
      <c r="L7" s="298">
        <f t="shared" ref="L7:L44" si="5">100*E7/J7</f>
        <v>46.349682605434332</v>
      </c>
      <c r="M7" s="298">
        <f t="shared" ref="M7:M44" si="6">100*E7/H7</f>
        <v>144.81347394931529</v>
      </c>
    </row>
    <row r="8" spans="1:13">
      <c r="A8" s="295">
        <v>1983</v>
      </c>
      <c r="B8" s="296">
        <v>18242</v>
      </c>
      <c r="C8" s="296">
        <v>714842</v>
      </c>
      <c r="D8" s="296">
        <f t="shared" si="0"/>
        <v>25518.92586053981</v>
      </c>
      <c r="E8" s="297">
        <v>251300</v>
      </c>
      <c r="F8" s="297">
        <f t="shared" si="1"/>
        <v>72590.529247910861</v>
      </c>
      <c r="G8" s="298">
        <f t="shared" si="2"/>
        <v>35.154621580712941</v>
      </c>
      <c r="H8" s="297">
        <v>170144</v>
      </c>
      <c r="I8" s="298">
        <f t="shared" si="3"/>
        <v>23.801623295777247</v>
      </c>
      <c r="J8" s="297">
        <v>544698</v>
      </c>
      <c r="K8" s="298">
        <f t="shared" si="4"/>
        <v>76.198376704222753</v>
      </c>
      <c r="L8" s="298">
        <f t="shared" si="5"/>
        <v>46.135656822679721</v>
      </c>
      <c r="M8" s="298">
        <f t="shared" si="6"/>
        <v>147.69842016174533</v>
      </c>
    </row>
    <row r="9" spans="1:13">
      <c r="A9" s="295">
        <v>1984</v>
      </c>
      <c r="B9" s="296">
        <v>18651</v>
      </c>
      <c r="C9" s="296">
        <v>720488</v>
      </c>
      <c r="D9" s="296">
        <f t="shared" si="0"/>
        <v>25886.621290014547</v>
      </c>
      <c r="E9" s="297">
        <v>255200</v>
      </c>
      <c r="F9" s="297">
        <f t="shared" si="1"/>
        <v>73083.855799373036</v>
      </c>
      <c r="G9" s="298">
        <f t="shared" si="2"/>
        <v>35.42043725919099</v>
      </c>
      <c r="H9" s="297">
        <v>168380</v>
      </c>
      <c r="I9" s="298">
        <f t="shared" si="3"/>
        <v>23.370271260590044</v>
      </c>
      <c r="J9" s="297">
        <v>552108</v>
      </c>
      <c r="K9" s="298">
        <f t="shared" si="4"/>
        <v>76.629728739409956</v>
      </c>
      <c r="L9" s="298">
        <f t="shared" si="5"/>
        <v>46.222840458750824</v>
      </c>
      <c r="M9" s="298">
        <f t="shared" si="6"/>
        <v>151.56194322366076</v>
      </c>
    </row>
    <row r="10" spans="1:13">
      <c r="A10" s="295">
        <v>1985</v>
      </c>
      <c r="B10" s="296">
        <v>19336</v>
      </c>
      <c r="C10" s="296">
        <v>723287</v>
      </c>
      <c r="D10" s="296">
        <f t="shared" si="0"/>
        <v>26733.509657991915</v>
      </c>
      <c r="E10" s="297">
        <v>262000</v>
      </c>
      <c r="F10" s="297">
        <f t="shared" si="1"/>
        <v>73801.526717557252</v>
      </c>
      <c r="G10" s="298">
        <f t="shared" si="2"/>
        <v>36.223518465007665</v>
      </c>
      <c r="H10" s="297">
        <v>165825</v>
      </c>
      <c r="I10" s="298">
        <f t="shared" si="3"/>
        <v>22.926583776564488</v>
      </c>
      <c r="J10" s="297">
        <v>557462</v>
      </c>
      <c r="K10" s="298">
        <f t="shared" si="4"/>
        <v>77.073416223435515</v>
      </c>
      <c r="L10" s="298">
        <f t="shared" si="5"/>
        <v>46.998719195209716</v>
      </c>
      <c r="M10" s="298">
        <f t="shared" si="6"/>
        <v>157.99788934117294</v>
      </c>
    </row>
    <row r="11" spans="1:13">
      <c r="A11" s="295">
        <v>1986</v>
      </c>
      <c r="B11" s="296">
        <v>20647</v>
      </c>
      <c r="C11" s="296">
        <v>725019</v>
      </c>
      <c r="D11" s="296">
        <f t="shared" si="0"/>
        <v>28477.87437294747</v>
      </c>
      <c r="E11" s="297">
        <v>271000</v>
      </c>
      <c r="F11" s="297">
        <f t="shared" si="1"/>
        <v>76188.191881918814</v>
      </c>
      <c r="G11" s="298">
        <f t="shared" si="2"/>
        <v>37.378330774779698</v>
      </c>
      <c r="H11" s="297">
        <v>162642</v>
      </c>
      <c r="I11" s="298">
        <f t="shared" si="3"/>
        <v>22.432791416500809</v>
      </c>
      <c r="J11" s="297">
        <v>562377</v>
      </c>
      <c r="K11" s="298">
        <f t="shared" si="4"/>
        <v>77.567208583499195</v>
      </c>
      <c r="L11" s="298">
        <f t="shared" si="5"/>
        <v>48.188314955981483</v>
      </c>
      <c r="M11" s="298">
        <f t="shared" si="6"/>
        <v>166.62362735332817</v>
      </c>
    </row>
    <row r="12" spans="1:13">
      <c r="A12" s="295">
        <v>1987</v>
      </c>
      <c r="B12" s="296">
        <v>21712</v>
      </c>
      <c r="C12" s="296">
        <v>727768</v>
      </c>
      <c r="D12" s="296">
        <f t="shared" si="0"/>
        <v>29833.683261698785</v>
      </c>
      <c r="E12" s="297">
        <v>280300</v>
      </c>
      <c r="F12" s="297">
        <f t="shared" si="1"/>
        <v>77459.864430966816</v>
      </c>
      <c r="G12" s="298">
        <f t="shared" si="2"/>
        <v>38.515021270514779</v>
      </c>
      <c r="H12" s="297">
        <v>160157</v>
      </c>
      <c r="I12" s="298">
        <f t="shared" si="3"/>
        <v>22.00660100471579</v>
      </c>
      <c r="J12" s="297">
        <v>567611</v>
      </c>
      <c r="K12" s="298">
        <f t="shared" si="4"/>
        <v>77.99339899528421</v>
      </c>
      <c r="L12" s="298">
        <f t="shared" si="5"/>
        <v>49.382411545935511</v>
      </c>
      <c r="M12" s="298">
        <f t="shared" si="6"/>
        <v>175.01576577982854</v>
      </c>
    </row>
    <row r="13" spans="1:13">
      <c r="A13" s="295">
        <v>1988</v>
      </c>
      <c r="B13" s="296">
        <v>21783</v>
      </c>
      <c r="C13" s="296">
        <v>730349</v>
      </c>
      <c r="D13" s="296">
        <f t="shared" si="0"/>
        <v>29825.467002761696</v>
      </c>
      <c r="E13" s="297">
        <v>291000</v>
      </c>
      <c r="F13" s="297">
        <f t="shared" si="1"/>
        <v>74855.67010309278</v>
      </c>
      <c r="G13" s="298">
        <f t="shared" si="2"/>
        <v>39.843965008509628</v>
      </c>
      <c r="H13" s="297">
        <v>157733</v>
      </c>
      <c r="I13" s="298">
        <f t="shared" si="3"/>
        <v>21.596935163873709</v>
      </c>
      <c r="J13" s="297">
        <v>572616</v>
      </c>
      <c r="K13" s="298">
        <f t="shared" si="4"/>
        <v>78.403064836126291</v>
      </c>
      <c r="L13" s="298">
        <f t="shared" si="5"/>
        <v>50.819397292426338</v>
      </c>
      <c r="M13" s="298">
        <f t="shared" si="6"/>
        <v>184.48897821001313</v>
      </c>
    </row>
    <row r="14" spans="1:13">
      <c r="A14" s="295">
        <v>1989</v>
      </c>
      <c r="B14" s="296">
        <v>21830</v>
      </c>
      <c r="C14" s="296">
        <v>735129</v>
      </c>
      <c r="D14" s="296">
        <f t="shared" si="0"/>
        <v>29695.468414387135</v>
      </c>
      <c r="E14" s="297">
        <v>296800</v>
      </c>
      <c r="F14" s="297">
        <f t="shared" si="1"/>
        <v>73551.212938005396</v>
      </c>
      <c r="G14" s="298">
        <f t="shared" si="2"/>
        <v>40.373866355428774</v>
      </c>
      <c r="H14" s="297">
        <v>156374</v>
      </c>
      <c r="I14" s="298">
        <f t="shared" si="3"/>
        <v>21.271640759648985</v>
      </c>
      <c r="J14" s="297">
        <v>578755</v>
      </c>
      <c r="K14" s="298">
        <f t="shared" si="4"/>
        <v>78.728359240351011</v>
      </c>
      <c r="L14" s="298">
        <f t="shared" si="5"/>
        <v>51.282494319703503</v>
      </c>
      <c r="M14" s="298">
        <f t="shared" si="6"/>
        <v>189.80137362988731</v>
      </c>
    </row>
    <row r="15" spans="1:13">
      <c r="A15" s="295">
        <v>1990</v>
      </c>
      <c r="B15" s="296">
        <v>21610</v>
      </c>
      <c r="C15" s="296">
        <v>740156</v>
      </c>
      <c r="D15" s="296">
        <f t="shared" si="0"/>
        <v>29196.547754797637</v>
      </c>
      <c r="E15" s="297">
        <v>300300</v>
      </c>
      <c r="F15" s="297">
        <f t="shared" si="1"/>
        <v>71961.371961371959</v>
      </c>
      <c r="G15" s="298">
        <f t="shared" si="2"/>
        <v>40.572527953566542</v>
      </c>
      <c r="H15" s="297">
        <v>155300</v>
      </c>
      <c r="I15" s="298">
        <f t="shared" si="3"/>
        <v>20.982063240722226</v>
      </c>
      <c r="J15" s="297">
        <v>584856</v>
      </c>
      <c r="K15" s="298">
        <f t="shared" si="4"/>
        <v>79.017936759277774</v>
      </c>
      <c r="L15" s="298">
        <f t="shared" si="5"/>
        <v>51.345972341909807</v>
      </c>
      <c r="M15" s="298">
        <f t="shared" si="6"/>
        <v>193.36767546683836</v>
      </c>
    </row>
    <row r="16" spans="1:13">
      <c r="A16" s="295">
        <v>1991</v>
      </c>
      <c r="B16" s="296">
        <v>21546</v>
      </c>
      <c r="C16" s="296">
        <v>745567</v>
      </c>
      <c r="D16" s="296">
        <f t="shared" si="0"/>
        <v>28898.81124030436</v>
      </c>
      <c r="E16" s="297">
        <v>295200</v>
      </c>
      <c r="F16" s="297">
        <f t="shared" si="1"/>
        <v>72987.804878048773</v>
      </c>
      <c r="G16" s="298">
        <f t="shared" si="2"/>
        <v>39.594027096156346</v>
      </c>
      <c r="H16" s="297">
        <v>154099</v>
      </c>
      <c r="I16" s="298">
        <f t="shared" si="3"/>
        <v>20.66869912429064</v>
      </c>
      <c r="J16" s="297">
        <v>591468</v>
      </c>
      <c r="K16" s="298">
        <f t="shared" si="4"/>
        <v>79.33130087570936</v>
      </c>
      <c r="L16" s="298">
        <f t="shared" si="5"/>
        <v>49.909716163849943</v>
      </c>
      <c r="M16" s="298">
        <f t="shared" si="6"/>
        <v>191.56516265517621</v>
      </c>
    </row>
    <row r="17" spans="1:13">
      <c r="A17" s="295">
        <v>1992</v>
      </c>
      <c r="B17" s="296">
        <v>21842</v>
      </c>
      <c r="C17" s="296">
        <v>748121</v>
      </c>
      <c r="D17" s="296">
        <f t="shared" si="0"/>
        <v>29195.811907432086</v>
      </c>
      <c r="E17" s="297">
        <v>296900</v>
      </c>
      <c r="F17" s="297">
        <f t="shared" si="1"/>
        <v>73566.857527787128</v>
      </c>
      <c r="G17" s="298">
        <f t="shared" si="2"/>
        <v>39.686093559731646</v>
      </c>
      <c r="H17" s="297">
        <v>152384</v>
      </c>
      <c r="I17" s="298">
        <f t="shared" si="3"/>
        <v>20.368897544648526</v>
      </c>
      <c r="J17" s="297">
        <v>595737</v>
      </c>
      <c r="K17" s="298">
        <f t="shared" si="4"/>
        <v>79.631102455351467</v>
      </c>
      <c r="L17" s="298">
        <f t="shared" si="5"/>
        <v>49.83742826112865</v>
      </c>
      <c r="M17" s="298">
        <f t="shared" si="6"/>
        <v>194.83672826543469</v>
      </c>
    </row>
    <row r="18" spans="1:13">
      <c r="A18" s="295">
        <v>1993</v>
      </c>
      <c r="B18" s="296">
        <v>22523</v>
      </c>
      <c r="C18" s="296">
        <v>748812</v>
      </c>
      <c r="D18" s="296">
        <f t="shared" si="0"/>
        <v>30078.310710832626</v>
      </c>
      <c r="E18" s="297">
        <v>299900</v>
      </c>
      <c r="F18" s="297">
        <f t="shared" si="1"/>
        <v>75101.700566855623</v>
      </c>
      <c r="G18" s="298">
        <f t="shared" si="2"/>
        <v>40.050106034625514</v>
      </c>
      <c r="H18" s="297">
        <v>150872</v>
      </c>
      <c r="I18" s="298">
        <f t="shared" si="3"/>
        <v>20.148181385982063</v>
      </c>
      <c r="J18" s="297">
        <v>597940</v>
      </c>
      <c r="K18" s="298">
        <f t="shared" si="4"/>
        <v>79.851818614017944</v>
      </c>
      <c r="L18" s="298">
        <f t="shared" si="5"/>
        <v>50.155534000066893</v>
      </c>
      <c r="M18" s="298">
        <f t="shared" si="6"/>
        <v>198.77777188610213</v>
      </c>
    </row>
    <row r="19" spans="1:13">
      <c r="A19" s="295">
        <v>1994</v>
      </c>
      <c r="B19" s="296">
        <v>22983</v>
      </c>
      <c r="C19" s="296">
        <v>750185</v>
      </c>
      <c r="D19" s="296">
        <f t="shared" si="0"/>
        <v>30636.443010724022</v>
      </c>
      <c r="E19" s="297">
        <v>298600</v>
      </c>
      <c r="F19" s="297">
        <f t="shared" si="1"/>
        <v>76969.18955123912</v>
      </c>
      <c r="G19" s="298">
        <f t="shared" si="2"/>
        <v>39.803515132933875</v>
      </c>
      <c r="H19" s="297">
        <v>149453</v>
      </c>
      <c r="I19" s="298">
        <f t="shared" si="3"/>
        <v>19.922152535707859</v>
      </c>
      <c r="J19" s="297">
        <v>600732</v>
      </c>
      <c r="K19" s="298">
        <f t="shared" si="4"/>
        <v>80.077847464292148</v>
      </c>
      <c r="L19" s="298">
        <f t="shared" si="5"/>
        <v>49.70602531578141</v>
      </c>
      <c r="M19" s="298">
        <f t="shared" si="6"/>
        <v>199.79525335724276</v>
      </c>
    </row>
    <row r="20" spans="1:13">
      <c r="A20" s="295">
        <v>1995</v>
      </c>
      <c r="B20" s="296">
        <v>23762</v>
      </c>
      <c r="C20" s="296">
        <v>750943</v>
      </c>
      <c r="D20" s="296">
        <f t="shared" si="0"/>
        <v>31642.881017600535</v>
      </c>
      <c r="E20" s="297">
        <v>307500</v>
      </c>
      <c r="F20" s="297">
        <f t="shared" si="1"/>
        <v>77274.796747967484</v>
      </c>
      <c r="G20" s="298">
        <f t="shared" si="2"/>
        <v>40.948514068311447</v>
      </c>
      <c r="H20" s="297">
        <v>147502</v>
      </c>
      <c r="I20" s="298">
        <f t="shared" si="3"/>
        <v>19.642236494647396</v>
      </c>
      <c r="J20" s="297">
        <v>603441</v>
      </c>
      <c r="K20" s="298">
        <f t="shared" si="4"/>
        <v>80.357763505352608</v>
      </c>
      <c r="L20" s="298">
        <f t="shared" si="5"/>
        <v>50.957757262101843</v>
      </c>
      <c r="M20" s="298">
        <f t="shared" si="6"/>
        <v>208.47174953559951</v>
      </c>
    </row>
    <row r="21" spans="1:13">
      <c r="A21" s="295">
        <v>1996</v>
      </c>
      <c r="B21" s="296">
        <v>24010</v>
      </c>
      <c r="C21" s="296">
        <v>752268</v>
      </c>
      <c r="D21" s="296">
        <f t="shared" si="0"/>
        <v>31916.816879090962</v>
      </c>
      <c r="E21" s="297">
        <v>305800</v>
      </c>
      <c r="F21" s="297">
        <f t="shared" si="1"/>
        <v>78515.369522563764</v>
      </c>
      <c r="G21" s="298">
        <f t="shared" si="2"/>
        <v>40.650406504065039</v>
      </c>
      <c r="H21" s="297">
        <v>145326</v>
      </c>
      <c r="I21" s="298">
        <f t="shared" si="3"/>
        <v>19.318381215205218</v>
      </c>
      <c r="J21" s="297">
        <v>606942</v>
      </c>
      <c r="K21" s="298">
        <f t="shared" si="4"/>
        <v>80.681618784794779</v>
      </c>
      <c r="L21" s="298">
        <f t="shared" si="5"/>
        <v>50.383726945902573</v>
      </c>
      <c r="M21" s="298">
        <f t="shared" si="6"/>
        <v>210.42346173430769</v>
      </c>
    </row>
    <row r="22" spans="1:13">
      <c r="A22" s="295">
        <v>1997</v>
      </c>
      <c r="B22" s="296">
        <v>24232</v>
      </c>
      <c r="C22" s="296">
        <v>752511</v>
      </c>
      <c r="D22" s="296">
        <f t="shared" si="0"/>
        <v>32201.522635549511</v>
      </c>
      <c r="E22" s="297">
        <v>310100</v>
      </c>
      <c r="F22" s="297">
        <f t="shared" si="1"/>
        <v>78142.534666236694</v>
      </c>
      <c r="G22" s="298">
        <f t="shared" si="2"/>
        <v>41.208699939269991</v>
      </c>
      <c r="H22" s="297">
        <v>142910</v>
      </c>
      <c r="I22" s="298">
        <f t="shared" si="3"/>
        <v>18.991084515708074</v>
      </c>
      <c r="J22" s="297">
        <v>609601</v>
      </c>
      <c r="K22" s="298">
        <f t="shared" si="4"/>
        <v>81.008915484291919</v>
      </c>
      <c r="L22" s="298">
        <f t="shared" si="5"/>
        <v>50.869339125099863</v>
      </c>
      <c r="M22" s="298">
        <f t="shared" si="6"/>
        <v>216.98971380589182</v>
      </c>
    </row>
    <row r="23" spans="1:13">
      <c r="A23" s="295">
        <v>1998</v>
      </c>
      <c r="B23" s="296">
        <v>25060</v>
      </c>
      <c r="C23" s="296">
        <v>750530</v>
      </c>
      <c r="D23" s="296">
        <f t="shared" si="0"/>
        <v>33389.737918537568</v>
      </c>
      <c r="E23" s="297">
        <v>316100</v>
      </c>
      <c r="F23" s="297">
        <f t="shared" si="1"/>
        <v>79278.709269218598</v>
      </c>
      <c r="G23" s="298">
        <f t="shared" si="2"/>
        <v>42.116904054468179</v>
      </c>
      <c r="H23" s="297">
        <v>139966</v>
      </c>
      <c r="I23" s="298">
        <f t="shared" si="3"/>
        <v>18.648954738651351</v>
      </c>
      <c r="J23" s="297">
        <v>610564</v>
      </c>
      <c r="K23" s="298">
        <f t="shared" si="4"/>
        <v>81.351045261348645</v>
      </c>
      <c r="L23" s="298">
        <f t="shared" si="5"/>
        <v>51.771804430002426</v>
      </c>
      <c r="M23" s="298">
        <f t="shared" si="6"/>
        <v>225.84056127916779</v>
      </c>
    </row>
    <row r="24" spans="1:13">
      <c r="A24" s="295">
        <v>1999</v>
      </c>
      <c r="B24" s="296">
        <v>26629</v>
      </c>
      <c r="C24" s="296">
        <v>750601</v>
      </c>
      <c r="D24" s="296">
        <f t="shared" si="0"/>
        <v>35476.904507188243</v>
      </c>
      <c r="E24" s="297">
        <v>325700</v>
      </c>
      <c r="F24" s="297">
        <f t="shared" si="1"/>
        <v>81759.287688056487</v>
      </c>
      <c r="G24" s="298">
        <f t="shared" si="2"/>
        <v>43.391895294570617</v>
      </c>
      <c r="H24" s="297">
        <v>137339</v>
      </c>
      <c r="I24" s="298">
        <f t="shared" si="3"/>
        <v>18.29720450678856</v>
      </c>
      <c r="J24" s="297">
        <v>613262</v>
      </c>
      <c r="K24" s="298">
        <f t="shared" si="4"/>
        <v>81.70279549321144</v>
      </c>
      <c r="L24" s="298">
        <f t="shared" si="5"/>
        <v>53.109437728083591</v>
      </c>
      <c r="M24" s="298">
        <f t="shared" si="6"/>
        <v>237.15040884235358</v>
      </c>
    </row>
    <row r="25" spans="1:13">
      <c r="A25" s="295">
        <v>2000</v>
      </c>
      <c r="B25" s="296">
        <v>27184</v>
      </c>
      <c r="C25" s="296">
        <v>750517</v>
      </c>
      <c r="D25" s="296">
        <f t="shared" si="0"/>
        <v>36220.36542809823</v>
      </c>
      <c r="E25" s="297">
        <v>331600</v>
      </c>
      <c r="F25" s="297">
        <f t="shared" si="1"/>
        <v>81978.287092882994</v>
      </c>
      <c r="G25" s="298">
        <f t="shared" si="2"/>
        <v>44.182876603727827</v>
      </c>
      <c r="H25" s="297">
        <v>134547</v>
      </c>
      <c r="I25" s="298">
        <f t="shared" si="3"/>
        <v>17.927242154408226</v>
      </c>
      <c r="J25" s="297">
        <v>615970</v>
      </c>
      <c r="K25" s="298">
        <f t="shared" si="4"/>
        <v>82.072757845591767</v>
      </c>
      <c r="L25" s="298">
        <f t="shared" si="5"/>
        <v>53.83379060668539</v>
      </c>
      <c r="M25" s="298">
        <f t="shared" si="6"/>
        <v>246.45662853872625</v>
      </c>
    </row>
    <row r="26" spans="1:13">
      <c r="A26" s="295">
        <v>2001</v>
      </c>
      <c r="B26" s="296">
        <v>27683</v>
      </c>
      <c r="C26" s="296">
        <v>749820</v>
      </c>
      <c r="D26" s="296">
        <f t="shared" si="0"/>
        <v>36919.527353231446</v>
      </c>
      <c r="E26" s="297">
        <v>330000</v>
      </c>
      <c r="F26" s="297">
        <f t="shared" si="1"/>
        <v>83887.878787878784</v>
      </c>
      <c r="G26" s="298">
        <f t="shared" si="2"/>
        <v>44.010562535008404</v>
      </c>
      <c r="H26" s="297">
        <v>131607</v>
      </c>
      <c r="I26" s="298">
        <f t="shared" si="3"/>
        <v>17.551812434984395</v>
      </c>
      <c r="J26" s="297">
        <v>618213</v>
      </c>
      <c r="K26" s="298">
        <f t="shared" si="4"/>
        <v>82.448187565015601</v>
      </c>
      <c r="L26" s="298">
        <f t="shared" si="5"/>
        <v>53.379660408305874</v>
      </c>
      <c r="M26" s="298">
        <f t="shared" si="6"/>
        <v>250.74654083749346</v>
      </c>
    </row>
    <row r="27" spans="1:13">
      <c r="A27" s="295">
        <v>2002</v>
      </c>
      <c r="B27" s="296">
        <v>28999</v>
      </c>
      <c r="C27" s="296">
        <v>749372</v>
      </c>
      <c r="D27" s="296">
        <f t="shared" si="0"/>
        <v>38697.736237809797</v>
      </c>
      <c r="E27" s="297">
        <v>341900</v>
      </c>
      <c r="F27" s="297">
        <f t="shared" si="1"/>
        <v>84817.198011114364</v>
      </c>
      <c r="G27" s="298">
        <f t="shared" si="2"/>
        <v>45.624869891055447</v>
      </c>
      <c r="H27" s="297">
        <v>129183</v>
      </c>
      <c r="I27" s="298">
        <f t="shared" si="3"/>
        <v>17.238834650881003</v>
      </c>
      <c r="J27" s="297">
        <v>620189</v>
      </c>
      <c r="K27" s="298">
        <f t="shared" si="4"/>
        <v>82.761165349118997</v>
      </c>
      <c r="L27" s="298">
        <f t="shared" si="5"/>
        <v>55.128356033402724</v>
      </c>
      <c r="M27" s="298">
        <f t="shared" si="6"/>
        <v>264.66330709149037</v>
      </c>
    </row>
    <row r="28" spans="1:13">
      <c r="A28" s="295">
        <v>2003</v>
      </c>
      <c r="B28" s="296">
        <v>29722</v>
      </c>
      <c r="C28" s="296">
        <v>749441</v>
      </c>
      <c r="D28" s="296">
        <f t="shared" si="0"/>
        <v>39658.892427822866</v>
      </c>
      <c r="E28" s="297">
        <v>341700</v>
      </c>
      <c r="F28" s="297">
        <f t="shared" si="1"/>
        <v>86982.733391864211</v>
      </c>
      <c r="G28" s="298">
        <f t="shared" si="2"/>
        <v>45.593982715117001</v>
      </c>
      <c r="H28" s="297">
        <v>127002</v>
      </c>
      <c r="I28" s="298">
        <f t="shared" si="3"/>
        <v>16.946230590533478</v>
      </c>
      <c r="J28" s="297">
        <v>622439</v>
      </c>
      <c r="K28" s="298">
        <f t="shared" si="4"/>
        <v>83.053769409466526</v>
      </c>
      <c r="L28" s="298">
        <f t="shared" si="5"/>
        <v>54.896945724801945</v>
      </c>
      <c r="M28" s="298">
        <f t="shared" si="6"/>
        <v>269.05088108848679</v>
      </c>
    </row>
    <row r="29" spans="1:13">
      <c r="A29" s="295">
        <v>2004</v>
      </c>
      <c r="B29" s="296">
        <v>30475</v>
      </c>
      <c r="C29" s="296">
        <v>749419</v>
      </c>
      <c r="D29" s="296">
        <f t="shared" si="0"/>
        <v>40664.835025533117</v>
      </c>
      <c r="E29" s="297">
        <v>348100</v>
      </c>
      <c r="F29" s="297">
        <f t="shared" si="1"/>
        <v>87546.681987934498</v>
      </c>
      <c r="G29" s="298">
        <f t="shared" si="2"/>
        <v>46.44931607018237</v>
      </c>
      <c r="H29" s="297">
        <v>124870</v>
      </c>
      <c r="I29" s="298">
        <f t="shared" si="3"/>
        <v>16.662241016040426</v>
      </c>
      <c r="J29" s="297">
        <v>624549</v>
      </c>
      <c r="K29" s="298">
        <f t="shared" si="4"/>
        <v>83.337758983959574</v>
      </c>
      <c r="L29" s="298">
        <f t="shared" si="5"/>
        <v>55.736219255814994</v>
      </c>
      <c r="M29" s="298">
        <f t="shared" si="6"/>
        <v>278.76992071754626</v>
      </c>
    </row>
    <row r="30" spans="1:13">
      <c r="A30" s="295">
        <v>2005</v>
      </c>
      <c r="B30" s="296">
        <v>30716</v>
      </c>
      <c r="C30" s="296">
        <v>748057</v>
      </c>
      <c r="D30" s="296">
        <f t="shared" si="0"/>
        <v>41061.042139836936</v>
      </c>
      <c r="E30" s="297">
        <v>346500</v>
      </c>
      <c r="F30" s="297">
        <f t="shared" si="1"/>
        <v>88646.46464646465</v>
      </c>
      <c r="G30" s="298">
        <f t="shared" si="2"/>
        <v>46.319999679168831</v>
      </c>
      <c r="H30" s="297">
        <v>122056</v>
      </c>
      <c r="I30" s="298">
        <f t="shared" si="3"/>
        <v>16.316403696509759</v>
      </c>
      <c r="J30" s="297">
        <v>626001</v>
      </c>
      <c r="K30" s="298">
        <f t="shared" si="4"/>
        <v>83.683596303490248</v>
      </c>
      <c r="L30" s="298">
        <f t="shared" si="5"/>
        <v>55.351349278994761</v>
      </c>
      <c r="M30" s="298">
        <f t="shared" si="6"/>
        <v>283.88608507570297</v>
      </c>
    </row>
    <row r="31" spans="1:13">
      <c r="A31" s="295">
        <v>2006</v>
      </c>
      <c r="B31" s="296">
        <v>31348</v>
      </c>
      <c r="C31" s="296">
        <v>745621</v>
      </c>
      <c r="D31" s="296">
        <f t="shared" si="0"/>
        <v>42042.80727071796</v>
      </c>
      <c r="E31" s="297">
        <v>349600</v>
      </c>
      <c r="F31" s="297">
        <f t="shared" si="1"/>
        <v>89668.192219679637</v>
      </c>
      <c r="G31" s="298">
        <f t="shared" si="2"/>
        <v>46.887091431169452</v>
      </c>
      <c r="H31" s="297">
        <v>118919</v>
      </c>
      <c r="I31" s="298">
        <f t="shared" si="3"/>
        <v>15.948987488281579</v>
      </c>
      <c r="J31" s="297">
        <v>626702</v>
      </c>
      <c r="K31" s="298">
        <f t="shared" si="4"/>
        <v>84.051012511718426</v>
      </c>
      <c r="L31" s="298">
        <f t="shared" si="5"/>
        <v>55.784088769462997</v>
      </c>
      <c r="M31" s="298">
        <f t="shared" si="6"/>
        <v>293.9816177398061</v>
      </c>
    </row>
    <row r="32" spans="1:13">
      <c r="A32" s="295">
        <v>2007</v>
      </c>
      <c r="B32" s="296">
        <v>31644</v>
      </c>
      <c r="C32" s="296">
        <v>745433</v>
      </c>
      <c r="D32" s="296">
        <f t="shared" si="0"/>
        <v>42450.49521553245</v>
      </c>
      <c r="E32" s="297">
        <v>356000</v>
      </c>
      <c r="F32" s="297">
        <f t="shared" si="1"/>
        <v>88887.6404494382</v>
      </c>
      <c r="G32" s="298">
        <f t="shared" si="2"/>
        <v>47.757477868567662</v>
      </c>
      <c r="H32" s="297">
        <v>117143</v>
      </c>
      <c r="I32" s="298">
        <f t="shared" si="3"/>
        <v>15.714759072914669</v>
      </c>
      <c r="J32" s="297">
        <v>628290</v>
      </c>
      <c r="K32" s="298">
        <f t="shared" si="4"/>
        <v>84.285240927085326</v>
      </c>
      <c r="L32" s="298">
        <f t="shared" si="5"/>
        <v>56.661732639386273</v>
      </c>
      <c r="M32" s="298">
        <f t="shared" si="6"/>
        <v>303.9020684121117</v>
      </c>
    </row>
    <row r="33" spans="1:13">
      <c r="A33" s="295">
        <v>2008</v>
      </c>
      <c r="B33" s="296">
        <v>31887</v>
      </c>
      <c r="C33" s="296">
        <v>746877</v>
      </c>
      <c r="D33" s="296">
        <f t="shared" si="0"/>
        <v>42693.77688695729</v>
      </c>
      <c r="E33" s="297">
        <v>359400</v>
      </c>
      <c r="F33" s="297">
        <f t="shared" si="1"/>
        <v>88722.871452420703</v>
      </c>
      <c r="G33" s="298">
        <f t="shared" si="2"/>
        <v>48.120373234146989</v>
      </c>
      <c r="H33" s="297">
        <v>115687</v>
      </c>
      <c r="I33" s="298">
        <f t="shared" si="3"/>
        <v>15.489431325372182</v>
      </c>
      <c r="J33" s="297">
        <v>631190</v>
      </c>
      <c r="K33" s="298">
        <f t="shared" si="4"/>
        <v>84.51056867462782</v>
      </c>
      <c r="L33" s="298">
        <f t="shared" si="5"/>
        <v>56.940065590392749</v>
      </c>
      <c r="M33" s="298">
        <f t="shared" si="6"/>
        <v>310.66584836671365</v>
      </c>
    </row>
    <row r="34" spans="1:13">
      <c r="A34" s="295">
        <v>2009</v>
      </c>
      <c r="B34" s="296">
        <v>31425</v>
      </c>
      <c r="C34" s="296">
        <v>749956</v>
      </c>
      <c r="D34" s="296">
        <f t="shared" si="0"/>
        <v>41902.458277552287</v>
      </c>
      <c r="E34" s="297">
        <v>359900</v>
      </c>
      <c r="F34" s="297">
        <f t="shared" si="1"/>
        <v>87315.921089191441</v>
      </c>
      <c r="G34" s="298">
        <f t="shared" si="2"/>
        <v>47.989482049613578</v>
      </c>
      <c r="H34" s="297">
        <v>114666</v>
      </c>
      <c r="I34" s="298">
        <f t="shared" si="3"/>
        <v>15.289696995557073</v>
      </c>
      <c r="J34" s="297">
        <v>635290</v>
      </c>
      <c r="K34" s="298">
        <f t="shared" si="4"/>
        <v>84.71030300444292</v>
      </c>
      <c r="L34" s="298">
        <f t="shared" si="5"/>
        <v>56.651293110233119</v>
      </c>
      <c r="M34" s="298">
        <f t="shared" si="6"/>
        <v>313.86810388432491</v>
      </c>
    </row>
    <row r="35" spans="1:13">
      <c r="A35" s="295">
        <v>2010</v>
      </c>
      <c r="B35" s="296">
        <v>32050</v>
      </c>
      <c r="C35" s="296">
        <v>753035</v>
      </c>
      <c r="D35" s="296">
        <f t="shared" si="0"/>
        <v>42561.102737588553</v>
      </c>
      <c r="E35" s="297">
        <v>357500</v>
      </c>
      <c r="F35" s="297">
        <f t="shared" si="1"/>
        <v>89650.349650349657</v>
      </c>
      <c r="G35" s="298">
        <f t="shared" si="2"/>
        <v>47.474552975625301</v>
      </c>
      <c r="H35" s="297">
        <v>113640</v>
      </c>
      <c r="I35" s="298">
        <f t="shared" si="3"/>
        <v>15.090932028391775</v>
      </c>
      <c r="J35" s="297">
        <v>639395</v>
      </c>
      <c r="K35" s="298">
        <f t="shared" si="4"/>
        <v>84.909067971608224</v>
      </c>
      <c r="L35" s="298">
        <f t="shared" si="5"/>
        <v>55.912229529477081</v>
      </c>
      <c r="M35" s="298">
        <f t="shared" si="6"/>
        <v>314.58993312214011</v>
      </c>
    </row>
    <row r="36" spans="1:13">
      <c r="A36" s="295">
        <v>2011</v>
      </c>
      <c r="B36" s="296">
        <v>32136</v>
      </c>
      <c r="C36" s="296">
        <v>755705</v>
      </c>
      <c r="D36" s="296">
        <f t="shared" si="0"/>
        <v>42524.530074566137</v>
      </c>
      <c r="E36" s="297">
        <v>354500</v>
      </c>
      <c r="F36" s="297">
        <f t="shared" si="1"/>
        <v>90651.622002820877</v>
      </c>
      <c r="G36" s="298">
        <f t="shared" si="2"/>
        <v>46.909839156813838</v>
      </c>
      <c r="H36" s="297">
        <v>112619</v>
      </c>
      <c r="I36" s="298">
        <f t="shared" si="3"/>
        <v>14.902508253882136</v>
      </c>
      <c r="J36" s="297">
        <v>643086</v>
      </c>
      <c r="K36" s="298">
        <f t="shared" si="4"/>
        <v>85.097491746117868</v>
      </c>
      <c r="L36" s="298">
        <f t="shared" si="5"/>
        <v>55.124820008521411</v>
      </c>
      <c r="M36" s="298">
        <f t="shared" si="6"/>
        <v>314.77814578357118</v>
      </c>
    </row>
    <row r="37" spans="1:13">
      <c r="A37" s="295">
        <v>2012</v>
      </c>
      <c r="B37" s="296">
        <v>31796</v>
      </c>
      <c r="C37" s="296">
        <v>758378</v>
      </c>
      <c r="D37" s="296">
        <f t="shared" si="0"/>
        <v>41926.321702370064</v>
      </c>
      <c r="E37" s="297">
        <v>353100</v>
      </c>
      <c r="F37" s="297">
        <f t="shared" si="1"/>
        <v>90048.145001416036</v>
      </c>
      <c r="G37" s="298">
        <f t="shared" si="2"/>
        <v>46.559894933661049</v>
      </c>
      <c r="H37" s="297">
        <v>112364</v>
      </c>
      <c r="I37" s="298">
        <f t="shared" si="3"/>
        <v>14.816358069458765</v>
      </c>
      <c r="J37" s="297">
        <v>646014</v>
      </c>
      <c r="K37" s="298">
        <f t="shared" si="4"/>
        <v>85.183641930541228</v>
      </c>
      <c r="L37" s="298">
        <f t="shared" si="5"/>
        <v>54.65825818016328</v>
      </c>
      <c r="M37" s="298">
        <f t="shared" si="6"/>
        <v>314.24655583638889</v>
      </c>
    </row>
    <row r="38" spans="1:13">
      <c r="A38" s="295">
        <v>2013</v>
      </c>
      <c r="B38" s="296">
        <v>31710</v>
      </c>
      <c r="C38" s="296">
        <v>758544</v>
      </c>
      <c r="D38" s="296">
        <f t="shared" si="0"/>
        <v>41803.771435803326</v>
      </c>
      <c r="E38" s="297">
        <v>354700</v>
      </c>
      <c r="F38" s="297">
        <f t="shared" si="1"/>
        <v>89399.492528897666</v>
      </c>
      <c r="G38" s="298">
        <f t="shared" si="2"/>
        <v>46.760636166128791</v>
      </c>
      <c r="H38" s="297">
        <v>111435</v>
      </c>
      <c r="I38" s="298">
        <f t="shared" si="3"/>
        <v>14.690644181484528</v>
      </c>
      <c r="J38" s="297">
        <v>647109</v>
      </c>
      <c r="K38" s="298">
        <f t="shared" si="4"/>
        <v>85.309355818515471</v>
      </c>
      <c r="L38" s="298">
        <f t="shared" si="5"/>
        <v>54.813022226549158</v>
      </c>
      <c r="M38" s="298">
        <f t="shared" si="6"/>
        <v>318.30214923498005</v>
      </c>
    </row>
    <row r="39" spans="1:13">
      <c r="A39" s="295">
        <v>2014</v>
      </c>
      <c r="B39" s="296">
        <v>31747</v>
      </c>
      <c r="C39" s="296">
        <v>758976</v>
      </c>
      <c r="D39" s="296">
        <f t="shared" si="0"/>
        <v>41828.727127076483</v>
      </c>
      <c r="E39" s="297">
        <v>354500</v>
      </c>
      <c r="F39" s="297">
        <f t="shared" si="1"/>
        <v>89554.301833568403</v>
      </c>
      <c r="G39" s="298">
        <f t="shared" si="2"/>
        <v>46.707669280715066</v>
      </c>
      <c r="H39" s="297">
        <v>110897</v>
      </c>
      <c r="I39" s="298">
        <f t="shared" si="3"/>
        <v>14.611397461843326</v>
      </c>
      <c r="J39" s="297">
        <v>648079</v>
      </c>
      <c r="K39" s="298">
        <f t="shared" si="4"/>
        <v>85.388602538156675</v>
      </c>
      <c r="L39" s="298">
        <f t="shared" si="5"/>
        <v>54.700121435812612</v>
      </c>
      <c r="M39" s="298">
        <f t="shared" si="6"/>
        <v>319.66599637501463</v>
      </c>
    </row>
    <row r="40" spans="1:13">
      <c r="A40" s="295">
        <v>2015</v>
      </c>
      <c r="B40" s="296">
        <v>31954</v>
      </c>
      <c r="C40" s="296">
        <v>758842</v>
      </c>
      <c r="D40" s="296">
        <f t="shared" si="0"/>
        <v>42108.897504355322</v>
      </c>
      <c r="E40" s="297">
        <v>353100</v>
      </c>
      <c r="F40" s="297">
        <f t="shared" si="1"/>
        <v>90495.61030869442</v>
      </c>
      <c r="G40" s="298">
        <f t="shared" si="2"/>
        <v>46.531425514138647</v>
      </c>
      <c r="H40" s="297">
        <v>110164</v>
      </c>
      <c r="I40" s="298">
        <f t="shared" si="3"/>
        <v>14.517383065249419</v>
      </c>
      <c r="J40" s="297">
        <v>648678</v>
      </c>
      <c r="K40" s="298">
        <f t="shared" si="4"/>
        <v>85.482616934750581</v>
      </c>
      <c r="L40" s="298">
        <f t="shared" si="5"/>
        <v>54.433786871144079</v>
      </c>
      <c r="M40" s="298">
        <f t="shared" si="6"/>
        <v>320.52213064158889</v>
      </c>
    </row>
    <row r="41" spans="1:13">
      <c r="A41" s="295">
        <v>2016</v>
      </c>
      <c r="B41" s="296">
        <v>32213</v>
      </c>
      <c r="C41" s="296">
        <v>763350</v>
      </c>
      <c r="D41" s="296">
        <f t="shared" si="0"/>
        <v>42199.515294425888</v>
      </c>
      <c r="E41" s="297">
        <v>353600</v>
      </c>
      <c r="F41" s="297">
        <f t="shared" si="1"/>
        <v>91100.113122171941</v>
      </c>
      <c r="G41" s="298">
        <f t="shared" si="2"/>
        <v>46.322132704526105</v>
      </c>
      <c r="H41" s="297">
        <v>111061</v>
      </c>
      <c r="I41" s="298">
        <f t="shared" si="3"/>
        <v>14.549158315320627</v>
      </c>
      <c r="J41" s="297">
        <v>652289</v>
      </c>
      <c r="K41" s="298">
        <f t="shared" si="4"/>
        <v>85.450841684679375</v>
      </c>
      <c r="L41" s="298">
        <f t="shared" si="5"/>
        <v>54.209100567386542</v>
      </c>
      <c r="M41" s="298">
        <f t="shared" si="6"/>
        <v>318.38359099954079</v>
      </c>
    </row>
    <row r="42" spans="1:13">
      <c r="A42" s="295">
        <v>2017</v>
      </c>
      <c r="B42" s="296">
        <v>33014</v>
      </c>
      <c r="C42" s="296">
        <v>766621</v>
      </c>
      <c r="D42" s="296">
        <f t="shared" si="0"/>
        <v>43064.304265080136</v>
      </c>
      <c r="E42" s="297">
        <v>356300</v>
      </c>
      <c r="F42" s="297">
        <f t="shared" si="1"/>
        <v>92657.872579287112</v>
      </c>
      <c r="G42" s="298">
        <f t="shared" si="2"/>
        <v>46.476681437111687</v>
      </c>
      <c r="H42" s="297">
        <v>111144</v>
      </c>
      <c r="I42" s="298">
        <f t="shared" si="3"/>
        <v>14.497907049245978</v>
      </c>
      <c r="J42" s="297">
        <v>655477</v>
      </c>
      <c r="K42" s="298">
        <f t="shared" si="4"/>
        <v>85.502092950754019</v>
      </c>
      <c r="L42" s="298">
        <f t="shared" si="5"/>
        <v>54.357361127850403</v>
      </c>
      <c r="M42" s="298">
        <f t="shared" si="6"/>
        <v>320.57510976750882</v>
      </c>
    </row>
    <row r="43" spans="1:13">
      <c r="A43" s="295">
        <v>2018</v>
      </c>
      <c r="B43" s="296">
        <v>33176</v>
      </c>
      <c r="C43" s="296">
        <v>770301</v>
      </c>
      <c r="D43" s="296">
        <f t="shared" si="0"/>
        <v>43068.878269663415</v>
      </c>
      <c r="E43" s="297">
        <v>358400</v>
      </c>
      <c r="F43" s="297">
        <f t="shared" si="1"/>
        <v>92566.96428571429</v>
      </c>
      <c r="G43" s="298">
        <f t="shared" si="2"/>
        <v>46.527266613959995</v>
      </c>
      <c r="H43" s="297">
        <v>111284</v>
      </c>
      <c r="I43" s="298">
        <f t="shared" si="3"/>
        <v>14.446820139140414</v>
      </c>
      <c r="J43" s="297">
        <v>659017</v>
      </c>
      <c r="K43" s="298">
        <f t="shared" si="4"/>
        <v>85.553179860859586</v>
      </c>
      <c r="L43" s="298">
        <f t="shared" si="5"/>
        <v>54.384029547037478</v>
      </c>
      <c r="M43" s="298">
        <f t="shared" si="6"/>
        <v>322.05887638833974</v>
      </c>
    </row>
    <row r="44" spans="1:13">
      <c r="A44" s="295">
        <v>2019</v>
      </c>
      <c r="B44" s="296">
        <v>33568</v>
      </c>
      <c r="C44" s="296">
        <v>776868</v>
      </c>
      <c r="D44" s="296">
        <f t="shared" si="0"/>
        <v>43209.399795074576</v>
      </c>
      <c r="E44" s="297">
        <v>361100</v>
      </c>
      <c r="F44" s="297">
        <f t="shared" si="1"/>
        <v>92960.398781500975</v>
      </c>
      <c r="G44" s="298">
        <f t="shared" si="2"/>
        <v>46.481512946858409</v>
      </c>
      <c r="H44" s="297">
        <v>111785</v>
      </c>
      <c r="I44" s="298">
        <f t="shared" si="3"/>
        <v>14.389188382067481</v>
      </c>
      <c r="J44" s="297">
        <v>665083</v>
      </c>
      <c r="K44" s="298">
        <f t="shared" si="4"/>
        <v>85.610811617932512</v>
      </c>
      <c r="L44" s="298">
        <f t="shared" si="5"/>
        <v>54.293975338416409</v>
      </c>
      <c r="M44" s="298">
        <f t="shared" si="6"/>
        <v>323.0308180882945</v>
      </c>
    </row>
    <row r="45" spans="1:13">
      <c r="A45" s="295"/>
      <c r="B45" s="296"/>
      <c r="C45" s="296"/>
      <c r="D45" s="296"/>
      <c r="E45" s="297"/>
      <c r="F45" s="297"/>
      <c r="G45" s="298"/>
      <c r="H45" s="297"/>
      <c r="I45" s="298"/>
      <c r="J45" s="297"/>
      <c r="K45" s="298"/>
      <c r="L45" s="298"/>
      <c r="M45" s="298"/>
    </row>
    <row r="46" spans="1:13" ht="42">
      <c r="A46" s="295"/>
      <c r="B46" s="292" t="s">
        <v>258</v>
      </c>
      <c r="C46" s="293" t="s">
        <v>290</v>
      </c>
      <c r="D46" s="294" t="s">
        <v>526</v>
      </c>
      <c r="E46" s="294" t="s">
        <v>527</v>
      </c>
      <c r="F46" s="294" t="s">
        <v>528</v>
      </c>
      <c r="G46" s="294" t="s">
        <v>529</v>
      </c>
      <c r="H46" s="294" t="s">
        <v>530</v>
      </c>
      <c r="I46" s="294" t="s">
        <v>531</v>
      </c>
      <c r="J46" s="294" t="s">
        <v>533</v>
      </c>
      <c r="K46" s="294" t="s">
        <v>531</v>
      </c>
      <c r="L46" s="294" t="s">
        <v>534</v>
      </c>
      <c r="M46" s="294" t="s">
        <v>532</v>
      </c>
    </row>
    <row r="47" spans="1:13">
      <c r="A47" s="295"/>
      <c r="B47" s="353" t="s">
        <v>67</v>
      </c>
      <c r="C47" s="353"/>
      <c r="D47" s="353"/>
      <c r="E47" s="353"/>
      <c r="F47" s="353"/>
      <c r="G47" s="299" t="s">
        <v>68</v>
      </c>
      <c r="H47" s="299" t="s">
        <v>67</v>
      </c>
      <c r="I47" s="299" t="s">
        <v>68</v>
      </c>
      <c r="J47" s="299" t="s">
        <v>67</v>
      </c>
      <c r="K47" s="299" t="s">
        <v>68</v>
      </c>
      <c r="L47" s="299" t="s">
        <v>68</v>
      </c>
      <c r="M47" s="299" t="s">
        <v>68</v>
      </c>
    </row>
    <row r="48" spans="1:13">
      <c r="A48" s="295" t="s">
        <v>209</v>
      </c>
      <c r="B48" s="300">
        <f>100*((B44/B6)^(1/38)-1)</f>
        <v>1.8226692891904817</v>
      </c>
      <c r="C48" s="300">
        <f t="shared" ref="C48:J48" si="7">100*((C44/C6)^(1/38)-1)</f>
        <v>0.25040512291945038</v>
      </c>
      <c r="D48" s="300">
        <f t="shared" si="7"/>
        <v>1.568336970153128</v>
      </c>
      <c r="E48" s="301">
        <f t="shared" si="7"/>
        <v>0.89173885466984348</v>
      </c>
      <c r="F48" s="301">
        <f t="shared" si="7"/>
        <v>0.92270233924860445</v>
      </c>
      <c r="G48" s="298">
        <f>G44-G6</f>
        <v>10.002727830542469</v>
      </c>
      <c r="H48" s="301">
        <f t="shared" si="7"/>
        <v>-1.1676436409901347</v>
      </c>
      <c r="I48" s="298">
        <f>I44-I6</f>
        <v>-10.336123676457117</v>
      </c>
      <c r="J48" s="301">
        <f t="shared" si="7"/>
        <v>0.59042740350059297</v>
      </c>
      <c r="K48" s="298">
        <f t="shared" ref="K48:L48" si="8">K44-K6</f>
        <v>10.336123676457106</v>
      </c>
      <c r="L48" s="298">
        <f t="shared" si="8"/>
        <v>5.833083484998852</v>
      </c>
      <c r="M48" s="298">
        <f>M44-M6</f>
        <v>175.4946210527587</v>
      </c>
    </row>
    <row r="49" spans="1:13">
      <c r="A49" s="295" t="s">
        <v>210</v>
      </c>
      <c r="B49" s="300">
        <f>100*((B25/B6)^(1/19)-1)</f>
        <v>2.5338503005175816</v>
      </c>
      <c r="C49" s="300">
        <f t="shared" ref="C49:J49" si="9">100*((C25/C6)^(1/19)-1)</f>
        <v>0.31907037382792325</v>
      </c>
      <c r="D49" s="300">
        <f t="shared" si="9"/>
        <v>2.2077356961508254</v>
      </c>
      <c r="E49" s="301">
        <f t="shared" si="9"/>
        <v>1.3358613507463257</v>
      </c>
      <c r="F49" s="301">
        <f t="shared" si="9"/>
        <v>1.1821964443808675</v>
      </c>
      <c r="G49" s="298">
        <f>G25-G6</f>
        <v>7.7040914874118869</v>
      </c>
      <c r="H49" s="301">
        <f t="shared" si="9"/>
        <v>-1.3641841081989181</v>
      </c>
      <c r="I49" s="298">
        <f>I25-I6</f>
        <v>-6.798069904116371</v>
      </c>
      <c r="J49" s="301">
        <f t="shared" si="9"/>
        <v>0.77662694193139092</v>
      </c>
      <c r="K49" s="298">
        <f t="shared" ref="K49:L49" si="10">K25-K6</f>
        <v>6.7980699041163604</v>
      </c>
      <c r="L49" s="298">
        <f t="shared" si="10"/>
        <v>5.3728987532678332</v>
      </c>
      <c r="M49" s="298">
        <f>M25-M6</f>
        <v>98.920431503190457</v>
      </c>
    </row>
    <row r="50" spans="1:13">
      <c r="A50" s="291" t="s">
        <v>47</v>
      </c>
      <c r="B50" s="301">
        <f>100*((B44/B25)^(1/19)-1)</f>
        <v>1.1164210725393753</v>
      </c>
      <c r="C50" s="301">
        <f t="shared" ref="C50:J50" si="11">100*((C44/C25)^(1/19)-1)</f>
        <v>0.18178687121725989</v>
      </c>
      <c r="D50" s="301">
        <f t="shared" si="11"/>
        <v>0.93293824208144915</v>
      </c>
      <c r="E50" s="301">
        <f t="shared" si="11"/>
        <v>0.44956280468748666</v>
      </c>
      <c r="F50" s="301">
        <f t="shared" si="11"/>
        <v>0.663873738453713</v>
      </c>
      <c r="G50" s="298">
        <f>G44-G25</f>
        <v>2.2986363431305818</v>
      </c>
      <c r="H50" s="301">
        <f t="shared" si="11"/>
        <v>-0.97071154975612028</v>
      </c>
      <c r="I50" s="298">
        <f>I44-I25</f>
        <v>-3.5380537723407457</v>
      </c>
      <c r="J50" s="301">
        <f t="shared" si="11"/>
        <v>0.404571895914696</v>
      </c>
      <c r="K50" s="298">
        <f t="shared" ref="K50:L50" si="12">K44-K25</f>
        <v>3.5380537723407457</v>
      </c>
      <c r="L50" s="298">
        <f t="shared" si="12"/>
        <v>0.46018473173101881</v>
      </c>
      <c r="M50" s="298">
        <f>M44-M25</f>
        <v>76.574189549568246</v>
      </c>
    </row>
    <row r="51" spans="1:13">
      <c r="A51" s="291" t="s">
        <v>503</v>
      </c>
      <c r="B51" s="301">
        <f>100*((B14/B6)^(1/8)-1)</f>
        <v>3.2529108134925933</v>
      </c>
      <c r="C51" s="301">
        <f t="shared" ref="C51:J51" si="13">100*((C14/C6)^(1/8)-1)</f>
        <v>0.49887214760493404</v>
      </c>
      <c r="D51" s="301">
        <f t="shared" si="13"/>
        <v>2.7403677345182009</v>
      </c>
      <c r="E51" s="301">
        <f t="shared" si="13"/>
        <v>1.7814619816532984</v>
      </c>
      <c r="F51" s="301">
        <f t="shared" si="13"/>
        <v>1.4456943368572617</v>
      </c>
      <c r="G51" s="298">
        <f>G14-G6</f>
        <v>3.8950812391128338</v>
      </c>
      <c r="H51" s="301">
        <f t="shared" si="13"/>
        <v>-1.3735073718610491</v>
      </c>
      <c r="I51" s="298">
        <f>I14-I6</f>
        <v>-3.4536712988756122</v>
      </c>
      <c r="J51" s="301">
        <f t="shared" si="13"/>
        <v>1.0639963596265289</v>
      </c>
      <c r="K51" s="298">
        <f t="shared" ref="K51:L51" si="14">K14-K6</f>
        <v>3.4536712988756051</v>
      </c>
      <c r="L51" s="298">
        <f t="shared" si="14"/>
        <v>2.8216024662859454</v>
      </c>
      <c r="M51" s="298">
        <f>M14-M6</f>
        <v>42.265176594351516</v>
      </c>
    </row>
    <row r="52" spans="1:13">
      <c r="A52" s="291" t="s">
        <v>504</v>
      </c>
      <c r="B52" s="301">
        <f>100*((B25/B14)^(1/11)-1)</f>
        <v>2.0140444576431271</v>
      </c>
      <c r="C52" s="301">
        <f t="shared" ref="C52:J52" si="15">100*((C25/C14)^(1/11)-1)</f>
        <v>0.1885075285216864</v>
      </c>
      <c r="D52" s="301">
        <f t="shared" si="15"/>
        <v>1.8221021294301032</v>
      </c>
      <c r="E52" s="301">
        <f t="shared" si="15"/>
        <v>1.0130139775334834</v>
      </c>
      <c r="F52" s="301">
        <f t="shared" si="15"/>
        <v>0.9909915967186933</v>
      </c>
      <c r="G52" s="298">
        <f>G25-G14</f>
        <v>3.8090102482990531</v>
      </c>
      <c r="H52" s="301">
        <f t="shared" si="15"/>
        <v>-1.3574029992455716</v>
      </c>
      <c r="I52" s="298">
        <f>I25-I14</f>
        <v>-3.3443986052407588</v>
      </c>
      <c r="J52" s="301">
        <f t="shared" si="15"/>
        <v>0.5681443655413787</v>
      </c>
      <c r="K52" s="298">
        <f t="shared" ref="K52:L52" si="16">K25-K14</f>
        <v>3.3443986052407553</v>
      </c>
      <c r="L52" s="298">
        <f t="shared" si="16"/>
        <v>2.5512962869818878</v>
      </c>
      <c r="M52" s="298">
        <f>M25-M14</f>
        <v>56.655254908838941</v>
      </c>
    </row>
    <row r="53" spans="1:13">
      <c r="A53" s="291" t="s">
        <v>170</v>
      </c>
      <c r="B53" s="301">
        <f>100*((B33/B25)^(1/8)-1)</f>
        <v>2.0146485057426666</v>
      </c>
      <c r="C53" s="301">
        <f t="shared" ref="C53:J53" si="17">100*((C33/C25)^(1/8)-1)</f>
        <v>-6.0753905362165295E-2</v>
      </c>
      <c r="D53" s="301">
        <f t="shared" si="17"/>
        <v>2.0766640656259439</v>
      </c>
      <c r="E53" s="301">
        <f t="shared" si="17"/>
        <v>1.0114124360422583</v>
      </c>
      <c r="F53" s="301">
        <f t="shared" si="17"/>
        <v>0.99319081429103395</v>
      </c>
      <c r="G53" s="298">
        <f>G33-G25</f>
        <v>3.9374966304191616</v>
      </c>
      <c r="H53" s="301">
        <f t="shared" si="17"/>
        <v>-1.870108751120414</v>
      </c>
      <c r="I53" s="298">
        <f>I33-I25</f>
        <v>-2.4378108290360441</v>
      </c>
      <c r="J53" s="301">
        <f t="shared" si="17"/>
        <v>0.30557424815214063</v>
      </c>
      <c r="K53" s="298">
        <f t="shared" ref="K53:L53" si="18">K33-K25</f>
        <v>2.437810829036053</v>
      </c>
      <c r="L53" s="298">
        <f t="shared" si="18"/>
        <v>3.1062749837073582</v>
      </c>
      <c r="M53" s="298">
        <f>M33-M25</f>
        <v>64.209219827987397</v>
      </c>
    </row>
    <row r="54" spans="1:13">
      <c r="A54" s="291" t="s">
        <v>211</v>
      </c>
      <c r="B54" s="301">
        <f>100*((B44/B33)^(1/11)-1)</f>
        <v>0.46813624989339164</v>
      </c>
      <c r="C54" s="301">
        <f t="shared" ref="C54:J54" si="19">100*((C44/C33)^(1/11)-1)</f>
        <v>0.35854979218146177</v>
      </c>
      <c r="D54" s="301">
        <f t="shared" si="19"/>
        <v>0.10919493948333692</v>
      </c>
      <c r="E54" s="301">
        <f t="shared" si="19"/>
        <v>4.2908784404094291E-2</v>
      </c>
      <c r="F54" s="301">
        <f t="shared" si="19"/>
        <v>0.42504508381064898</v>
      </c>
      <c r="G54" s="298">
        <f>G44-G33</f>
        <v>-1.6388602872885798</v>
      </c>
      <c r="H54" s="301">
        <f t="shared" si="19"/>
        <v>-0.31143117820748856</v>
      </c>
      <c r="I54" s="298">
        <f>I44-I33</f>
        <v>-1.1002429433047016</v>
      </c>
      <c r="J54" s="301">
        <f t="shared" si="19"/>
        <v>0.47663154923713869</v>
      </c>
      <c r="K54" s="298">
        <f t="shared" ref="K54:L54" si="20">K44-K33</f>
        <v>1.1002429433046927</v>
      </c>
      <c r="L54" s="298">
        <f t="shared" si="20"/>
        <v>-2.6460902519763394</v>
      </c>
      <c r="M54" s="298">
        <f>M44-M33</f>
        <v>12.364969721580849</v>
      </c>
    </row>
    <row r="58" spans="1:13" ht="38.25" customHeight="1">
      <c r="A58" s="352" t="s">
        <v>95</v>
      </c>
      <c r="B58" s="351" t="s">
        <v>526</v>
      </c>
      <c r="C58" s="351"/>
      <c r="D58" s="351" t="s">
        <v>527</v>
      </c>
      <c r="E58" s="351"/>
      <c r="F58" s="351" t="s">
        <v>528</v>
      </c>
      <c r="G58" s="351"/>
      <c r="H58" s="351" t="s">
        <v>530</v>
      </c>
      <c r="I58" s="351"/>
      <c r="J58" s="351" t="s">
        <v>533</v>
      </c>
      <c r="K58" s="351"/>
    </row>
    <row r="59" spans="1:13">
      <c r="A59" s="352"/>
      <c r="B59" s="293" t="s">
        <v>43</v>
      </c>
      <c r="C59" s="293" t="s">
        <v>44</v>
      </c>
      <c r="D59" s="293" t="s">
        <v>43</v>
      </c>
      <c r="E59" s="293" t="s">
        <v>44</v>
      </c>
      <c r="F59" s="293" t="s">
        <v>43</v>
      </c>
      <c r="G59" s="293" t="s">
        <v>44</v>
      </c>
      <c r="H59" s="293" t="s">
        <v>43</v>
      </c>
      <c r="I59" s="293" t="s">
        <v>44</v>
      </c>
      <c r="J59" s="293" t="s">
        <v>43</v>
      </c>
      <c r="K59" s="293" t="s">
        <v>44</v>
      </c>
    </row>
    <row r="60" spans="1:13">
      <c r="A60" s="291" t="s">
        <v>209</v>
      </c>
      <c r="B60" s="301">
        <v>1.2326516060991999</v>
      </c>
      <c r="C60" s="301">
        <v>1.568336970153128</v>
      </c>
      <c r="D60" s="301">
        <v>1.3736535524551119</v>
      </c>
      <c r="E60" s="301">
        <v>0.89173885466984348</v>
      </c>
      <c r="F60" s="301">
        <v>0.95795463578660645</v>
      </c>
      <c r="G60" s="301">
        <v>0.92270233924860445</v>
      </c>
      <c r="H60" s="301">
        <v>0.21645923158042368</v>
      </c>
      <c r="I60" s="301">
        <v>-1.1676436409901347</v>
      </c>
      <c r="J60" s="301">
        <v>1.3066190672406108</v>
      </c>
      <c r="K60" s="301">
        <v>0.59042740350059297</v>
      </c>
    </row>
    <row r="61" spans="1:13">
      <c r="A61" s="291" t="s">
        <v>210</v>
      </c>
      <c r="B61" s="301">
        <v>1.5668008811489997</v>
      </c>
      <c r="C61" s="301">
        <v>2.2077356961508254</v>
      </c>
      <c r="D61" s="301">
        <v>1.4134886462372043</v>
      </c>
      <c r="E61" s="301">
        <v>1.3358613507463257</v>
      </c>
      <c r="F61" s="301">
        <v>1.2757161016940577</v>
      </c>
      <c r="G61" s="301">
        <v>1.1821964443808675</v>
      </c>
      <c r="H61" s="301">
        <v>0.32408465312778745</v>
      </c>
      <c r="I61" s="301">
        <v>-1.3641841081989181</v>
      </c>
      <c r="J61" s="301">
        <v>1.3324349893648835</v>
      </c>
      <c r="K61" s="301">
        <v>0.77662694193139092</v>
      </c>
    </row>
    <row r="62" spans="1:13">
      <c r="A62" s="291" t="s">
        <v>47</v>
      </c>
      <c r="B62" s="301">
        <v>0.89960166407008213</v>
      </c>
      <c r="C62" s="301">
        <v>0.93293824208144915</v>
      </c>
      <c r="D62" s="301">
        <v>1.33383410584893</v>
      </c>
      <c r="E62" s="301">
        <v>0.44956280468748666</v>
      </c>
      <c r="F62" s="301">
        <v>0.64119017442381132</v>
      </c>
      <c r="G62" s="301">
        <v>0.663873738453713</v>
      </c>
      <c r="H62" s="301">
        <v>0.10894926816460426</v>
      </c>
      <c r="I62" s="301">
        <v>-0.97071154975612028</v>
      </c>
      <c r="J62" s="301">
        <v>1.2808097221006731</v>
      </c>
      <c r="K62" s="301">
        <v>0.404571895914696</v>
      </c>
    </row>
    <row r="66" spans="1:11" ht="38.25" customHeight="1">
      <c r="A66" s="352" t="s">
        <v>551</v>
      </c>
      <c r="B66" s="351" t="s">
        <v>603</v>
      </c>
      <c r="C66" s="351"/>
      <c r="D66" s="351" t="s">
        <v>605</v>
      </c>
      <c r="E66" s="351"/>
      <c r="F66" s="351" t="s">
        <v>606</v>
      </c>
      <c r="G66" s="351"/>
      <c r="H66" s="351" t="s">
        <v>534</v>
      </c>
      <c r="I66" s="351"/>
      <c r="J66" s="351" t="s">
        <v>532</v>
      </c>
      <c r="K66" s="351"/>
    </row>
    <row r="67" spans="1:11">
      <c r="A67" s="352"/>
      <c r="B67" s="293" t="s">
        <v>43</v>
      </c>
      <c r="C67" s="293" t="s">
        <v>44</v>
      </c>
      <c r="D67" s="293" t="s">
        <v>43</v>
      </c>
      <c r="E67" s="293" t="s">
        <v>44</v>
      </c>
      <c r="F67" s="293" t="s">
        <v>43</v>
      </c>
      <c r="G67" s="293" t="s">
        <v>44</v>
      </c>
      <c r="H67" s="293" t="s">
        <v>43</v>
      </c>
      <c r="I67" s="293" t="s">
        <v>44</v>
      </c>
      <c r="J67" s="293" t="s">
        <v>43</v>
      </c>
      <c r="K67" s="293" t="s">
        <v>44</v>
      </c>
    </row>
    <row r="68" spans="1:11" ht="16">
      <c r="A68" s="291">
        <v>1981</v>
      </c>
      <c r="B68" s="298">
        <v>45.548101192127369</v>
      </c>
      <c r="C68" s="302">
        <v>36.47878511631594</v>
      </c>
      <c r="D68" s="298">
        <v>22.291325332903035</v>
      </c>
      <c r="E68" s="298">
        <v>24.725312058524597</v>
      </c>
      <c r="F68" s="298">
        <v>77.708674667096972</v>
      </c>
      <c r="G68" s="298">
        <v>75.274687941475406</v>
      </c>
      <c r="H68" s="298">
        <v>58.613921016224886</v>
      </c>
      <c r="I68" s="298">
        <v>48.460891853417557</v>
      </c>
      <c r="J68" s="298">
        <v>204.3310593331849</v>
      </c>
      <c r="K68" s="298">
        <v>147.53619703553579</v>
      </c>
    </row>
    <row r="69" spans="1:11" ht="16">
      <c r="A69" s="291">
        <v>2000</v>
      </c>
      <c r="B69" s="298">
        <v>48.10085991110526</v>
      </c>
      <c r="C69" s="302">
        <v>44.182876603727827</v>
      </c>
      <c r="D69" s="298">
        <v>19.17337798383809</v>
      </c>
      <c r="E69" s="298">
        <v>17.927242154408226</v>
      </c>
      <c r="F69" s="298">
        <v>80.826622016161906</v>
      </c>
      <c r="G69" s="298">
        <v>82.072757845591767</v>
      </c>
      <c r="H69" s="298">
        <v>59.511159456208773</v>
      </c>
      <c r="I69" s="298">
        <v>53.83379060668539</v>
      </c>
      <c r="J69" s="298">
        <v>250.87316356904429</v>
      </c>
      <c r="K69" s="298">
        <v>246.45662853872625</v>
      </c>
    </row>
    <row r="70" spans="1:11" ht="16">
      <c r="A70" s="291">
        <v>2019</v>
      </c>
      <c r="B70" s="298">
        <v>50.502503312816955</v>
      </c>
      <c r="C70" s="302">
        <v>46.481512946858409</v>
      </c>
      <c r="D70" s="298">
        <v>15.977500189927037</v>
      </c>
      <c r="E70" s="298">
        <v>14.389188382067481</v>
      </c>
      <c r="F70" s="298">
        <v>84.022499810072958</v>
      </c>
      <c r="G70" s="298">
        <v>85.610811617932512</v>
      </c>
      <c r="H70" s="298">
        <v>60.105928087089012</v>
      </c>
      <c r="I70" s="298">
        <v>54.293975338416409</v>
      </c>
      <c r="J70" s="298">
        <v>316.08513667648771</v>
      </c>
      <c r="K70" s="298">
        <v>323.0308180882945</v>
      </c>
    </row>
    <row r="73" spans="1:11">
      <c r="A73" s="291" t="s">
        <v>549</v>
      </c>
    </row>
    <row r="75" spans="1:11" ht="39.75" customHeight="1">
      <c r="A75" s="303" t="s">
        <v>551</v>
      </c>
      <c r="B75" s="294" t="s">
        <v>526</v>
      </c>
      <c r="C75" s="294" t="s">
        <v>528</v>
      </c>
      <c r="D75" s="294" t="s">
        <v>603</v>
      </c>
      <c r="E75" s="294" t="s">
        <v>601</v>
      </c>
      <c r="F75" s="294" t="s">
        <v>602</v>
      </c>
      <c r="G75" s="294" t="s">
        <v>534</v>
      </c>
      <c r="H75" s="294" t="s">
        <v>532</v>
      </c>
    </row>
    <row r="76" spans="1:11" ht="16">
      <c r="A76" s="291">
        <v>1981</v>
      </c>
      <c r="B76" s="304">
        <v>68.133458532056594</v>
      </c>
      <c r="C76" s="304">
        <v>85.072725253662199</v>
      </c>
      <c r="D76" s="305">
        <v>80.08848703142209</v>
      </c>
      <c r="E76" s="305">
        <v>110.91898614941877</v>
      </c>
      <c r="F76" s="305">
        <v>96.867805639397744</v>
      </c>
      <c r="G76" s="305">
        <v>82.678126651863352</v>
      </c>
      <c r="H76" s="305">
        <v>72.204488890238338</v>
      </c>
    </row>
    <row r="77" spans="1:11" ht="16">
      <c r="A77" s="291">
        <v>2000</v>
      </c>
      <c r="B77" s="304">
        <v>76.783572458871149</v>
      </c>
      <c r="C77" s="304">
        <v>83.59247170445083</v>
      </c>
      <c r="D77" s="305">
        <v>91.854650177526509</v>
      </c>
      <c r="E77" s="305">
        <v>93.500697527163581</v>
      </c>
      <c r="F77" s="305">
        <v>101.54173934075915</v>
      </c>
      <c r="G77" s="305">
        <v>90.459992879652987</v>
      </c>
      <c r="H77" s="305">
        <v>98.239534684584726</v>
      </c>
    </row>
    <row r="78" spans="1:11" ht="16">
      <c r="A78" s="291">
        <v>2019</v>
      </c>
      <c r="B78" s="304">
        <v>77.2670155651019</v>
      </c>
      <c r="C78" s="304">
        <v>83.951176761594184</v>
      </c>
      <c r="D78" s="305">
        <v>92.038037518551945</v>
      </c>
      <c r="E78" s="305">
        <v>90.059071888724475</v>
      </c>
      <c r="F78" s="305">
        <v>101.89034105322958</v>
      </c>
      <c r="G78" s="305">
        <v>90.330483308981584</v>
      </c>
      <c r="H78" s="305">
        <v>102.19740842130001</v>
      </c>
    </row>
    <row r="83" spans="1:1" ht="14">
      <c r="A83" s="306" t="s">
        <v>604</v>
      </c>
    </row>
  </sheetData>
  <mergeCells count="13">
    <mergeCell ref="B47:F47"/>
    <mergeCell ref="A58:A59"/>
    <mergeCell ref="B58:C58"/>
    <mergeCell ref="D58:E58"/>
    <mergeCell ref="F58:G58"/>
    <mergeCell ref="H58:I58"/>
    <mergeCell ref="J58:K58"/>
    <mergeCell ref="A66:A67"/>
    <mergeCell ref="B66:C66"/>
    <mergeCell ref="D66:E66"/>
    <mergeCell ref="F66:G66"/>
    <mergeCell ref="H66:I66"/>
    <mergeCell ref="J66:K6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EFDAE-91CE-9945-89B1-786E6148CA53}">
  <sheetPr codeName="Sheet4"/>
  <dimension ref="A1:G66"/>
  <sheetViews>
    <sheetView zoomScale="92" workbookViewId="0"/>
  </sheetViews>
  <sheetFormatPr baseColWidth="10" defaultColWidth="11" defaultRowHeight="16"/>
  <cols>
    <col min="1" max="1" width="18.6640625" style="5" customWidth="1"/>
    <col min="2" max="6" width="15.83203125" style="5" customWidth="1"/>
    <col min="7" max="16384" width="11" style="5"/>
  </cols>
  <sheetData>
    <row r="1" spans="1:7">
      <c r="A1" s="15" t="s">
        <v>25</v>
      </c>
      <c r="B1" s="6"/>
      <c r="C1" s="6"/>
      <c r="D1" s="6"/>
      <c r="E1" s="6"/>
      <c r="F1" s="6"/>
      <c r="G1" s="6"/>
    </row>
    <row r="2" spans="1:7">
      <c r="A2" s="6" t="s">
        <v>3</v>
      </c>
      <c r="B2" s="6"/>
      <c r="C2" s="6"/>
      <c r="D2" s="6"/>
      <c r="E2" s="6"/>
      <c r="F2" s="6"/>
      <c r="G2" s="6"/>
    </row>
    <row r="3" spans="1:7">
      <c r="A3" s="6"/>
      <c r="B3" s="6"/>
      <c r="C3" s="6"/>
      <c r="D3" s="6"/>
      <c r="E3" s="6"/>
      <c r="F3" s="6"/>
      <c r="G3" s="6"/>
    </row>
    <row r="4" spans="1:7" ht="51">
      <c r="A4" s="6"/>
      <c r="B4" s="142" t="s">
        <v>26</v>
      </c>
      <c r="C4" s="142" t="s">
        <v>27</v>
      </c>
      <c r="D4" s="142" t="s">
        <v>28</v>
      </c>
      <c r="E4" s="142" t="s">
        <v>29</v>
      </c>
      <c r="F4" s="142" t="s">
        <v>30</v>
      </c>
      <c r="G4" s="142"/>
    </row>
    <row r="5" spans="1:7">
      <c r="A5" s="6">
        <v>1976</v>
      </c>
      <c r="B5" s="16">
        <v>45000</v>
      </c>
      <c r="C5" s="16">
        <v>4700</v>
      </c>
      <c r="D5" s="16">
        <v>54800</v>
      </c>
      <c r="E5" s="16">
        <v>4400</v>
      </c>
      <c r="F5" s="16">
        <v>47200</v>
      </c>
      <c r="G5" s="6"/>
    </row>
    <row r="6" spans="1:7">
      <c r="A6" s="6">
        <v>1977</v>
      </c>
      <c r="B6" s="16">
        <v>43900</v>
      </c>
      <c r="C6" s="16">
        <v>5500</v>
      </c>
      <c r="D6" s="16">
        <v>52000</v>
      </c>
      <c r="E6" s="16">
        <v>3900</v>
      </c>
      <c r="F6" s="16">
        <v>47400</v>
      </c>
      <c r="G6" s="6"/>
    </row>
    <row r="7" spans="1:7">
      <c r="A7" s="6">
        <v>1978</v>
      </c>
      <c r="B7" s="16">
        <v>44700</v>
      </c>
      <c r="C7" s="16">
        <v>5800</v>
      </c>
      <c r="D7" s="16">
        <v>55700</v>
      </c>
      <c r="E7" s="16">
        <v>3800</v>
      </c>
      <c r="F7" s="16">
        <v>50400</v>
      </c>
      <c r="G7" s="6"/>
    </row>
    <row r="8" spans="1:7">
      <c r="A8" s="6">
        <v>1979</v>
      </c>
      <c r="B8" s="16">
        <v>46300</v>
      </c>
      <c r="C8" s="16">
        <v>5500</v>
      </c>
      <c r="D8" s="16">
        <v>54400</v>
      </c>
      <c r="E8" s="16">
        <v>4500</v>
      </c>
      <c r="F8" s="16">
        <v>48700</v>
      </c>
      <c r="G8" s="6"/>
    </row>
    <row r="9" spans="1:7">
      <c r="A9" s="6">
        <v>1980</v>
      </c>
      <c r="B9" s="16">
        <v>43500</v>
      </c>
      <c r="C9" s="16">
        <v>5900</v>
      </c>
      <c r="D9" s="16">
        <v>53400</v>
      </c>
      <c r="E9" s="16">
        <v>4600</v>
      </c>
      <c r="F9" s="16">
        <v>47600</v>
      </c>
      <c r="G9" s="6"/>
    </row>
    <row r="10" spans="1:7">
      <c r="A10" s="6">
        <v>1981</v>
      </c>
      <c r="B10" s="16">
        <v>41100</v>
      </c>
      <c r="C10" s="16">
        <v>6100</v>
      </c>
      <c r="D10" s="16">
        <v>50800</v>
      </c>
      <c r="E10" s="16">
        <v>4100</v>
      </c>
      <c r="F10" s="16">
        <v>45800</v>
      </c>
      <c r="G10" s="6"/>
    </row>
    <row r="11" spans="1:7">
      <c r="A11" s="6">
        <v>1982</v>
      </c>
      <c r="B11" s="16">
        <v>38400</v>
      </c>
      <c r="C11" s="16">
        <v>7900</v>
      </c>
      <c r="D11" s="16">
        <v>49100</v>
      </c>
      <c r="E11" s="16">
        <v>4200</v>
      </c>
      <c r="F11" s="16">
        <v>44700</v>
      </c>
      <c r="G11" s="6"/>
    </row>
    <row r="12" spans="1:7">
      <c r="A12" s="6">
        <v>1983</v>
      </c>
      <c r="B12" s="16">
        <v>34600</v>
      </c>
      <c r="C12" s="16">
        <v>7500</v>
      </c>
      <c r="D12" s="16">
        <v>46600</v>
      </c>
      <c r="E12" s="16">
        <v>3300</v>
      </c>
      <c r="F12" s="16">
        <v>41300</v>
      </c>
      <c r="G12" s="6"/>
    </row>
    <row r="13" spans="1:7">
      <c r="A13" s="6">
        <v>1984</v>
      </c>
      <c r="B13" s="16">
        <v>39400</v>
      </c>
      <c r="C13" s="16">
        <v>8000</v>
      </c>
      <c r="D13" s="16">
        <v>51500</v>
      </c>
      <c r="E13" s="16">
        <v>4600</v>
      </c>
      <c r="F13" s="16">
        <v>45800</v>
      </c>
      <c r="G13" s="6"/>
    </row>
    <row r="14" spans="1:7">
      <c r="A14" s="6">
        <v>1985</v>
      </c>
      <c r="B14" s="16">
        <v>39700</v>
      </c>
      <c r="C14" s="16">
        <v>8000</v>
      </c>
      <c r="D14" s="16">
        <v>51300</v>
      </c>
      <c r="E14" s="16">
        <v>4900</v>
      </c>
      <c r="F14" s="16">
        <v>46000</v>
      </c>
      <c r="G14" s="6"/>
    </row>
    <row r="15" spans="1:7">
      <c r="A15" s="6">
        <v>1986</v>
      </c>
      <c r="B15" s="16">
        <v>41500</v>
      </c>
      <c r="C15" s="16">
        <v>8300</v>
      </c>
      <c r="D15" s="16">
        <v>54000</v>
      </c>
      <c r="E15" s="16">
        <v>6000</v>
      </c>
      <c r="F15" s="16">
        <v>47300</v>
      </c>
      <c r="G15" s="6"/>
    </row>
    <row r="16" spans="1:7">
      <c r="A16" s="6">
        <v>1987</v>
      </c>
      <c r="B16" s="16">
        <v>39000</v>
      </c>
      <c r="C16" s="16">
        <v>8700</v>
      </c>
      <c r="D16" s="16">
        <v>50500</v>
      </c>
      <c r="E16" s="16">
        <v>6100</v>
      </c>
      <c r="F16" s="16">
        <v>44300</v>
      </c>
      <c r="G16" s="6"/>
    </row>
    <row r="17" spans="1:7">
      <c r="A17" s="6">
        <v>1988</v>
      </c>
      <c r="B17" s="16">
        <v>40000</v>
      </c>
      <c r="C17" s="16">
        <v>9300</v>
      </c>
      <c r="D17" s="16">
        <v>52700</v>
      </c>
      <c r="E17" s="16">
        <v>6300</v>
      </c>
      <c r="F17" s="16">
        <v>46300</v>
      </c>
      <c r="G17" s="6"/>
    </row>
    <row r="18" spans="1:7">
      <c r="A18" s="6">
        <v>1989</v>
      </c>
      <c r="B18" s="16">
        <v>43200</v>
      </c>
      <c r="C18" s="16">
        <v>7800</v>
      </c>
      <c r="D18" s="16">
        <v>54600</v>
      </c>
      <c r="E18" s="16">
        <v>7000</v>
      </c>
      <c r="F18" s="16">
        <v>47100</v>
      </c>
      <c r="G18" s="6"/>
    </row>
    <row r="19" spans="1:7">
      <c r="A19" s="6">
        <v>1990</v>
      </c>
      <c r="B19" s="16">
        <v>41600</v>
      </c>
      <c r="C19" s="16">
        <v>8800</v>
      </c>
      <c r="D19" s="16">
        <v>53400</v>
      </c>
      <c r="E19" s="16">
        <v>6900</v>
      </c>
      <c r="F19" s="16">
        <v>45800</v>
      </c>
      <c r="G19" s="6"/>
    </row>
    <row r="20" spans="1:7">
      <c r="A20" s="6">
        <v>1991</v>
      </c>
      <c r="B20" s="16">
        <v>36200</v>
      </c>
      <c r="C20" s="16">
        <v>9300</v>
      </c>
      <c r="D20" s="16">
        <v>49900</v>
      </c>
      <c r="E20" s="16">
        <v>6100</v>
      </c>
      <c r="F20" s="16">
        <v>43400</v>
      </c>
      <c r="G20" s="6"/>
    </row>
    <row r="21" spans="1:7">
      <c r="A21" s="6">
        <v>1992</v>
      </c>
      <c r="B21" s="16">
        <v>36000</v>
      </c>
      <c r="C21" s="16">
        <v>10200</v>
      </c>
      <c r="D21" s="16">
        <v>50200</v>
      </c>
      <c r="E21" s="16">
        <v>5900</v>
      </c>
      <c r="F21" s="16">
        <v>44000</v>
      </c>
      <c r="G21" s="6"/>
    </row>
    <row r="22" spans="1:7">
      <c r="A22" s="6">
        <v>1993</v>
      </c>
      <c r="B22" s="16">
        <v>36300</v>
      </c>
      <c r="C22" s="16">
        <v>10600</v>
      </c>
      <c r="D22" s="16">
        <v>50300</v>
      </c>
      <c r="E22" s="16">
        <v>6200</v>
      </c>
      <c r="F22" s="16">
        <v>44000</v>
      </c>
      <c r="G22" s="6"/>
    </row>
    <row r="23" spans="1:7">
      <c r="A23" s="6">
        <v>1994</v>
      </c>
      <c r="B23" s="16">
        <v>36300</v>
      </c>
      <c r="C23" s="16">
        <v>9800</v>
      </c>
      <c r="D23" s="16">
        <v>50900</v>
      </c>
      <c r="E23" s="16">
        <v>6300</v>
      </c>
      <c r="F23" s="16">
        <v>44300</v>
      </c>
      <c r="G23" s="6"/>
    </row>
    <row r="24" spans="1:7">
      <c r="A24" s="6">
        <v>1995</v>
      </c>
      <c r="B24" s="16">
        <v>36000</v>
      </c>
      <c r="C24" s="16">
        <v>9800</v>
      </c>
      <c r="D24" s="16">
        <v>49800</v>
      </c>
      <c r="E24" s="16">
        <v>6200</v>
      </c>
      <c r="F24" s="16">
        <v>43300</v>
      </c>
      <c r="G24" s="6"/>
    </row>
    <row r="25" spans="1:7">
      <c r="A25" s="6">
        <v>1996</v>
      </c>
      <c r="B25" s="16">
        <v>36100</v>
      </c>
      <c r="C25" s="16">
        <v>9600</v>
      </c>
      <c r="D25" s="16">
        <v>48600</v>
      </c>
      <c r="E25" s="16">
        <v>6000</v>
      </c>
      <c r="F25" s="16">
        <v>42400</v>
      </c>
      <c r="G25" s="6"/>
    </row>
    <row r="26" spans="1:7">
      <c r="A26" s="6">
        <v>1997</v>
      </c>
      <c r="B26" s="16">
        <v>36100</v>
      </c>
      <c r="C26" s="16">
        <v>8900</v>
      </c>
      <c r="D26" s="16">
        <v>49100</v>
      </c>
      <c r="E26" s="16">
        <v>6000</v>
      </c>
      <c r="F26" s="16">
        <v>42400</v>
      </c>
      <c r="G26" s="6"/>
    </row>
    <row r="27" spans="1:7">
      <c r="A27" s="6">
        <v>1998</v>
      </c>
      <c r="B27" s="16">
        <v>37800</v>
      </c>
      <c r="C27" s="16">
        <v>8700</v>
      </c>
      <c r="D27" s="16">
        <v>49300</v>
      </c>
      <c r="E27" s="16">
        <v>6100</v>
      </c>
      <c r="F27" s="16">
        <v>43200</v>
      </c>
      <c r="G27" s="6"/>
    </row>
    <row r="28" spans="1:7">
      <c r="A28" s="6">
        <v>1999</v>
      </c>
      <c r="B28" s="16">
        <v>41100</v>
      </c>
      <c r="C28" s="16">
        <v>7900</v>
      </c>
      <c r="D28" s="16">
        <v>51900</v>
      </c>
      <c r="E28" s="16">
        <v>6200</v>
      </c>
      <c r="F28" s="16">
        <v>45000</v>
      </c>
      <c r="G28" s="6"/>
    </row>
    <row r="29" spans="1:7">
      <c r="A29" s="6">
        <v>2000</v>
      </c>
      <c r="B29" s="16">
        <v>41000</v>
      </c>
      <c r="C29" s="16">
        <v>7700</v>
      </c>
      <c r="D29" s="16">
        <v>51800</v>
      </c>
      <c r="E29" s="16">
        <v>6000</v>
      </c>
      <c r="F29" s="16">
        <v>45800</v>
      </c>
      <c r="G29" s="6"/>
    </row>
    <row r="30" spans="1:7">
      <c r="A30" s="6">
        <v>2001</v>
      </c>
      <c r="B30" s="16">
        <v>40400</v>
      </c>
      <c r="C30" s="16">
        <v>8600</v>
      </c>
      <c r="D30" s="16">
        <v>53100</v>
      </c>
      <c r="E30" s="16">
        <v>5900</v>
      </c>
      <c r="F30" s="16">
        <v>46800</v>
      </c>
      <c r="G30" s="6"/>
    </row>
    <row r="31" spans="1:7">
      <c r="A31" s="6">
        <v>2002</v>
      </c>
      <c r="B31" s="16">
        <v>38900</v>
      </c>
      <c r="C31" s="16">
        <v>9000</v>
      </c>
      <c r="D31" s="16">
        <v>51900</v>
      </c>
      <c r="E31" s="16">
        <v>5500</v>
      </c>
      <c r="F31" s="16">
        <v>45700</v>
      </c>
      <c r="G31" s="6"/>
    </row>
    <row r="32" spans="1:7">
      <c r="A32" s="6">
        <v>2003</v>
      </c>
      <c r="B32" s="16">
        <v>39300</v>
      </c>
      <c r="C32" s="16">
        <v>8800</v>
      </c>
      <c r="D32" s="16">
        <v>52000</v>
      </c>
      <c r="E32" s="16">
        <v>5900</v>
      </c>
      <c r="F32" s="16">
        <v>46000</v>
      </c>
      <c r="G32" s="6"/>
    </row>
    <row r="33" spans="1:7">
      <c r="A33" s="6">
        <v>2004</v>
      </c>
      <c r="B33" s="16">
        <v>39500</v>
      </c>
      <c r="C33" s="16">
        <v>8600</v>
      </c>
      <c r="D33" s="16">
        <v>52600</v>
      </c>
      <c r="E33" s="16">
        <v>5900</v>
      </c>
      <c r="F33" s="16">
        <v>46200</v>
      </c>
      <c r="G33" s="6"/>
    </row>
    <row r="34" spans="1:7">
      <c r="A34" s="6">
        <v>2005</v>
      </c>
      <c r="B34" s="16">
        <v>40000</v>
      </c>
      <c r="C34" s="16">
        <v>7600</v>
      </c>
      <c r="D34" s="16">
        <v>53300</v>
      </c>
      <c r="E34" s="16">
        <v>5300</v>
      </c>
      <c r="F34" s="16">
        <v>47200</v>
      </c>
      <c r="G34" s="6"/>
    </row>
    <row r="35" spans="1:7">
      <c r="A35" s="6">
        <v>2006</v>
      </c>
      <c r="B35" s="16">
        <v>41400</v>
      </c>
      <c r="C35" s="16">
        <v>7800</v>
      </c>
      <c r="D35" s="16">
        <v>53600</v>
      </c>
      <c r="E35" s="16">
        <v>5600</v>
      </c>
      <c r="F35" s="16">
        <v>46800</v>
      </c>
      <c r="G35" s="6"/>
    </row>
    <row r="36" spans="1:7">
      <c r="A36" s="6">
        <v>2007</v>
      </c>
      <c r="B36" s="16">
        <v>42700</v>
      </c>
      <c r="C36" s="16">
        <v>8400</v>
      </c>
      <c r="D36" s="16">
        <v>55400</v>
      </c>
      <c r="E36" s="16">
        <v>5200</v>
      </c>
      <c r="F36" s="16">
        <v>49700</v>
      </c>
      <c r="G36" s="6"/>
    </row>
    <row r="37" spans="1:7">
      <c r="A37" s="6">
        <v>2008</v>
      </c>
      <c r="B37" s="16">
        <v>44000</v>
      </c>
      <c r="C37" s="16">
        <v>8000</v>
      </c>
      <c r="D37" s="16">
        <v>55900</v>
      </c>
      <c r="E37" s="16">
        <v>5900</v>
      </c>
      <c r="F37" s="16">
        <v>50000</v>
      </c>
      <c r="G37" s="6"/>
    </row>
    <row r="38" spans="1:7">
      <c r="A38" s="6">
        <v>2009</v>
      </c>
      <c r="B38" s="16">
        <v>42800</v>
      </c>
      <c r="C38" s="16">
        <v>9000</v>
      </c>
      <c r="D38" s="16">
        <v>55400</v>
      </c>
      <c r="E38" s="16">
        <v>5100</v>
      </c>
      <c r="F38" s="16">
        <v>50800</v>
      </c>
      <c r="G38" s="6"/>
    </row>
    <row r="39" spans="1:7">
      <c r="A39" s="6">
        <v>2010</v>
      </c>
      <c r="B39" s="16">
        <v>43000</v>
      </c>
      <c r="C39" s="16">
        <v>9100</v>
      </c>
      <c r="D39" s="16">
        <v>56100</v>
      </c>
      <c r="E39" s="16">
        <v>5400</v>
      </c>
      <c r="F39" s="16">
        <v>51100</v>
      </c>
      <c r="G39" s="6"/>
    </row>
    <row r="40" spans="1:7">
      <c r="A40" s="6">
        <v>2011</v>
      </c>
      <c r="B40" s="16">
        <v>44400</v>
      </c>
      <c r="C40" s="16">
        <v>9900</v>
      </c>
      <c r="D40" s="16">
        <v>56800</v>
      </c>
      <c r="E40" s="16">
        <v>5600</v>
      </c>
      <c r="F40" s="16">
        <v>51200</v>
      </c>
      <c r="G40" s="6"/>
    </row>
    <row r="41" spans="1:7">
      <c r="A41" s="6">
        <v>2012</v>
      </c>
      <c r="B41" s="16">
        <v>43300</v>
      </c>
      <c r="C41" s="16">
        <v>8500</v>
      </c>
      <c r="D41" s="16">
        <v>57300</v>
      </c>
      <c r="E41" s="16">
        <v>5200</v>
      </c>
      <c r="F41" s="16">
        <v>51900</v>
      </c>
      <c r="G41" s="6"/>
    </row>
    <row r="42" spans="1:7">
      <c r="A42" s="6">
        <v>2013</v>
      </c>
      <c r="B42" s="16">
        <v>44400</v>
      </c>
      <c r="C42" s="16">
        <v>9400</v>
      </c>
      <c r="D42" s="16">
        <v>57200</v>
      </c>
      <c r="E42" s="16">
        <v>5900</v>
      </c>
      <c r="F42" s="16">
        <v>51900</v>
      </c>
      <c r="G42" s="6"/>
    </row>
    <row r="43" spans="1:7">
      <c r="A43" s="6">
        <v>2014</v>
      </c>
      <c r="B43" s="16">
        <v>45600</v>
      </c>
      <c r="C43" s="16">
        <v>9900</v>
      </c>
      <c r="D43" s="16">
        <v>59700</v>
      </c>
      <c r="E43" s="16">
        <v>5900</v>
      </c>
      <c r="F43" s="16">
        <v>53100</v>
      </c>
      <c r="G43" s="6"/>
    </row>
    <row r="44" spans="1:7">
      <c r="A44" s="6">
        <v>2015</v>
      </c>
      <c r="B44" s="16">
        <v>46900</v>
      </c>
      <c r="C44" s="16">
        <v>9800</v>
      </c>
      <c r="D44" s="16">
        <v>61200</v>
      </c>
      <c r="E44" s="16">
        <v>6500</v>
      </c>
      <c r="F44" s="16">
        <v>54600</v>
      </c>
      <c r="G44" s="6"/>
    </row>
    <row r="45" spans="1:7">
      <c r="A45" s="6">
        <v>2016</v>
      </c>
      <c r="B45" s="16">
        <v>44600</v>
      </c>
      <c r="C45" s="16">
        <v>10400</v>
      </c>
      <c r="D45" s="16">
        <v>59800</v>
      </c>
      <c r="E45" s="16">
        <v>5900</v>
      </c>
      <c r="F45" s="16">
        <v>53900</v>
      </c>
      <c r="G45" s="6"/>
    </row>
    <row r="46" spans="1:7">
      <c r="A46" s="6">
        <v>2017</v>
      </c>
      <c r="B46" s="16">
        <v>45900</v>
      </c>
      <c r="C46" s="16">
        <v>12100</v>
      </c>
      <c r="D46" s="16">
        <v>61200</v>
      </c>
      <c r="E46" s="16">
        <v>6500</v>
      </c>
      <c r="F46" s="16">
        <v>55300</v>
      </c>
      <c r="G46" s="6"/>
    </row>
    <row r="47" spans="1:7">
      <c r="A47" s="6">
        <v>2018</v>
      </c>
      <c r="B47" s="16">
        <v>46800</v>
      </c>
      <c r="C47" s="16">
        <v>10900</v>
      </c>
      <c r="D47" s="16">
        <v>62900</v>
      </c>
      <c r="E47" s="16">
        <v>6300</v>
      </c>
      <c r="F47" s="16">
        <v>56000</v>
      </c>
      <c r="G47" s="6"/>
    </row>
    <row r="48" spans="1:7">
      <c r="A48" s="6">
        <v>2019</v>
      </c>
      <c r="B48" s="16">
        <v>47000</v>
      </c>
      <c r="C48" s="16">
        <v>12200</v>
      </c>
      <c r="D48" s="16">
        <v>63700</v>
      </c>
      <c r="E48" s="16">
        <v>6800</v>
      </c>
      <c r="F48" s="16">
        <v>56400</v>
      </c>
      <c r="G48" s="6"/>
    </row>
    <row r="49" spans="1:7">
      <c r="A49" s="6"/>
      <c r="B49" s="6"/>
      <c r="C49" s="6"/>
      <c r="D49" s="6"/>
      <c r="E49" s="6"/>
      <c r="F49" s="6"/>
      <c r="G49" s="6"/>
    </row>
    <row r="50" spans="1:7">
      <c r="A50" s="31" t="s">
        <v>9</v>
      </c>
      <c r="B50" s="18">
        <f>100*((B48/B5)^(1/43)-1)</f>
        <v>0.10117931907431821</v>
      </c>
      <c r="C50" s="18">
        <f t="shared" ref="C50:F50" si="0">100*((C48/C5)^(1/43)-1)</f>
        <v>2.2430977844822841</v>
      </c>
      <c r="D50" s="18">
        <f t="shared" si="0"/>
        <v>0.35060007306988439</v>
      </c>
      <c r="E50" s="18">
        <f t="shared" si="0"/>
        <v>1.0175093850224526</v>
      </c>
      <c r="F50" s="18">
        <f t="shared" si="0"/>
        <v>0.41498722251631648</v>
      </c>
      <c r="G50" s="6"/>
    </row>
    <row r="51" spans="1:7">
      <c r="A51" s="31" t="s">
        <v>10</v>
      </c>
      <c r="B51" s="18">
        <f>100*((B29/B5)^(1/24)-1)</f>
        <v>-0.38712549250768946</v>
      </c>
      <c r="C51" s="18">
        <f t="shared" ref="C51:E51" si="1">100*((C29/C5)^(1/24)-1)</f>
        <v>2.0782077186675352</v>
      </c>
      <c r="D51" s="18">
        <f t="shared" si="1"/>
        <v>-0.23430858742119476</v>
      </c>
      <c r="E51" s="18">
        <f t="shared" si="1"/>
        <v>1.3006986427904987</v>
      </c>
      <c r="F51" s="18">
        <f>100*((F29/F5)^(1/24)-1)</f>
        <v>-0.12537884110198627</v>
      </c>
      <c r="G51" s="6"/>
    </row>
    <row r="52" spans="1:7">
      <c r="A52" s="31" t="s">
        <v>11</v>
      </c>
      <c r="B52" s="18">
        <f>100*((B48/B29)^(1/19)-1)</f>
        <v>0.72140830759861441</v>
      </c>
      <c r="C52" s="18">
        <f t="shared" ref="C52:F52" si="2">100*((C48/C29)^(1/19)-1)</f>
        <v>2.4517607404576536</v>
      </c>
      <c r="D52" s="18">
        <f t="shared" si="2"/>
        <v>1.094336177932842</v>
      </c>
      <c r="E52" s="18">
        <f t="shared" si="2"/>
        <v>0.66092793642977821</v>
      </c>
      <c r="F52" s="18">
        <f t="shared" si="2"/>
        <v>1.1017357776833325</v>
      </c>
      <c r="G52" s="6"/>
    </row>
    <row r="53" spans="1:7">
      <c r="A53" s="31" t="s">
        <v>206</v>
      </c>
      <c r="B53" s="18">
        <f>100*((B37/B29)^(1/8)-1)</f>
        <v>0.88662704838613493</v>
      </c>
      <c r="C53" s="18">
        <f t="shared" ref="C53:E53" si="3">100*((C37/C29)^(1/8)-1)</f>
        <v>0.4789082777415743</v>
      </c>
      <c r="D53" s="18">
        <f t="shared" si="3"/>
        <v>0.95672552223129426</v>
      </c>
      <c r="E53" s="18">
        <f t="shared" si="3"/>
        <v>-0.2098684465245193</v>
      </c>
      <c r="F53" s="18">
        <f>100*((F37/F29)^(1/8)-1)</f>
        <v>1.1027726297103024</v>
      </c>
      <c r="G53" s="6"/>
    </row>
    <row r="54" spans="1:7">
      <c r="A54" s="31" t="s">
        <v>207</v>
      </c>
      <c r="B54" s="18">
        <f>100*((B48/B37)^(1/11)-1)</f>
        <v>0.60141919559959511</v>
      </c>
      <c r="C54" s="18">
        <f t="shared" ref="C54:E54" si="4">100*((C48/C37)^(1/11)-1)</f>
        <v>3.9108493961018453</v>
      </c>
      <c r="D54" s="18">
        <f>100*((D48/D37)^(1/11)-1)</f>
        <v>1.1945344542664715</v>
      </c>
      <c r="E54" s="18">
        <f t="shared" si="4"/>
        <v>1.2990034278273166</v>
      </c>
      <c r="F54" s="18">
        <f>100*((F48/F37)^(1/11)-1)</f>
        <v>1.1009817101607311</v>
      </c>
      <c r="G54" s="6"/>
    </row>
    <row r="55" spans="1:7">
      <c r="A55" s="6"/>
      <c r="B55" s="6"/>
      <c r="C55" s="6"/>
      <c r="D55" s="6"/>
      <c r="E55" s="6"/>
      <c r="F55" s="6"/>
      <c r="G55" s="6"/>
    </row>
    <row r="56" spans="1:7" ht="51">
      <c r="A56" s="32" t="s">
        <v>31</v>
      </c>
      <c r="B56" s="33">
        <v>1976</v>
      </c>
      <c r="C56" s="34" t="s">
        <v>32</v>
      </c>
      <c r="D56" s="33">
        <v>2000</v>
      </c>
      <c r="E56" s="34" t="s">
        <v>32</v>
      </c>
      <c r="F56" s="33">
        <v>2019</v>
      </c>
      <c r="G56" s="34" t="s">
        <v>32</v>
      </c>
    </row>
    <row r="57" spans="1:7" ht="17">
      <c r="A57" s="35" t="s">
        <v>15</v>
      </c>
      <c r="B57" s="36">
        <v>45000</v>
      </c>
      <c r="C57" s="37">
        <f>100*B57/$B$61</f>
        <v>95.33898305084746</v>
      </c>
      <c r="D57" s="36">
        <v>41000</v>
      </c>
      <c r="E57" s="37">
        <f>100*D57/$D$61</f>
        <v>89.519650655021834</v>
      </c>
      <c r="F57" s="36">
        <v>47000</v>
      </c>
      <c r="G57" s="37">
        <f>100*F57/$F$61</f>
        <v>83.333333333333329</v>
      </c>
    </row>
    <row r="58" spans="1:7" ht="34">
      <c r="A58" s="35" t="s">
        <v>16</v>
      </c>
      <c r="B58" s="36">
        <v>4700</v>
      </c>
      <c r="C58" s="37">
        <f t="shared" ref="C58:C61" si="5">100*B58/$B$61</f>
        <v>9.9576271186440675</v>
      </c>
      <c r="D58" s="36">
        <v>7700</v>
      </c>
      <c r="E58" s="37">
        <f t="shared" ref="E58:E61" si="6">100*D58/$D$61</f>
        <v>16.812227074235807</v>
      </c>
      <c r="F58" s="36">
        <v>12200</v>
      </c>
      <c r="G58" s="37">
        <f t="shared" ref="G58:G61" si="7">100*F58/$F$61</f>
        <v>21.631205673758867</v>
      </c>
    </row>
    <row r="59" spans="1:7" ht="17">
      <c r="A59" s="35" t="s">
        <v>17</v>
      </c>
      <c r="B59" s="36">
        <v>54800</v>
      </c>
      <c r="C59" s="37">
        <f t="shared" si="5"/>
        <v>116.10169491525424</v>
      </c>
      <c r="D59" s="36">
        <v>51800</v>
      </c>
      <c r="E59" s="37">
        <f t="shared" si="6"/>
        <v>113.1004366812227</v>
      </c>
      <c r="F59" s="36">
        <v>63700</v>
      </c>
      <c r="G59" s="37">
        <f t="shared" si="7"/>
        <v>112.94326241134752</v>
      </c>
    </row>
    <row r="60" spans="1:7" ht="17">
      <c r="A60" s="35" t="s">
        <v>18</v>
      </c>
      <c r="B60" s="36">
        <v>4400</v>
      </c>
      <c r="C60" s="37">
        <f t="shared" si="5"/>
        <v>9.3220338983050848</v>
      </c>
      <c r="D60" s="36">
        <v>6000</v>
      </c>
      <c r="E60" s="37">
        <f t="shared" si="6"/>
        <v>13.100436681222707</v>
      </c>
      <c r="F60" s="36">
        <v>6800</v>
      </c>
      <c r="G60" s="37">
        <f t="shared" si="7"/>
        <v>12.056737588652481</v>
      </c>
    </row>
    <row r="61" spans="1:7" ht="17">
      <c r="A61" s="35" t="s">
        <v>19</v>
      </c>
      <c r="B61" s="36">
        <v>47200</v>
      </c>
      <c r="C61" s="37">
        <f t="shared" si="5"/>
        <v>100</v>
      </c>
      <c r="D61" s="36">
        <v>45800</v>
      </c>
      <c r="E61" s="37">
        <f t="shared" si="6"/>
        <v>100</v>
      </c>
      <c r="F61" s="36">
        <v>56400</v>
      </c>
      <c r="G61" s="37">
        <f t="shared" si="7"/>
        <v>100</v>
      </c>
    </row>
    <row r="62" spans="1:7">
      <c r="A62" s="6"/>
      <c r="B62" s="6"/>
      <c r="C62" s="6"/>
      <c r="D62" s="6"/>
      <c r="E62" s="6"/>
      <c r="F62" s="6"/>
      <c r="G62" s="6"/>
    </row>
    <row r="63" spans="1:7">
      <c r="A63" s="6"/>
      <c r="B63" s="6"/>
      <c r="C63" s="6"/>
      <c r="D63" s="6"/>
      <c r="E63" s="6"/>
      <c r="F63" s="6"/>
      <c r="G63" s="6"/>
    </row>
    <row r="64" spans="1:7">
      <c r="A64" s="6" t="s">
        <v>607</v>
      </c>
      <c r="B64" s="6"/>
      <c r="C64" s="6"/>
      <c r="D64" s="6"/>
      <c r="E64" s="6"/>
      <c r="F64" s="6"/>
      <c r="G64" s="6"/>
    </row>
    <row r="65" spans="1:7">
      <c r="A65" s="6"/>
      <c r="B65" s="6"/>
      <c r="C65" s="6"/>
      <c r="D65" s="6"/>
      <c r="E65" s="6"/>
      <c r="F65" s="6"/>
      <c r="G65" s="6"/>
    </row>
    <row r="66" spans="1:7">
      <c r="A66" s="6"/>
      <c r="B66" s="6"/>
      <c r="C66" s="6"/>
      <c r="D66" s="6"/>
      <c r="E66" s="6"/>
      <c r="F66" s="6"/>
      <c r="G66" s="6"/>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5C884-D6E0-BC45-AF06-B9C5AB4DAAB5}">
  <dimension ref="A1:M58"/>
  <sheetViews>
    <sheetView zoomScale="82" zoomScaleNormal="82" workbookViewId="0"/>
  </sheetViews>
  <sheetFormatPr baseColWidth="10" defaultColWidth="11" defaultRowHeight="14"/>
  <cols>
    <col min="1" max="1" width="13.33203125" style="308" customWidth="1"/>
    <col min="2" max="13" width="16.83203125" style="308" customWidth="1"/>
    <col min="14" max="16384" width="11" style="308"/>
  </cols>
  <sheetData>
    <row r="1" spans="1:13">
      <c r="A1" s="307" t="s">
        <v>653</v>
      </c>
    </row>
    <row r="4" spans="1:13" ht="43" customHeight="1">
      <c r="B4" s="309" t="s">
        <v>258</v>
      </c>
      <c r="C4" s="309" t="s">
        <v>290</v>
      </c>
      <c r="D4" s="309" t="s">
        <v>526</v>
      </c>
      <c r="E4" s="309" t="s">
        <v>527</v>
      </c>
      <c r="F4" s="309" t="s">
        <v>528</v>
      </c>
      <c r="G4" s="309" t="s">
        <v>529</v>
      </c>
      <c r="H4" s="309" t="s">
        <v>530</v>
      </c>
      <c r="I4" s="309" t="s">
        <v>531</v>
      </c>
      <c r="J4" s="309" t="s">
        <v>533</v>
      </c>
      <c r="K4" s="309" t="s">
        <v>531</v>
      </c>
      <c r="L4" s="309" t="s">
        <v>534</v>
      </c>
      <c r="M4" s="309" t="s">
        <v>532</v>
      </c>
    </row>
    <row r="6" spans="1:13">
      <c r="A6" s="310">
        <v>1981</v>
      </c>
      <c r="B6" s="311">
        <v>1.9392517733630033</v>
      </c>
      <c r="C6" s="311">
        <v>2.8462547111865613</v>
      </c>
      <c r="D6" s="311">
        <v>68.133458532056594</v>
      </c>
      <c r="E6" s="311">
        <v>2.2795223352498892</v>
      </c>
      <c r="F6" s="311">
        <v>85.072725253662199</v>
      </c>
      <c r="G6" s="311">
        <v>80.08848703142209</v>
      </c>
      <c r="H6" s="311">
        <v>3.1570368688782016</v>
      </c>
      <c r="I6" s="311">
        <v>110.91898614941877</v>
      </c>
      <c r="J6" s="311">
        <v>2.7571044816343999</v>
      </c>
      <c r="K6" s="311">
        <v>96.867805639397744</v>
      </c>
      <c r="L6" s="311">
        <v>82.678126651863352</v>
      </c>
      <c r="M6" s="311">
        <v>72.204488890238338</v>
      </c>
    </row>
    <row r="7" spans="1:13">
      <c r="A7" s="310">
        <v>1982</v>
      </c>
      <c r="B7" s="311">
        <v>2.0134092940442914</v>
      </c>
      <c r="C7" s="311">
        <v>2.8166526004638621</v>
      </c>
      <c r="D7" s="311">
        <v>71.482343747777463</v>
      </c>
      <c r="E7" s="311">
        <v>2.2697990624743003</v>
      </c>
      <c r="F7" s="311">
        <v>88.704296663576955</v>
      </c>
      <c r="G7" s="311">
        <v>80.584984534496613</v>
      </c>
      <c r="H7" s="311">
        <v>3.1043373781360581</v>
      </c>
      <c r="I7" s="311">
        <v>110.21371175219899</v>
      </c>
      <c r="J7" s="311">
        <v>2.7355145097993177</v>
      </c>
      <c r="K7" s="311">
        <v>97.11934334212242</v>
      </c>
      <c r="L7" s="311">
        <v>82.975215607275885</v>
      </c>
      <c r="M7" s="311">
        <v>73.117022603940015</v>
      </c>
    </row>
    <row r="8" spans="1:13">
      <c r="A8" s="310">
        <v>1983</v>
      </c>
      <c r="B8" s="311">
        <v>2.1075884506648457</v>
      </c>
      <c r="C8" s="311">
        <v>2.8180607527635617</v>
      </c>
      <c r="D8" s="311">
        <v>74.78860945769236</v>
      </c>
      <c r="E8" s="311">
        <v>2.2799854835782978</v>
      </c>
      <c r="F8" s="311">
        <v>92.438678484790813</v>
      </c>
      <c r="G8" s="311">
        <v>80.906186331944966</v>
      </c>
      <c r="H8" s="311">
        <v>3.0805949351893478</v>
      </c>
      <c r="I8" s="311">
        <v>109.31612926259058</v>
      </c>
      <c r="J8" s="311">
        <v>2.744988475239226</v>
      </c>
      <c r="K8" s="311">
        <v>97.407001341164261</v>
      </c>
      <c r="L8" s="311">
        <v>83.059929181655193</v>
      </c>
      <c r="M8" s="311">
        <v>74.011206651489189</v>
      </c>
    </row>
    <row r="9" spans="1:13">
      <c r="A9" s="310">
        <v>1984</v>
      </c>
      <c r="B9" s="311">
        <v>2.0346271704707974</v>
      </c>
      <c r="C9" s="311">
        <v>2.8136310726579898</v>
      </c>
      <c r="D9" s="311">
        <v>72.313217970994316</v>
      </c>
      <c r="E9" s="311">
        <v>2.258067370395604</v>
      </c>
      <c r="F9" s="311">
        <v>90.104803654035308</v>
      </c>
      <c r="G9" s="311">
        <v>80.254564727366542</v>
      </c>
      <c r="H9" s="311">
        <v>3.0511643549780931</v>
      </c>
      <c r="I9" s="311">
        <v>108.4422326945554</v>
      </c>
      <c r="J9" s="311">
        <v>2.7483778782133306</v>
      </c>
      <c r="K9" s="311">
        <v>97.680819099605131</v>
      </c>
      <c r="L9" s="311">
        <v>82.160003844286948</v>
      </c>
      <c r="M9" s="311">
        <v>74.006743252341678</v>
      </c>
    </row>
    <row r="10" spans="1:13">
      <c r="A10" s="310">
        <v>1985</v>
      </c>
      <c r="B10" s="311">
        <v>2.0139442936509093</v>
      </c>
      <c r="C10" s="311">
        <v>2.7988691018955261</v>
      </c>
      <c r="D10" s="311">
        <v>71.955644238130731</v>
      </c>
      <c r="E10" s="311">
        <v>2.2473837708011666</v>
      </c>
      <c r="F10" s="311">
        <v>89.61283425718436</v>
      </c>
      <c r="G10" s="311">
        <v>80.296137081906849</v>
      </c>
      <c r="H10" s="311">
        <v>3.0124930580496923</v>
      </c>
      <c r="I10" s="311">
        <v>107.63250971649551</v>
      </c>
      <c r="J10" s="311">
        <v>2.74104944555976</v>
      </c>
      <c r="K10" s="311">
        <v>97.9341779043326</v>
      </c>
      <c r="L10" s="311">
        <v>81.98990260616111</v>
      </c>
      <c r="M10" s="311">
        <v>74.602122809741431</v>
      </c>
    </row>
    <row r="11" spans="1:13">
      <c r="A11" s="310">
        <v>1986</v>
      </c>
      <c r="B11" s="311">
        <v>2.105332925461405</v>
      </c>
      <c r="C11" s="311">
        <v>2.7778209871940827</v>
      </c>
      <c r="D11" s="311">
        <v>75.790806361069102</v>
      </c>
      <c r="E11" s="311">
        <v>2.2567348128409042</v>
      </c>
      <c r="F11" s="311">
        <v>93.291108617724291</v>
      </c>
      <c r="G11" s="311">
        <v>81.241189523896026</v>
      </c>
      <c r="H11" s="311">
        <v>2.9648925959718135</v>
      </c>
      <c r="I11" s="311">
        <v>106.73447315864276</v>
      </c>
      <c r="J11" s="311">
        <v>2.7280409793349722</v>
      </c>
      <c r="K11" s="311">
        <v>98.207947593145875</v>
      </c>
      <c r="L11" s="311">
        <v>82.723640514778481</v>
      </c>
      <c r="M11" s="311">
        <v>76.115229803162791</v>
      </c>
    </row>
    <row r="12" spans="1:13">
      <c r="A12" s="310">
        <v>1987</v>
      </c>
      <c r="B12" s="311">
        <v>2.1272864263018509</v>
      </c>
      <c r="C12" s="311">
        <v>2.7518394518826823</v>
      </c>
      <c r="D12" s="311">
        <v>77.304161943257967</v>
      </c>
      <c r="E12" s="311">
        <v>2.2727641287602367</v>
      </c>
      <c r="F12" s="311">
        <v>93.599084893259828</v>
      </c>
      <c r="G12" s="311">
        <v>82.590724077500809</v>
      </c>
      <c r="H12" s="311">
        <v>2.8986275783807849</v>
      </c>
      <c r="I12" s="311">
        <v>105.33418206493396</v>
      </c>
      <c r="J12" s="311">
        <v>2.7130730831609138</v>
      </c>
      <c r="K12" s="311">
        <v>98.591256161574165</v>
      </c>
      <c r="L12" s="311">
        <v>83.770840633320248</v>
      </c>
      <c r="M12" s="311">
        <v>78.408283482551965</v>
      </c>
    </row>
    <row r="13" spans="1:13">
      <c r="A13" s="310">
        <v>1988</v>
      </c>
      <c r="B13" s="311">
        <v>2.0440949463006319</v>
      </c>
      <c r="C13" s="311">
        <v>2.7260223082876975</v>
      </c>
      <c r="D13" s="311">
        <v>74.984527459153256</v>
      </c>
      <c r="E13" s="311">
        <v>2.2896078554793227</v>
      </c>
      <c r="F13" s="311">
        <v>89.277076046400367</v>
      </c>
      <c r="G13" s="311">
        <v>83.990796719396585</v>
      </c>
      <c r="H13" s="311">
        <v>2.8293914601107879</v>
      </c>
      <c r="I13" s="311">
        <v>103.79194078892257</v>
      </c>
      <c r="J13" s="311">
        <v>2.6988618153490909</v>
      </c>
      <c r="K13" s="311">
        <v>99.003658449307878</v>
      </c>
      <c r="L13" s="311">
        <v>84.836053571092819</v>
      </c>
      <c r="M13" s="311">
        <v>80.922272077179116</v>
      </c>
    </row>
    <row r="14" spans="1:13">
      <c r="A14" s="310">
        <v>1989</v>
      </c>
      <c r="B14" s="311">
        <v>2.002116759267242</v>
      </c>
      <c r="C14" s="311">
        <v>2.6950724134200441</v>
      </c>
      <c r="D14" s="311">
        <v>74.28805064004041</v>
      </c>
      <c r="E14" s="311">
        <v>2.2837444791554455</v>
      </c>
      <c r="F14" s="311">
        <v>87.668159793763252</v>
      </c>
      <c r="G14" s="311">
        <v>84.737778019751843</v>
      </c>
      <c r="H14" s="311">
        <v>2.7653492231772674</v>
      </c>
      <c r="I14" s="311">
        <v>102.60760376631372</v>
      </c>
      <c r="J14" s="311">
        <v>2.6766930521187295</v>
      </c>
      <c r="K14" s="311">
        <v>99.3180383128188</v>
      </c>
      <c r="L14" s="311">
        <v>85.319625175092582</v>
      </c>
      <c r="M14" s="311">
        <v>82.584306532233242</v>
      </c>
    </row>
    <row r="15" spans="1:13">
      <c r="A15" s="310">
        <v>1990</v>
      </c>
      <c r="B15" s="311">
        <v>1.978682239747432</v>
      </c>
      <c r="C15" s="311">
        <v>2.6728984558164419</v>
      </c>
      <c r="D15" s="311">
        <v>74.027587372115093</v>
      </c>
      <c r="E15" s="311">
        <v>2.2947487467905612</v>
      </c>
      <c r="F15" s="311">
        <v>86.22653100975954</v>
      </c>
      <c r="G15" s="311">
        <v>85.85244762280449</v>
      </c>
      <c r="H15" s="311">
        <v>2.7104329153018512</v>
      </c>
      <c r="I15" s="311">
        <v>101.40426058474954</v>
      </c>
      <c r="J15" s="311">
        <v>2.6631057564294776</v>
      </c>
      <c r="K15" s="311">
        <v>99.633629950825309</v>
      </c>
      <c r="L15" s="311">
        <v>86.168141886607387</v>
      </c>
      <c r="M15" s="311">
        <v>84.663550749973211</v>
      </c>
    </row>
    <row r="16" spans="1:13">
      <c r="A16" s="310">
        <v>1991</v>
      </c>
      <c r="B16" s="311">
        <v>2.01485377207633</v>
      </c>
      <c r="C16" s="311">
        <v>2.6591854742697438</v>
      </c>
      <c r="D16" s="311">
        <v>75.769584016310176</v>
      </c>
      <c r="E16" s="311">
        <v>2.2959540809183818</v>
      </c>
      <c r="F16" s="311">
        <v>87.75671032890989</v>
      </c>
      <c r="G16" s="311">
        <v>86.340501748900707</v>
      </c>
      <c r="H16" s="311">
        <v>2.6589147554334698</v>
      </c>
      <c r="I16" s="311">
        <v>99.989819482736593</v>
      </c>
      <c r="J16" s="311">
        <v>2.6592560154591389</v>
      </c>
      <c r="K16" s="311">
        <v>100.00265273671495</v>
      </c>
      <c r="L16" s="311">
        <v>86.338211423467229</v>
      </c>
      <c r="M16" s="311">
        <v>86.349292553535946</v>
      </c>
    </row>
    <row r="17" spans="1:13">
      <c r="A17" s="310">
        <v>1992</v>
      </c>
      <c r="B17" s="311">
        <v>2.0243098838260032</v>
      </c>
      <c r="C17" s="311">
        <v>2.636896967297615</v>
      </c>
      <c r="D17" s="311">
        <v>76.768637869859091</v>
      </c>
      <c r="E17" s="311">
        <v>2.3321210597836761</v>
      </c>
      <c r="F17" s="311">
        <v>86.801235095993476</v>
      </c>
      <c r="G17" s="311">
        <v>88.441872727917598</v>
      </c>
      <c r="H17" s="311">
        <v>2.5949084389867694</v>
      </c>
      <c r="I17" s="311">
        <v>98.407653813115147</v>
      </c>
      <c r="J17" s="311">
        <v>2.6478563940249189</v>
      </c>
      <c r="K17" s="311">
        <v>100.41561831437559</v>
      </c>
      <c r="L17" s="311">
        <v>88.075813516408118</v>
      </c>
      <c r="M17" s="311">
        <v>89.8729614018403</v>
      </c>
    </row>
    <row r="18" spans="1:13">
      <c r="A18" s="310">
        <v>1993</v>
      </c>
      <c r="B18" s="311">
        <v>2.0333196111568519</v>
      </c>
      <c r="C18" s="311">
        <v>2.610486877284401</v>
      </c>
      <c r="D18" s="311">
        <v>77.890436027475602</v>
      </c>
      <c r="E18" s="311">
        <v>2.344305736865556</v>
      </c>
      <c r="F18" s="311">
        <v>86.734404100187589</v>
      </c>
      <c r="G18" s="311">
        <v>89.803390979090324</v>
      </c>
      <c r="H18" s="311">
        <v>2.5459091172948756</v>
      </c>
      <c r="I18" s="311">
        <v>97.526217789046953</v>
      </c>
      <c r="J18" s="311">
        <v>2.6273020419261059</v>
      </c>
      <c r="K18" s="311">
        <v>100.64413902203552</v>
      </c>
      <c r="L18" s="311">
        <v>89.22863452528351</v>
      </c>
      <c r="M18" s="311">
        <v>92.081281336408011</v>
      </c>
    </row>
    <row r="19" spans="1:13">
      <c r="A19" s="310">
        <v>1994</v>
      </c>
      <c r="B19" s="311">
        <v>1.9856049472950312</v>
      </c>
      <c r="C19" s="311">
        <v>2.5867856883134017</v>
      </c>
      <c r="D19" s="311">
        <v>76.759545882197017</v>
      </c>
      <c r="E19" s="311">
        <v>2.2865982065596118</v>
      </c>
      <c r="F19" s="311">
        <v>86.836635382590842</v>
      </c>
      <c r="G19" s="311">
        <v>88.39534782065715</v>
      </c>
      <c r="H19" s="311">
        <v>2.5071888359277898</v>
      </c>
      <c r="I19" s="311">
        <v>96.922943684696605</v>
      </c>
      <c r="J19" s="311">
        <v>2.6073795109342646</v>
      </c>
      <c r="K19" s="311">
        <v>100.79611630425752</v>
      </c>
      <c r="L19" s="311">
        <v>87.697176301745486</v>
      </c>
      <c r="M19" s="311">
        <v>91.201674712046653</v>
      </c>
    </row>
    <row r="20" spans="1:13">
      <c r="A20" s="310">
        <v>1995</v>
      </c>
      <c r="B20" s="311">
        <v>1.9990527172125321</v>
      </c>
      <c r="C20" s="311">
        <v>2.5627432593968442</v>
      </c>
      <c r="D20" s="311">
        <v>78.00440835743413</v>
      </c>
      <c r="E20" s="311">
        <v>2.3128300013538516</v>
      </c>
      <c r="F20" s="311">
        <v>86.433188606268303</v>
      </c>
      <c r="G20" s="311">
        <v>90.248213232963082</v>
      </c>
      <c r="H20" s="311">
        <v>2.4688560129135317</v>
      </c>
      <c r="I20" s="311">
        <v>96.336455236432485</v>
      </c>
      <c r="J20" s="311">
        <v>2.5867888201902254</v>
      </c>
      <c r="K20" s="311">
        <v>100.93827427719157</v>
      </c>
      <c r="L20" s="311">
        <v>89.409308688127553</v>
      </c>
      <c r="M20" s="311">
        <v>93.680230408595122</v>
      </c>
    </row>
    <row r="21" spans="1:13">
      <c r="A21" s="310">
        <v>1996</v>
      </c>
      <c r="B21" s="311">
        <v>1.9877325195854987</v>
      </c>
      <c r="C21" s="311">
        <v>2.5405689346832907</v>
      </c>
      <c r="D21" s="311">
        <v>78.239660906240701</v>
      </c>
      <c r="E21" s="311">
        <v>2.2786715449214237</v>
      </c>
      <c r="F21" s="311">
        <v>87.232077129134552</v>
      </c>
      <c r="G21" s="311">
        <v>89.691388169535529</v>
      </c>
      <c r="H21" s="311">
        <v>2.4278463075689647</v>
      </c>
      <c r="I21" s="311">
        <v>95.56309511718176</v>
      </c>
      <c r="J21" s="311">
        <v>2.5691298482303417</v>
      </c>
      <c r="K21" s="311">
        <v>101.12419360707531</v>
      </c>
      <c r="L21" s="311">
        <v>88.694292602260248</v>
      </c>
      <c r="M21" s="311">
        <v>93.855675205531796</v>
      </c>
    </row>
    <row r="22" spans="1:13">
      <c r="A22" s="310">
        <v>1997</v>
      </c>
      <c r="B22" s="311">
        <v>1.9237731103644944</v>
      </c>
      <c r="C22" s="311">
        <v>2.5162586385825323</v>
      </c>
      <c r="D22" s="311">
        <v>76.45371111167654</v>
      </c>
      <c r="E22" s="311">
        <v>2.2621496622459549</v>
      </c>
      <c r="F22" s="311">
        <v>85.041814097060822</v>
      </c>
      <c r="G22" s="311">
        <v>89.901317279541558</v>
      </c>
      <c r="H22" s="311">
        <v>2.390690842906301</v>
      </c>
      <c r="I22" s="311">
        <v>95.009742092849152</v>
      </c>
      <c r="J22" s="311">
        <v>2.5476281562265211</v>
      </c>
      <c r="K22" s="311">
        <v>101.24667302331289</v>
      </c>
      <c r="L22" s="311">
        <v>88.794342169486413</v>
      </c>
      <c r="M22" s="311">
        <v>94.623262098411601</v>
      </c>
    </row>
    <row r="23" spans="1:13">
      <c r="A23" s="310">
        <v>1998</v>
      </c>
      <c r="B23" s="311">
        <v>1.9148993073199434</v>
      </c>
      <c r="C23" s="311">
        <v>2.4888930333777228</v>
      </c>
      <c r="D23" s="311">
        <v>76.937790481144077</v>
      </c>
      <c r="E23" s="311">
        <v>2.2503025557058445</v>
      </c>
      <c r="F23" s="311">
        <v>85.095193198112128</v>
      </c>
      <c r="G23" s="311">
        <v>90.413791413603562</v>
      </c>
      <c r="H23" s="311">
        <v>2.3490270232259407</v>
      </c>
      <c r="I23" s="311">
        <v>94.380392878436894</v>
      </c>
      <c r="J23" s="311">
        <v>2.523335201080676</v>
      </c>
      <c r="K23" s="311">
        <v>101.38383479085122</v>
      </c>
      <c r="L23" s="311">
        <v>89.179691811936095</v>
      </c>
      <c r="M23" s="311">
        <v>95.797218740186437</v>
      </c>
    </row>
    <row r="24" spans="1:13">
      <c r="A24" s="310">
        <v>1999</v>
      </c>
      <c r="B24" s="311">
        <v>1.9348941435828202</v>
      </c>
      <c r="C24" s="311">
        <v>2.4689777925841692</v>
      </c>
      <c r="D24" s="311">
        <v>78.368227911748576</v>
      </c>
      <c r="E24" s="311">
        <v>2.2614914595195112</v>
      </c>
      <c r="F24" s="311">
        <v>85.558321940066861</v>
      </c>
      <c r="G24" s="311">
        <v>91.596265722281302</v>
      </c>
      <c r="H24" s="311">
        <v>2.3202941561072294</v>
      </c>
      <c r="I24" s="311">
        <v>93.977927346146004</v>
      </c>
      <c r="J24" s="311">
        <v>2.5049247920493589</v>
      </c>
      <c r="K24" s="311">
        <v>101.45594665019509</v>
      </c>
      <c r="L24" s="311">
        <v>90.28181072331968</v>
      </c>
      <c r="M24" s="311">
        <v>97.46572233382804</v>
      </c>
    </row>
    <row r="25" spans="1:13">
      <c r="A25" s="310">
        <v>2000</v>
      </c>
      <c r="B25" s="311">
        <v>1.8779861665704092</v>
      </c>
      <c r="C25" s="311">
        <v>2.4458176487898449</v>
      </c>
      <c r="D25" s="311">
        <v>76.783572458871149</v>
      </c>
      <c r="E25" s="311">
        <v>2.2465972452761158</v>
      </c>
      <c r="F25" s="311">
        <v>83.59247170445083</v>
      </c>
      <c r="G25" s="311">
        <v>91.854650177526509</v>
      </c>
      <c r="H25" s="311">
        <v>2.2868565618609766</v>
      </c>
      <c r="I25" s="311">
        <v>93.500697527163581</v>
      </c>
      <c r="J25" s="311">
        <v>2.483525781684468</v>
      </c>
      <c r="K25" s="311">
        <v>101.54173934075915</v>
      </c>
      <c r="L25" s="311">
        <v>90.459992879652987</v>
      </c>
      <c r="M25" s="311">
        <v>98.239534684584726</v>
      </c>
    </row>
    <row r="26" spans="1:13">
      <c r="A26" s="310">
        <v>2001</v>
      </c>
      <c r="B26" s="311">
        <v>1.8788286826956098</v>
      </c>
      <c r="C26" s="311">
        <v>2.4171444144338547</v>
      </c>
      <c r="D26" s="311">
        <v>77.729268945466401</v>
      </c>
      <c r="E26" s="311">
        <v>2.2099743509037455</v>
      </c>
      <c r="F26" s="311">
        <v>85.015859207926241</v>
      </c>
      <c r="G26" s="311">
        <v>91.429140009467204</v>
      </c>
      <c r="H26" s="311">
        <v>2.2492532227042172</v>
      </c>
      <c r="I26" s="311">
        <v>93.054151389255679</v>
      </c>
      <c r="J26" s="311">
        <v>2.4561735987947442</v>
      </c>
      <c r="K26" s="311">
        <v>101.6146815278321</v>
      </c>
      <c r="L26" s="311">
        <v>89.976309165939668</v>
      </c>
      <c r="M26" s="311">
        <v>98.253692763269754</v>
      </c>
    </row>
    <row r="27" spans="1:13">
      <c r="A27" s="310">
        <v>2002</v>
      </c>
      <c r="B27" s="311">
        <v>1.9104847725818852</v>
      </c>
      <c r="C27" s="311">
        <v>2.389573061981126</v>
      </c>
      <c r="D27" s="311">
        <v>79.950883401654949</v>
      </c>
      <c r="E27" s="311">
        <v>2.2359119237736489</v>
      </c>
      <c r="F27" s="311">
        <v>85.445439610942898</v>
      </c>
      <c r="G27" s="311">
        <v>93.569514962640213</v>
      </c>
      <c r="H27" s="311">
        <v>2.2170518528892056</v>
      </c>
      <c r="I27" s="311">
        <v>92.780249667323915</v>
      </c>
      <c r="J27" s="311">
        <v>2.4289430499097118</v>
      </c>
      <c r="K27" s="311">
        <v>101.64757414430952</v>
      </c>
      <c r="L27" s="311">
        <v>92.052875585401722</v>
      </c>
      <c r="M27" s="311">
        <v>100.85068244388896</v>
      </c>
    </row>
    <row r="28" spans="1:13">
      <c r="A28" s="310">
        <v>2003</v>
      </c>
      <c r="B28" s="311">
        <v>1.9234652142849746</v>
      </c>
      <c r="C28" s="311">
        <v>2.3683489345920186</v>
      </c>
      <c r="D28" s="311">
        <v>81.215448711586006</v>
      </c>
      <c r="E28" s="311">
        <v>2.1818808745402536</v>
      </c>
      <c r="F28" s="311">
        <v>88.156289224097549</v>
      </c>
      <c r="G28" s="311">
        <v>92.126664389346544</v>
      </c>
      <c r="H28" s="311">
        <v>2.1926826670128863</v>
      </c>
      <c r="I28" s="311">
        <v>92.582753959378337</v>
      </c>
      <c r="J28" s="311">
        <v>2.4077066541801786</v>
      </c>
      <c r="K28" s="311">
        <v>101.66182098479253</v>
      </c>
      <c r="L28" s="311">
        <v>90.620710407231115</v>
      </c>
      <c r="M28" s="311">
        <v>99.507370918959808</v>
      </c>
    </row>
    <row r="29" spans="1:13">
      <c r="A29" s="310">
        <v>2004</v>
      </c>
      <c r="B29" s="311">
        <v>1.9131375895910248</v>
      </c>
      <c r="C29" s="311">
        <v>2.3462856350315922</v>
      </c>
      <c r="D29" s="311">
        <v>81.538989159146638</v>
      </c>
      <c r="E29" s="311">
        <v>2.1872447376688657</v>
      </c>
      <c r="F29" s="311">
        <v>87.46792513168964</v>
      </c>
      <c r="G29" s="311">
        <v>93.221588412419152</v>
      </c>
      <c r="H29" s="311">
        <v>2.1709302923966849</v>
      </c>
      <c r="I29" s="311">
        <v>92.526257672265615</v>
      </c>
      <c r="J29" s="311">
        <v>2.3847994537194857</v>
      </c>
      <c r="K29" s="311">
        <v>101.64148039406867</v>
      </c>
      <c r="L29" s="311">
        <v>91.716086828915493</v>
      </c>
      <c r="M29" s="311">
        <v>100.75149558368224</v>
      </c>
    </row>
    <row r="30" spans="1:13">
      <c r="A30" s="310">
        <v>2005</v>
      </c>
      <c r="B30" s="311">
        <v>1.8684005150936178</v>
      </c>
      <c r="C30" s="311">
        <v>2.3200059868961285</v>
      </c>
      <c r="D30" s="311">
        <v>80.534297137452597</v>
      </c>
      <c r="E30" s="311">
        <v>2.1490371197320681</v>
      </c>
      <c r="F30" s="311">
        <v>86.941286306239377</v>
      </c>
      <c r="G30" s="311">
        <v>92.630671294396322</v>
      </c>
      <c r="H30" s="311">
        <v>2.1422514948073359</v>
      </c>
      <c r="I30" s="311">
        <v>92.338188216203491</v>
      </c>
      <c r="J30" s="311">
        <v>2.3581570783248944</v>
      </c>
      <c r="K30" s="311">
        <v>101.64443935249527</v>
      </c>
      <c r="L30" s="311">
        <v>91.132059839653522</v>
      </c>
      <c r="M30" s="311">
        <v>100.31675202193487</v>
      </c>
    </row>
    <row r="31" spans="1:13">
      <c r="A31" s="310">
        <v>2006</v>
      </c>
      <c r="B31" s="311">
        <v>1.8579003734410569</v>
      </c>
      <c r="C31" s="311">
        <v>2.2892051726474461</v>
      </c>
      <c r="D31" s="311">
        <v>81.159189907491381</v>
      </c>
      <c r="E31" s="311">
        <v>2.1349618320610686</v>
      </c>
      <c r="F31" s="311">
        <v>87.022650500850418</v>
      </c>
      <c r="G31" s="311">
        <v>93.262144327238445</v>
      </c>
      <c r="H31" s="311">
        <v>2.1054463567876343</v>
      </c>
      <c r="I31" s="311">
        <v>91.972811434490325</v>
      </c>
      <c r="J31" s="311">
        <v>2.3277558124716577</v>
      </c>
      <c r="K31" s="311">
        <v>101.68401855302591</v>
      </c>
      <c r="L31" s="311">
        <v>91.717602878375956</v>
      </c>
      <c r="M31" s="311">
        <v>101.40186308609961</v>
      </c>
    </row>
    <row r="32" spans="1:13">
      <c r="A32" s="310">
        <v>2007</v>
      </c>
      <c r="B32" s="311">
        <v>1.8373767156455727</v>
      </c>
      <c r="C32" s="311">
        <v>2.2665098767750034</v>
      </c>
      <c r="D32" s="311">
        <v>81.06634497706051</v>
      </c>
      <c r="E32" s="311">
        <v>2.1293012183670177</v>
      </c>
      <c r="F32" s="311">
        <v>86.290126535252512</v>
      </c>
      <c r="G32" s="311">
        <v>93.946258085439325</v>
      </c>
      <c r="H32" s="311">
        <v>2.0839055595482909</v>
      </c>
      <c r="I32" s="311">
        <v>91.943369887867505</v>
      </c>
      <c r="J32" s="311">
        <v>2.3041543100161896</v>
      </c>
      <c r="K32" s="311">
        <v>101.66089870716777</v>
      </c>
      <c r="L32" s="311">
        <v>92.411398364723965</v>
      </c>
      <c r="M32" s="311">
        <v>102.1783932871011</v>
      </c>
    </row>
    <row r="33" spans="1:13">
      <c r="A33" s="310">
        <v>2008</v>
      </c>
      <c r="B33" s="311">
        <v>1.8330771344509507</v>
      </c>
      <c r="C33" s="311">
        <v>2.2464413306440578</v>
      </c>
      <c r="D33" s="311">
        <v>81.599154602689083</v>
      </c>
      <c r="E33" s="311">
        <v>2.1192162319934429</v>
      </c>
      <c r="F33" s="311">
        <v>86.497880998517303</v>
      </c>
      <c r="G33" s="311">
        <v>94.336593753190115</v>
      </c>
      <c r="H33" s="311">
        <v>2.0598293657131452</v>
      </c>
      <c r="I33" s="311">
        <v>91.692996278811748</v>
      </c>
      <c r="J33" s="311">
        <v>2.2843728003470334</v>
      </c>
      <c r="K33" s="311">
        <v>101.68851370323125</v>
      </c>
      <c r="L33" s="311">
        <v>92.770156940736626</v>
      </c>
      <c r="M33" s="311">
        <v>102.88309639957664</v>
      </c>
    </row>
    <row r="34" spans="1:13">
      <c r="A34" s="310">
        <v>2009</v>
      </c>
      <c r="B34" s="311">
        <v>1.8609694451616572</v>
      </c>
      <c r="C34" s="311">
        <v>2.2300940902161668</v>
      </c>
      <c r="D34" s="311">
        <v>83.44802371012382</v>
      </c>
      <c r="E34" s="311">
        <v>2.1569884868716773</v>
      </c>
      <c r="F34" s="311">
        <v>86.276280865117528</v>
      </c>
      <c r="G34" s="311">
        <v>96.721860137416755</v>
      </c>
      <c r="H34" s="311">
        <v>2.0402643770971403</v>
      </c>
      <c r="I34" s="311">
        <v>91.487815964723424</v>
      </c>
      <c r="J34" s="311">
        <v>2.2681847784589819</v>
      </c>
      <c r="K34" s="311">
        <v>101.70803054498577</v>
      </c>
      <c r="L34" s="311">
        <v>95.09756468505833</v>
      </c>
      <c r="M34" s="311">
        <v>105.72102866103123</v>
      </c>
    </row>
    <row r="35" spans="1:13">
      <c r="A35" s="310">
        <v>2010</v>
      </c>
      <c r="B35" s="311">
        <v>1.8410927301825468</v>
      </c>
      <c r="C35" s="311">
        <v>2.2144903928373356</v>
      </c>
      <c r="D35" s="311">
        <v>83.138438357532451</v>
      </c>
      <c r="E35" s="311">
        <v>2.1144712638919283</v>
      </c>
      <c r="F35" s="311">
        <v>87.071068858784258</v>
      </c>
      <c r="G35" s="311">
        <v>95.483424571679578</v>
      </c>
      <c r="H35" s="311">
        <v>2.0212825183429968</v>
      </c>
      <c r="I35" s="311">
        <v>91.27528956010552</v>
      </c>
      <c r="J35" s="311">
        <v>2.2527618568991072</v>
      </c>
      <c r="K35" s="311">
        <v>101.7282289499001</v>
      </c>
      <c r="L35" s="311">
        <v>93.861286643163709</v>
      </c>
      <c r="M35" s="311">
        <v>104.61037706026994</v>
      </c>
    </row>
    <row r="36" spans="1:13">
      <c r="A36" s="310">
        <v>2011</v>
      </c>
      <c r="B36" s="311">
        <v>1.7897261166574403</v>
      </c>
      <c r="C36" s="311">
        <v>2.2006982780792916</v>
      </c>
      <c r="D36" s="311">
        <v>81.32537451792183</v>
      </c>
      <c r="E36" s="311">
        <v>2.0644432409138291</v>
      </c>
      <c r="F36" s="311">
        <v>86.692919484926847</v>
      </c>
      <c r="G36" s="311">
        <v>93.808554379186333</v>
      </c>
      <c r="H36" s="311">
        <v>2.0007564639202418</v>
      </c>
      <c r="I36" s="311">
        <v>90.914619411909882</v>
      </c>
      <c r="J36" s="311">
        <v>2.2398977489321243</v>
      </c>
      <c r="K36" s="311">
        <v>101.78122876921798</v>
      </c>
      <c r="L36" s="311">
        <v>92.166851897505424</v>
      </c>
      <c r="M36" s="311">
        <v>103.18313488633197</v>
      </c>
    </row>
    <row r="37" spans="1:13">
      <c r="A37" s="310">
        <v>2012</v>
      </c>
      <c r="B37" s="311">
        <v>1.7401479092885785</v>
      </c>
      <c r="C37" s="311">
        <v>2.1846319931928764</v>
      </c>
      <c r="D37" s="311">
        <v>79.654052248192301</v>
      </c>
      <c r="E37" s="311">
        <v>2.0336464530694758</v>
      </c>
      <c r="F37" s="311">
        <v>85.567867839667699</v>
      </c>
      <c r="G37" s="311">
        <v>93.088742607731717</v>
      </c>
      <c r="H37" s="311">
        <v>1.985126567630586</v>
      </c>
      <c r="I37" s="311">
        <v>90.867778821150111</v>
      </c>
      <c r="J37" s="311">
        <v>2.2234996933977396</v>
      </c>
      <c r="K37" s="311">
        <v>101.77914176511062</v>
      </c>
      <c r="L37" s="311">
        <v>91.461512637397846</v>
      </c>
      <c r="M37" s="311">
        <v>102.44417087706414</v>
      </c>
    </row>
    <row r="38" spans="1:13">
      <c r="A38" s="310">
        <v>2013</v>
      </c>
      <c r="B38" s="311">
        <v>1.6959404928656581</v>
      </c>
      <c r="C38" s="311">
        <v>2.1621440429446164</v>
      </c>
      <c r="D38" s="311">
        <v>78.437905115514994</v>
      </c>
      <c r="E38" s="311">
        <v>2.0170485240345521</v>
      </c>
      <c r="F38" s="311">
        <v>84.080302117541265</v>
      </c>
      <c r="G38" s="311">
        <v>93.289276013615648</v>
      </c>
      <c r="H38" s="311">
        <v>1.9536112223380853</v>
      </c>
      <c r="I38" s="311">
        <v>90.355276222830597</v>
      </c>
      <c r="J38" s="311">
        <v>2.2026316708500544</v>
      </c>
      <c r="K38" s="311">
        <v>101.872568483009</v>
      </c>
      <c r="L38" s="311">
        <v>91.57448114128492</v>
      </c>
      <c r="M38" s="311">
        <v>103.24718147454871</v>
      </c>
    </row>
    <row r="39" spans="1:13">
      <c r="A39" s="310">
        <v>2014</v>
      </c>
      <c r="B39" s="311">
        <v>1.6505478256981567</v>
      </c>
      <c r="C39" s="311">
        <v>2.1417351453343052</v>
      </c>
      <c r="D39" s="311">
        <v>77.065916824207562</v>
      </c>
      <c r="E39" s="311">
        <v>2.0054080963048446</v>
      </c>
      <c r="F39" s="311">
        <v>82.304835047761514</v>
      </c>
      <c r="G39" s="311">
        <v>93.634738201572461</v>
      </c>
      <c r="H39" s="311">
        <v>1.9279701975379728</v>
      </c>
      <c r="I39" s="311">
        <v>90.019076436131158</v>
      </c>
      <c r="J39" s="311">
        <v>2.1831553913642541</v>
      </c>
      <c r="K39" s="311">
        <v>101.933957432607</v>
      </c>
      <c r="L39" s="311">
        <v>91.858238961710597</v>
      </c>
      <c r="M39" s="311">
        <v>104.01655061192129</v>
      </c>
    </row>
    <row r="40" spans="1:13">
      <c r="A40" s="310">
        <v>2015</v>
      </c>
      <c r="B40" s="311">
        <v>1.6504312793760654</v>
      </c>
      <c r="C40" s="311">
        <v>2.1254347124889659</v>
      </c>
      <c r="D40" s="311">
        <v>77.651469117268093</v>
      </c>
      <c r="E40" s="311">
        <v>1.9843767562099583</v>
      </c>
      <c r="F40" s="311">
        <v>83.171266454878818</v>
      </c>
      <c r="G40" s="311">
        <v>93.363336194230897</v>
      </c>
      <c r="H40" s="311">
        <v>1.901401024157928</v>
      </c>
      <c r="I40" s="311">
        <v>89.459394494000421</v>
      </c>
      <c r="J40" s="311">
        <v>2.1688333724797575</v>
      </c>
      <c r="K40" s="311">
        <v>102.04187217493828</v>
      </c>
      <c r="L40" s="311">
        <v>91.495122741545657</v>
      </c>
      <c r="M40" s="311">
        <v>104.36392591556417</v>
      </c>
    </row>
    <row r="41" spans="1:13">
      <c r="A41" s="310">
        <v>2016</v>
      </c>
      <c r="B41" s="311">
        <v>1.6473125889803466</v>
      </c>
      <c r="C41" s="311">
        <v>2.113987385088024</v>
      </c>
      <c r="D41" s="311">
        <v>77.92442852783411</v>
      </c>
      <c r="E41" s="311">
        <v>1.9741396636816364</v>
      </c>
      <c r="F41" s="311">
        <v>83.444581925283856</v>
      </c>
      <c r="G41" s="311">
        <v>93.384647307128347</v>
      </c>
      <c r="H41" s="311">
        <v>1.8933571822134452</v>
      </c>
      <c r="I41" s="311">
        <v>89.563315068439167</v>
      </c>
      <c r="J41" s="311">
        <v>2.1567790912099505</v>
      </c>
      <c r="K41" s="311">
        <v>102.02421766675513</v>
      </c>
      <c r="L41" s="311">
        <v>91.531843559098419</v>
      </c>
      <c r="M41" s="311">
        <v>104.26662661578477</v>
      </c>
    </row>
    <row r="42" spans="1:13">
      <c r="A42" s="310">
        <v>2017</v>
      </c>
      <c r="B42" s="311">
        <v>1.6384663906938841</v>
      </c>
      <c r="C42" s="311">
        <v>2.0977283122218604</v>
      </c>
      <c r="D42" s="311">
        <v>78.106701480253264</v>
      </c>
      <c r="E42" s="311">
        <v>1.9490074448474106</v>
      </c>
      <c r="F42" s="311">
        <v>84.066707647807917</v>
      </c>
      <c r="G42" s="311">
        <v>92.910384700060206</v>
      </c>
      <c r="H42" s="311">
        <v>1.8799354140089897</v>
      </c>
      <c r="I42" s="311">
        <v>89.617678469420568</v>
      </c>
      <c r="J42" s="311">
        <v>2.1397617361072276</v>
      </c>
      <c r="K42" s="311">
        <v>102.00375919228769</v>
      </c>
      <c r="L42" s="311">
        <v>91.085255519764175</v>
      </c>
      <c r="M42" s="311">
        <v>103.67417041690406</v>
      </c>
    </row>
    <row r="43" spans="1:13">
      <c r="A43" s="310">
        <v>2018</v>
      </c>
      <c r="B43" s="311">
        <v>1.6074523459859964</v>
      </c>
      <c r="C43" s="311">
        <v>2.0782336456066663</v>
      </c>
      <c r="D43" s="311">
        <v>77.34704658372317</v>
      </c>
      <c r="E43" s="311">
        <v>1.9302024989228781</v>
      </c>
      <c r="F43" s="311">
        <v>83.27894854985486</v>
      </c>
      <c r="G43" s="311">
        <v>92.87706909197999</v>
      </c>
      <c r="H43" s="311">
        <v>1.8652211610517337</v>
      </c>
      <c r="I43" s="311">
        <v>89.750311039125194</v>
      </c>
      <c r="J43" s="311">
        <v>2.1190996534766566</v>
      </c>
      <c r="K43" s="311">
        <v>101.96638178562742</v>
      </c>
      <c r="L43" s="311">
        <v>91.085971146101201</v>
      </c>
      <c r="M43" s="311">
        <v>103.48384091002396</v>
      </c>
    </row>
    <row r="44" spans="1:13">
      <c r="A44" s="310">
        <v>2019</v>
      </c>
      <c r="B44" s="311">
        <v>1.5967243557544484</v>
      </c>
      <c r="C44" s="311">
        <v>2.066501914273001</v>
      </c>
      <c r="D44" s="311">
        <v>77.2670155651019</v>
      </c>
      <c r="E44" s="311">
        <v>1.9019678071801787</v>
      </c>
      <c r="F44" s="311">
        <v>83.951176761594184</v>
      </c>
      <c r="G44" s="311">
        <v>92.038037518551945</v>
      </c>
      <c r="H44" s="311">
        <v>1.8610724445569895</v>
      </c>
      <c r="I44" s="311">
        <v>90.059071888724475</v>
      </c>
      <c r="J44" s="311">
        <v>2.1055658483242783</v>
      </c>
      <c r="K44" s="311">
        <v>101.89034105322958</v>
      </c>
      <c r="L44" s="311">
        <v>90.330483308981584</v>
      </c>
      <c r="M44" s="311">
        <v>102.19740842130001</v>
      </c>
    </row>
    <row r="45" spans="1:13">
      <c r="A45" s="310"/>
    </row>
    <row r="46" spans="1:13" ht="45">
      <c r="A46" s="310" t="s">
        <v>68</v>
      </c>
      <c r="B46" s="309" t="s">
        <v>258</v>
      </c>
      <c r="C46" s="309" t="s">
        <v>290</v>
      </c>
      <c r="D46" s="309" t="s">
        <v>526</v>
      </c>
      <c r="E46" s="309" t="s">
        <v>527</v>
      </c>
      <c r="F46" s="309" t="s">
        <v>528</v>
      </c>
      <c r="G46" s="309" t="s">
        <v>529</v>
      </c>
      <c r="H46" s="309" t="s">
        <v>530</v>
      </c>
      <c r="I46" s="309" t="s">
        <v>531</v>
      </c>
      <c r="J46" s="309" t="s">
        <v>533</v>
      </c>
      <c r="K46" s="309" t="s">
        <v>531</v>
      </c>
      <c r="L46" s="309" t="s">
        <v>534</v>
      </c>
      <c r="M46" s="309" t="s">
        <v>532</v>
      </c>
    </row>
    <row r="47" spans="1:13">
      <c r="A47" s="310" t="s">
        <v>209</v>
      </c>
      <c r="B47" s="312">
        <f t="shared" ref="B47:L47" si="0">B44-B6</f>
        <v>-0.34252741760855487</v>
      </c>
      <c r="C47" s="312">
        <f t="shared" si="0"/>
        <v>-0.77975279691356025</v>
      </c>
      <c r="D47" s="312">
        <f t="shared" si="0"/>
        <v>9.1335570330453066</v>
      </c>
      <c r="E47" s="312">
        <f t="shared" si="0"/>
        <v>-0.37755452806971057</v>
      </c>
      <c r="F47" s="312">
        <f t="shared" si="0"/>
        <v>-1.1215484920680154</v>
      </c>
      <c r="G47" s="312">
        <f t="shared" si="0"/>
        <v>11.949550487129855</v>
      </c>
      <c r="H47" s="312">
        <f t="shared" si="0"/>
        <v>-1.2959644243212121</v>
      </c>
      <c r="I47" s="312">
        <f t="shared" si="0"/>
        <v>-20.859914260694296</v>
      </c>
      <c r="J47" s="312">
        <f t="shared" si="0"/>
        <v>-0.65153863331012163</v>
      </c>
      <c r="K47" s="312">
        <f t="shared" si="0"/>
        <v>5.0225354138318323</v>
      </c>
      <c r="L47" s="312">
        <f t="shared" si="0"/>
        <v>7.6523566571182329</v>
      </c>
      <c r="M47" s="312">
        <f>M44-M6</f>
        <v>29.992919531061673</v>
      </c>
    </row>
    <row r="48" spans="1:13">
      <c r="A48" s="310" t="s">
        <v>210</v>
      </c>
      <c r="B48" s="312">
        <f t="shared" ref="B48:L48" si="1">B25-B6</f>
        <v>-6.1265606792594074E-2</v>
      </c>
      <c r="C48" s="312">
        <f t="shared" si="1"/>
        <v>-0.40043706239671639</v>
      </c>
      <c r="D48" s="312">
        <f t="shared" si="1"/>
        <v>8.650113926814555</v>
      </c>
      <c r="E48" s="312">
        <f t="shared" si="1"/>
        <v>-3.2925089973773414E-2</v>
      </c>
      <c r="F48" s="312">
        <f t="shared" si="1"/>
        <v>-1.4802535492113691</v>
      </c>
      <c r="G48" s="312">
        <f t="shared" si="1"/>
        <v>11.766163146104418</v>
      </c>
      <c r="H48" s="312">
        <f t="shared" si="1"/>
        <v>-0.87018030701722493</v>
      </c>
      <c r="I48" s="312">
        <f t="shared" si="1"/>
        <v>-17.41828862225519</v>
      </c>
      <c r="J48" s="312">
        <f t="shared" si="1"/>
        <v>-0.27357869994993189</v>
      </c>
      <c r="K48" s="312">
        <f t="shared" si="1"/>
        <v>4.6739337013614062</v>
      </c>
      <c r="L48" s="312">
        <f t="shared" si="1"/>
        <v>7.7818662277896351</v>
      </c>
      <c r="M48" s="312">
        <f>M25-M6</f>
        <v>26.035045794346388</v>
      </c>
    </row>
    <row r="49" spans="1:13">
      <c r="A49" s="308" t="s">
        <v>47</v>
      </c>
      <c r="B49" s="312">
        <f t="shared" ref="B49:L49" si="2">B44-B25</f>
        <v>-0.2812618108159608</v>
      </c>
      <c r="C49" s="312">
        <f t="shared" si="2"/>
        <v>-0.37931573451684386</v>
      </c>
      <c r="D49" s="312">
        <f t="shared" si="2"/>
        <v>0.4834431062307516</v>
      </c>
      <c r="E49" s="312">
        <f t="shared" si="2"/>
        <v>-0.34462943809593716</v>
      </c>
      <c r="F49" s="312">
        <f t="shared" si="2"/>
        <v>0.35870505714335366</v>
      </c>
      <c r="G49" s="312">
        <f t="shared" si="2"/>
        <v>0.18338734102543697</v>
      </c>
      <c r="H49" s="312">
        <f t="shared" si="2"/>
        <v>-0.42578411730398713</v>
      </c>
      <c r="I49" s="312">
        <f t="shared" si="2"/>
        <v>-3.4416256384391062</v>
      </c>
      <c r="J49" s="312">
        <f t="shared" si="2"/>
        <v>-0.37795993336018974</v>
      </c>
      <c r="K49" s="312">
        <f t="shared" si="2"/>
        <v>0.34860171247042615</v>
      </c>
      <c r="L49" s="312">
        <f t="shared" si="2"/>
        <v>-0.12950957067140223</v>
      </c>
      <c r="M49" s="312">
        <f>M44-M25</f>
        <v>3.9578737367152854</v>
      </c>
    </row>
    <row r="50" spans="1:13">
      <c r="A50" s="308" t="s">
        <v>503</v>
      </c>
      <c r="B50" s="312">
        <f t="shared" ref="B50:L50" si="3">B14-B6</f>
        <v>6.2864985904238724E-2</v>
      </c>
      <c r="C50" s="312">
        <f t="shared" si="3"/>
        <v>-0.15118229776651715</v>
      </c>
      <c r="D50" s="312">
        <f t="shared" si="3"/>
        <v>6.1545921079838166</v>
      </c>
      <c r="E50" s="312">
        <f t="shared" si="3"/>
        <v>4.2221439055563081E-3</v>
      </c>
      <c r="F50" s="312">
        <f t="shared" si="3"/>
        <v>2.5954345401010528</v>
      </c>
      <c r="G50" s="312">
        <f t="shared" si="3"/>
        <v>4.6492909883297528</v>
      </c>
      <c r="H50" s="312">
        <f t="shared" si="3"/>
        <v>-0.39168764570093417</v>
      </c>
      <c r="I50" s="312">
        <f t="shared" si="3"/>
        <v>-8.3113823831050553</v>
      </c>
      <c r="J50" s="312">
        <f t="shared" si="3"/>
        <v>-8.0411429515670374E-2</v>
      </c>
      <c r="K50" s="312">
        <f t="shared" si="3"/>
        <v>2.4502326734210556</v>
      </c>
      <c r="L50" s="312">
        <f t="shared" si="3"/>
        <v>2.641498523229231</v>
      </c>
      <c r="M50" s="312">
        <f>M14-M6</f>
        <v>10.379817641994904</v>
      </c>
    </row>
    <row r="51" spans="1:13">
      <c r="A51" s="308" t="s">
        <v>504</v>
      </c>
      <c r="B51" s="312">
        <f t="shared" ref="B51:L51" si="4">B25-B14</f>
        <v>-0.1241305926968328</v>
      </c>
      <c r="C51" s="312">
        <f t="shared" si="4"/>
        <v>-0.24925476463019924</v>
      </c>
      <c r="D51" s="312">
        <f t="shared" si="4"/>
        <v>2.4955218188307384</v>
      </c>
      <c r="E51" s="312">
        <f t="shared" si="4"/>
        <v>-3.7147233879329722E-2</v>
      </c>
      <c r="F51" s="312">
        <f t="shared" si="4"/>
        <v>-4.0756880893124219</v>
      </c>
      <c r="G51" s="312">
        <f t="shared" si="4"/>
        <v>7.1168721577746652</v>
      </c>
      <c r="H51" s="312">
        <f t="shared" si="4"/>
        <v>-0.47849266131629076</v>
      </c>
      <c r="I51" s="312">
        <f t="shared" si="4"/>
        <v>-9.1069062391501348</v>
      </c>
      <c r="J51" s="312">
        <f t="shared" si="4"/>
        <v>-0.19316727043426152</v>
      </c>
      <c r="K51" s="312">
        <f t="shared" si="4"/>
        <v>2.2237010279403506</v>
      </c>
      <c r="L51" s="312">
        <f t="shared" si="4"/>
        <v>5.1403677045604041</v>
      </c>
      <c r="M51" s="312">
        <f>M25-M14</f>
        <v>15.655228152351484</v>
      </c>
    </row>
    <row r="52" spans="1:13">
      <c r="A52" s="308" t="s">
        <v>170</v>
      </c>
      <c r="B52" s="312">
        <f t="shared" ref="B52:L52" si="5">B33-B25</f>
        <v>-4.4909032119458514E-2</v>
      </c>
      <c r="C52" s="312">
        <f t="shared" si="5"/>
        <v>-0.19937631814578705</v>
      </c>
      <c r="D52" s="312">
        <f t="shared" si="5"/>
        <v>4.8155821438179345</v>
      </c>
      <c r="E52" s="312">
        <f t="shared" si="5"/>
        <v>-0.12738101328267293</v>
      </c>
      <c r="F52" s="312">
        <f t="shared" si="5"/>
        <v>2.9054092940664731</v>
      </c>
      <c r="G52" s="312">
        <f t="shared" si="5"/>
        <v>2.4819435756636068</v>
      </c>
      <c r="H52" s="312">
        <f t="shared" si="5"/>
        <v>-0.2270271961478314</v>
      </c>
      <c r="I52" s="312">
        <f t="shared" si="5"/>
        <v>-1.8077012483518331</v>
      </c>
      <c r="J52" s="312">
        <f t="shared" si="5"/>
        <v>-0.19915298133743464</v>
      </c>
      <c r="K52" s="312">
        <f t="shared" si="5"/>
        <v>0.14677436247210096</v>
      </c>
      <c r="L52" s="312">
        <f t="shared" si="5"/>
        <v>2.3101640610836398</v>
      </c>
      <c r="M52" s="312">
        <f>M33-M25</f>
        <v>4.6435617149919182</v>
      </c>
    </row>
    <row r="53" spans="1:13">
      <c r="A53" s="308" t="s">
        <v>211</v>
      </c>
      <c r="B53" s="312">
        <f t="shared" ref="B53:L53" si="6">B44-B33</f>
        <v>-0.23635277869650229</v>
      </c>
      <c r="C53" s="312">
        <f t="shared" si="6"/>
        <v>-0.17993941637105682</v>
      </c>
      <c r="D53" s="312">
        <f t="shared" si="6"/>
        <v>-4.3321390375871829</v>
      </c>
      <c r="E53" s="312">
        <f t="shared" si="6"/>
        <v>-0.21724842481326423</v>
      </c>
      <c r="F53" s="312">
        <f t="shared" si="6"/>
        <v>-2.5467042369231194</v>
      </c>
      <c r="G53" s="312">
        <f t="shared" si="6"/>
        <v>-2.2985562346381698</v>
      </c>
      <c r="H53" s="312">
        <f t="shared" si="6"/>
        <v>-0.19875692115615573</v>
      </c>
      <c r="I53" s="312">
        <f t="shared" si="6"/>
        <v>-1.6339243900872731</v>
      </c>
      <c r="J53" s="312">
        <f t="shared" si="6"/>
        <v>-0.17880695202275509</v>
      </c>
      <c r="K53" s="312">
        <f t="shared" si="6"/>
        <v>0.20182734999832519</v>
      </c>
      <c r="L53" s="312">
        <f t="shared" si="6"/>
        <v>-2.439673631755042</v>
      </c>
      <c r="M53" s="312">
        <f>M44-M33</f>
        <v>-0.68568797827663275</v>
      </c>
    </row>
    <row r="56" spans="1:13">
      <c r="A56" s="306" t="s">
        <v>604</v>
      </c>
      <c r="L56" s="313"/>
    </row>
    <row r="58" spans="1:13">
      <c r="B58" s="309"/>
      <c r="D58" s="309"/>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D3EA-E168-884C-82D4-0FC3F83D277D}">
  <sheetPr codeName="Sheet38"/>
  <dimension ref="A1:L53"/>
  <sheetViews>
    <sheetView zoomScale="90" workbookViewId="0">
      <selection activeCell="A5" sqref="A5"/>
    </sheetView>
  </sheetViews>
  <sheetFormatPr baseColWidth="10" defaultColWidth="11" defaultRowHeight="16"/>
  <cols>
    <col min="1" max="1" width="20.6640625" style="5" customWidth="1"/>
    <col min="2" max="6" width="16.83203125" style="5" customWidth="1"/>
    <col min="7" max="16384" width="11" style="5"/>
  </cols>
  <sheetData>
    <row r="1" spans="1:12">
      <c r="A1" s="3" t="s">
        <v>655</v>
      </c>
    </row>
    <row r="3" spans="1:12">
      <c r="B3" s="5" t="s">
        <v>219</v>
      </c>
      <c r="H3" s="5" t="s">
        <v>591</v>
      </c>
    </row>
    <row r="4" spans="1:12" ht="51">
      <c r="B4" s="137" t="s">
        <v>220</v>
      </c>
      <c r="C4" s="137" t="s">
        <v>221</v>
      </c>
      <c r="D4" s="137" t="s">
        <v>127</v>
      </c>
      <c r="E4" s="137" t="s">
        <v>222</v>
      </c>
      <c r="F4" s="137" t="s">
        <v>128</v>
      </c>
      <c r="H4" s="246" t="s">
        <v>220</v>
      </c>
      <c r="I4" s="246" t="s">
        <v>221</v>
      </c>
      <c r="J4" s="246" t="s">
        <v>127</v>
      </c>
      <c r="K4" s="246" t="s">
        <v>222</v>
      </c>
      <c r="L4" s="246" t="s">
        <v>128</v>
      </c>
    </row>
    <row r="5" spans="1:12">
      <c r="A5" s="5">
        <v>1979</v>
      </c>
      <c r="B5" s="8">
        <v>41.1</v>
      </c>
      <c r="C5" s="8">
        <v>41.1</v>
      </c>
      <c r="D5" s="8">
        <v>50.4</v>
      </c>
      <c r="E5" s="135">
        <v>50.4</v>
      </c>
      <c r="F5" s="8">
        <v>45.2</v>
      </c>
      <c r="H5" s="8">
        <f>100*B5/B$26</f>
        <v>43.217665615141961</v>
      </c>
      <c r="I5" s="8">
        <f t="shared" ref="I5:I45" si="0">100*C5/C$26</f>
        <v>41.853360488798373</v>
      </c>
      <c r="J5" s="8">
        <f t="shared" ref="J5:J45" si="1">100*D5/D$26</f>
        <v>51.692307692307693</v>
      </c>
      <c r="K5" s="8">
        <f t="shared" ref="K5:K45" si="2">100*E5/E$26</f>
        <v>51.639344262295083</v>
      </c>
      <c r="L5" s="8">
        <f t="shared" ref="L5:L45" si="3">100*F5/F$26</f>
        <v>46.502057613168724</v>
      </c>
    </row>
    <row r="6" spans="1:12">
      <c r="A6" s="5">
        <v>1980</v>
      </c>
      <c r="B6" s="8">
        <v>45.3</v>
      </c>
      <c r="C6" s="8">
        <v>44.8</v>
      </c>
      <c r="D6" s="8">
        <v>52.7</v>
      </c>
      <c r="E6" s="135">
        <v>52.7</v>
      </c>
      <c r="F6" s="8">
        <v>48.9</v>
      </c>
      <c r="H6" s="8">
        <f t="shared" ref="H6:H45" si="4">100*B6/B$26</f>
        <v>47.634069400630921</v>
      </c>
      <c r="I6" s="8">
        <f t="shared" si="0"/>
        <v>45.621181262729124</v>
      </c>
      <c r="J6" s="8">
        <f t="shared" si="1"/>
        <v>54.051282051282051</v>
      </c>
      <c r="K6" s="8">
        <f t="shared" si="2"/>
        <v>53.995901639344268</v>
      </c>
      <c r="L6" s="8">
        <f t="shared" si="3"/>
        <v>50.308641975308639</v>
      </c>
    </row>
    <row r="7" spans="1:12">
      <c r="A7" s="5">
        <v>1981</v>
      </c>
      <c r="B7" s="8">
        <v>50.9</v>
      </c>
      <c r="C7" s="8">
        <v>51.7</v>
      </c>
      <c r="D7" s="8">
        <v>56.3</v>
      </c>
      <c r="E7" s="135">
        <v>56.1</v>
      </c>
      <c r="F7" s="8">
        <v>54.3</v>
      </c>
      <c r="H7" s="8">
        <f t="shared" si="4"/>
        <v>53.522607781282865</v>
      </c>
      <c r="I7" s="8">
        <f t="shared" si="0"/>
        <v>52.647657841140528</v>
      </c>
      <c r="J7" s="8">
        <f t="shared" si="1"/>
        <v>57.743589743589745</v>
      </c>
      <c r="K7" s="8">
        <f t="shared" si="2"/>
        <v>57.479508196721312</v>
      </c>
      <c r="L7" s="8">
        <f t="shared" si="3"/>
        <v>55.864197530864196</v>
      </c>
    </row>
    <row r="8" spans="1:12">
      <c r="A8" s="5">
        <v>1982</v>
      </c>
      <c r="B8" s="8">
        <v>55.6</v>
      </c>
      <c r="C8" s="8">
        <v>58</v>
      </c>
      <c r="D8" s="8">
        <v>61</v>
      </c>
      <c r="E8" s="135">
        <v>60.8</v>
      </c>
      <c r="F8" s="8">
        <v>60.5</v>
      </c>
      <c r="H8" s="8">
        <f t="shared" si="4"/>
        <v>58.464773922187177</v>
      </c>
      <c r="I8" s="8">
        <f t="shared" si="0"/>
        <v>59.063136456211808</v>
      </c>
      <c r="J8" s="8">
        <f t="shared" si="1"/>
        <v>62.564102564102562</v>
      </c>
      <c r="K8" s="8">
        <f t="shared" si="2"/>
        <v>62.295081967213122</v>
      </c>
      <c r="L8" s="8">
        <f t="shared" si="3"/>
        <v>62.242798353909464</v>
      </c>
    </row>
    <row r="9" spans="1:12">
      <c r="A9" s="5">
        <v>1983</v>
      </c>
      <c r="B9" s="8">
        <v>59.3</v>
      </c>
      <c r="C9" s="8">
        <v>62.6</v>
      </c>
      <c r="D9" s="8">
        <v>65.599999999999994</v>
      </c>
      <c r="E9" s="135">
        <v>65.400000000000006</v>
      </c>
      <c r="F9" s="8">
        <v>64.8</v>
      </c>
      <c r="H9" s="8">
        <f t="shared" si="4"/>
        <v>62.355415352260785</v>
      </c>
      <c r="I9" s="8">
        <f t="shared" si="0"/>
        <v>63.747454175152747</v>
      </c>
      <c r="J9" s="8">
        <f t="shared" si="1"/>
        <v>67.28205128205127</v>
      </c>
      <c r="K9" s="8">
        <f t="shared" si="2"/>
        <v>67.008196721311492</v>
      </c>
      <c r="L9" s="8">
        <f t="shared" si="3"/>
        <v>66.666666666666671</v>
      </c>
    </row>
    <row r="10" spans="1:12">
      <c r="A10" s="5">
        <v>1984</v>
      </c>
      <c r="B10" s="8">
        <v>62.3</v>
      </c>
      <c r="C10" s="8">
        <v>66.599999999999994</v>
      </c>
      <c r="D10" s="8">
        <v>69.3</v>
      </c>
      <c r="E10" s="135">
        <v>69.099999999999994</v>
      </c>
      <c r="F10" s="8">
        <v>69</v>
      </c>
      <c r="H10" s="8">
        <f t="shared" si="4"/>
        <v>65.509989484752893</v>
      </c>
      <c r="I10" s="8">
        <f t="shared" si="0"/>
        <v>67.820773930753546</v>
      </c>
      <c r="J10" s="8">
        <f t="shared" si="1"/>
        <v>71.07692307692308</v>
      </c>
      <c r="K10" s="8">
        <f t="shared" si="2"/>
        <v>70.799180327868854</v>
      </c>
      <c r="L10" s="8">
        <f t="shared" si="3"/>
        <v>70.987654320987659</v>
      </c>
    </row>
    <row r="11" spans="1:12">
      <c r="A11" s="5">
        <v>1985</v>
      </c>
      <c r="B11" s="8">
        <v>65.2</v>
      </c>
      <c r="C11" s="8">
        <v>70.7</v>
      </c>
      <c r="D11" s="8">
        <v>72.900000000000006</v>
      </c>
      <c r="E11" s="135">
        <v>72.7</v>
      </c>
      <c r="F11" s="8">
        <v>73.3</v>
      </c>
      <c r="H11" s="8">
        <f t="shared" si="4"/>
        <v>68.559411146161935</v>
      </c>
      <c r="I11" s="8">
        <f t="shared" si="0"/>
        <v>71.995926680244395</v>
      </c>
      <c r="J11" s="8">
        <f t="shared" si="1"/>
        <v>74.769230769230774</v>
      </c>
      <c r="K11" s="8">
        <f t="shared" si="2"/>
        <v>74.48770491803279</v>
      </c>
      <c r="L11" s="8">
        <f t="shared" si="3"/>
        <v>75.411522633744852</v>
      </c>
    </row>
    <row r="12" spans="1:12">
      <c r="A12" s="5">
        <v>1986</v>
      </c>
      <c r="B12" s="8">
        <v>67.5</v>
      </c>
      <c r="C12" s="8">
        <v>71</v>
      </c>
      <c r="D12" s="8">
        <v>76.2</v>
      </c>
      <c r="E12" s="135">
        <v>76.099999999999994</v>
      </c>
      <c r="F12" s="8">
        <v>75</v>
      </c>
      <c r="H12" s="8">
        <f t="shared" si="4"/>
        <v>70.977917981072565</v>
      </c>
      <c r="I12" s="8">
        <f t="shared" si="0"/>
        <v>72.301425661914465</v>
      </c>
      <c r="J12" s="8">
        <f t="shared" si="1"/>
        <v>78.15384615384616</v>
      </c>
      <c r="K12" s="8">
        <f t="shared" si="2"/>
        <v>77.971311475409834</v>
      </c>
      <c r="L12" s="8">
        <f t="shared" si="3"/>
        <v>77.160493827160494</v>
      </c>
    </row>
    <row r="13" spans="1:12">
      <c r="A13" s="5">
        <v>1987</v>
      </c>
      <c r="B13" s="8">
        <v>69.400000000000006</v>
      </c>
      <c r="C13" s="8">
        <v>72.099999999999994</v>
      </c>
      <c r="D13" s="8">
        <v>78.400000000000006</v>
      </c>
      <c r="E13" s="135">
        <v>78.3</v>
      </c>
      <c r="F13" s="8">
        <v>77.5</v>
      </c>
      <c r="H13" s="8">
        <f t="shared" si="4"/>
        <v>72.975814931650902</v>
      </c>
      <c r="I13" s="8">
        <f t="shared" si="0"/>
        <v>73.421588594704673</v>
      </c>
      <c r="J13" s="8">
        <f t="shared" si="1"/>
        <v>80.410256410256423</v>
      </c>
      <c r="K13" s="8">
        <f t="shared" si="2"/>
        <v>80.22540983606558</v>
      </c>
      <c r="L13" s="8">
        <f t="shared" si="3"/>
        <v>79.732510288065839</v>
      </c>
    </row>
    <row r="14" spans="1:12">
      <c r="A14" s="5">
        <v>1988</v>
      </c>
      <c r="B14" s="8">
        <v>71.8</v>
      </c>
      <c r="C14" s="8">
        <v>74.099999999999994</v>
      </c>
      <c r="D14" s="8">
        <v>80.5</v>
      </c>
      <c r="E14" s="135">
        <v>80.400000000000006</v>
      </c>
      <c r="F14" s="8">
        <v>80.8</v>
      </c>
      <c r="H14" s="8">
        <f t="shared" si="4"/>
        <v>75.499474237644591</v>
      </c>
      <c r="I14" s="8">
        <f t="shared" si="0"/>
        <v>75.458248472505076</v>
      </c>
      <c r="J14" s="8">
        <f t="shared" si="1"/>
        <v>82.564102564102569</v>
      </c>
      <c r="K14" s="8">
        <f t="shared" si="2"/>
        <v>82.377049180327887</v>
      </c>
      <c r="L14" s="8">
        <f t="shared" si="3"/>
        <v>83.127572016460903</v>
      </c>
    </row>
    <row r="15" spans="1:12">
      <c r="A15" s="5">
        <v>1989</v>
      </c>
      <c r="B15" s="8">
        <v>75.2</v>
      </c>
      <c r="C15" s="8">
        <v>76.5</v>
      </c>
      <c r="D15" s="8">
        <v>83.3</v>
      </c>
      <c r="E15" s="135">
        <v>83.2</v>
      </c>
      <c r="F15" s="8">
        <v>85</v>
      </c>
      <c r="H15" s="8">
        <f t="shared" si="4"/>
        <v>79.074658254468986</v>
      </c>
      <c r="I15" s="8">
        <f t="shared" si="0"/>
        <v>77.902240325865577</v>
      </c>
      <c r="J15" s="8">
        <f t="shared" si="1"/>
        <v>85.435897435897431</v>
      </c>
      <c r="K15" s="8">
        <f t="shared" si="2"/>
        <v>85.245901639344268</v>
      </c>
      <c r="L15" s="8">
        <f t="shared" si="3"/>
        <v>87.44855967078189</v>
      </c>
    </row>
    <row r="16" spans="1:12">
      <c r="A16" s="5">
        <v>1990</v>
      </c>
      <c r="B16" s="8">
        <v>78.7</v>
      </c>
      <c r="C16" s="8">
        <v>80.3</v>
      </c>
      <c r="D16" s="8">
        <v>85.5</v>
      </c>
      <c r="E16" s="135">
        <v>85.3</v>
      </c>
      <c r="F16" s="8">
        <v>89.6</v>
      </c>
      <c r="H16" s="8">
        <f t="shared" si="4"/>
        <v>82.754994742376454</v>
      </c>
      <c r="I16" s="8">
        <f t="shared" si="0"/>
        <v>81.771894093686356</v>
      </c>
      <c r="J16" s="8">
        <f t="shared" si="1"/>
        <v>87.692307692307693</v>
      </c>
      <c r="K16" s="8">
        <f t="shared" si="2"/>
        <v>87.397540983606561</v>
      </c>
      <c r="L16" s="8">
        <f t="shared" si="3"/>
        <v>92.181069958847729</v>
      </c>
    </row>
    <row r="17" spans="1:12">
      <c r="A17" s="5">
        <v>1991</v>
      </c>
      <c r="B17" s="8">
        <v>83.8</v>
      </c>
      <c r="C17" s="8">
        <v>85.6</v>
      </c>
      <c r="D17" s="8">
        <v>88.3</v>
      </c>
      <c r="E17" s="135">
        <v>87.9</v>
      </c>
      <c r="F17" s="8">
        <v>94.3</v>
      </c>
      <c r="H17" s="8">
        <f t="shared" si="4"/>
        <v>88.117770767613038</v>
      </c>
      <c r="I17" s="8">
        <f t="shared" si="0"/>
        <v>87.169042769857427</v>
      </c>
      <c r="J17" s="8">
        <f t="shared" si="1"/>
        <v>90.564102564102569</v>
      </c>
      <c r="K17" s="8">
        <f t="shared" si="2"/>
        <v>90.061475409836078</v>
      </c>
      <c r="L17" s="8">
        <f t="shared" si="3"/>
        <v>97.016460905349788</v>
      </c>
    </row>
    <row r="18" spans="1:12">
      <c r="A18" s="5">
        <v>1992</v>
      </c>
      <c r="B18" s="8">
        <v>84.3</v>
      </c>
      <c r="C18" s="8">
        <v>86.3</v>
      </c>
      <c r="D18" s="8">
        <v>90.2</v>
      </c>
      <c r="E18" s="135">
        <v>89.8</v>
      </c>
      <c r="F18" s="8">
        <v>94.7</v>
      </c>
      <c r="H18" s="8">
        <f t="shared" si="4"/>
        <v>88.643533123028391</v>
      </c>
      <c r="I18" s="8">
        <f t="shared" si="0"/>
        <v>87.88187372708758</v>
      </c>
      <c r="J18" s="8">
        <f t="shared" si="1"/>
        <v>92.512820512820511</v>
      </c>
      <c r="K18" s="8">
        <f t="shared" si="2"/>
        <v>92.008196721311478</v>
      </c>
      <c r="L18" s="8">
        <f t="shared" si="3"/>
        <v>97.42798353909464</v>
      </c>
    </row>
    <row r="19" spans="1:12">
      <c r="A19" s="5">
        <v>1993</v>
      </c>
      <c r="B19" s="8">
        <v>85.4</v>
      </c>
      <c r="C19" s="8">
        <v>86.6</v>
      </c>
      <c r="D19" s="8">
        <v>91.5</v>
      </c>
      <c r="E19" s="135">
        <v>91.2</v>
      </c>
      <c r="F19" s="8">
        <v>93.5</v>
      </c>
      <c r="H19" s="8">
        <f t="shared" si="4"/>
        <v>89.800210304942169</v>
      </c>
      <c r="I19" s="8">
        <f t="shared" si="0"/>
        <v>88.187372708757636</v>
      </c>
      <c r="J19" s="8">
        <f t="shared" si="1"/>
        <v>93.84615384615384</v>
      </c>
      <c r="K19" s="8">
        <f t="shared" si="2"/>
        <v>93.442622950819683</v>
      </c>
      <c r="L19" s="8">
        <f t="shared" si="3"/>
        <v>96.193415637860085</v>
      </c>
    </row>
    <row r="20" spans="1:12">
      <c r="A20" s="5">
        <v>1994</v>
      </c>
      <c r="B20" s="8">
        <v>85.9</v>
      </c>
      <c r="C20" s="8">
        <v>86.3</v>
      </c>
      <c r="D20" s="8">
        <v>92.7</v>
      </c>
      <c r="E20" s="135">
        <v>92.5</v>
      </c>
      <c r="F20" s="8">
        <v>92.3</v>
      </c>
      <c r="H20" s="8">
        <f t="shared" si="4"/>
        <v>90.325972660357522</v>
      </c>
      <c r="I20" s="8">
        <f t="shared" si="0"/>
        <v>87.88187372708758</v>
      </c>
      <c r="J20" s="8">
        <f t="shared" si="1"/>
        <v>95.07692307692308</v>
      </c>
      <c r="K20" s="8">
        <f t="shared" si="2"/>
        <v>94.774590163934434</v>
      </c>
      <c r="L20" s="8">
        <f t="shared" si="3"/>
        <v>94.958847736625515</v>
      </c>
    </row>
    <row r="21" spans="1:12">
      <c r="A21" s="5">
        <v>1995</v>
      </c>
      <c r="B21" s="8">
        <v>87.2</v>
      </c>
      <c r="C21" s="8">
        <v>88.2</v>
      </c>
      <c r="D21" s="8">
        <v>93.9</v>
      </c>
      <c r="E21" s="135">
        <v>93.8</v>
      </c>
      <c r="F21" s="8">
        <v>94.8</v>
      </c>
      <c r="H21" s="8">
        <f t="shared" si="4"/>
        <v>91.692954784437447</v>
      </c>
      <c r="I21" s="8">
        <f t="shared" si="0"/>
        <v>89.816700610997955</v>
      </c>
      <c r="J21" s="8">
        <f t="shared" si="1"/>
        <v>96.307692307692307</v>
      </c>
      <c r="K21" s="8">
        <f t="shared" si="2"/>
        <v>96.106557377049185</v>
      </c>
      <c r="L21" s="8">
        <f t="shared" si="3"/>
        <v>97.53086419753086</v>
      </c>
    </row>
    <row r="22" spans="1:12">
      <c r="A22" s="5">
        <v>1996</v>
      </c>
      <c r="B22" s="8">
        <v>88.5</v>
      </c>
      <c r="C22" s="8">
        <v>89.8</v>
      </c>
      <c r="D22" s="8">
        <v>94.8</v>
      </c>
      <c r="E22" s="135">
        <v>94.8</v>
      </c>
      <c r="F22" s="8">
        <v>94.5</v>
      </c>
      <c r="H22" s="8">
        <f t="shared" si="4"/>
        <v>93.059936908517358</v>
      </c>
      <c r="I22" s="8">
        <f t="shared" si="0"/>
        <v>91.446028513238289</v>
      </c>
      <c r="J22" s="8">
        <f t="shared" si="1"/>
        <v>97.230769230769226</v>
      </c>
      <c r="K22" s="8">
        <f t="shared" si="2"/>
        <v>97.131147540983619</v>
      </c>
      <c r="L22" s="8">
        <f t="shared" si="3"/>
        <v>97.222222222222214</v>
      </c>
    </row>
    <row r="23" spans="1:12">
      <c r="A23" s="5">
        <v>1997</v>
      </c>
      <c r="B23" s="8">
        <v>90.1</v>
      </c>
      <c r="C23" s="8">
        <v>92.3</v>
      </c>
      <c r="D23" s="8">
        <v>95.6</v>
      </c>
      <c r="E23" s="135">
        <v>95.7</v>
      </c>
      <c r="F23" s="8">
        <v>94.1</v>
      </c>
      <c r="H23" s="8">
        <f t="shared" si="4"/>
        <v>94.742376445846489</v>
      </c>
      <c r="I23" s="8">
        <f t="shared" si="0"/>
        <v>93.99185336048879</v>
      </c>
      <c r="J23" s="8">
        <f t="shared" si="1"/>
        <v>98.051282051282058</v>
      </c>
      <c r="K23" s="8">
        <f t="shared" si="2"/>
        <v>98.0532786885246</v>
      </c>
      <c r="L23" s="8">
        <f t="shared" si="3"/>
        <v>96.810699588477362</v>
      </c>
    </row>
    <row r="24" spans="1:12">
      <c r="A24" s="5">
        <v>1998</v>
      </c>
      <c r="B24" s="8">
        <v>90.6</v>
      </c>
      <c r="C24" s="8">
        <v>92.5</v>
      </c>
      <c r="D24" s="8">
        <v>96.3</v>
      </c>
      <c r="E24" s="135">
        <v>96.4</v>
      </c>
      <c r="F24" s="8">
        <v>93.8</v>
      </c>
      <c r="H24" s="8">
        <f t="shared" si="4"/>
        <v>95.268138801261841</v>
      </c>
      <c r="I24" s="8">
        <f t="shared" si="0"/>
        <v>94.195519348268832</v>
      </c>
      <c r="J24" s="8">
        <f t="shared" si="1"/>
        <v>98.769230769230774</v>
      </c>
      <c r="K24" s="8">
        <f t="shared" si="2"/>
        <v>98.770491803278688</v>
      </c>
      <c r="L24" s="8">
        <f t="shared" si="3"/>
        <v>96.502057613168716</v>
      </c>
    </row>
    <row r="25" spans="1:12">
      <c r="A25" s="5">
        <v>1999</v>
      </c>
      <c r="B25" s="8">
        <v>92.1</v>
      </c>
      <c r="C25" s="8">
        <v>93.5</v>
      </c>
      <c r="D25" s="8">
        <v>96.8</v>
      </c>
      <c r="E25" s="135">
        <v>97</v>
      </c>
      <c r="F25" s="8">
        <v>94.7</v>
      </c>
      <c r="H25" s="8">
        <f t="shared" si="4"/>
        <v>96.845425867507899</v>
      </c>
      <c r="I25" s="8">
        <f t="shared" si="0"/>
        <v>95.21384928716904</v>
      </c>
      <c r="J25" s="8">
        <f t="shared" si="1"/>
        <v>99.282051282051285</v>
      </c>
      <c r="K25" s="8">
        <f t="shared" si="2"/>
        <v>99.385245901639351</v>
      </c>
      <c r="L25" s="8">
        <f t="shared" si="3"/>
        <v>97.42798353909464</v>
      </c>
    </row>
    <row r="26" spans="1:12">
      <c r="A26" s="5">
        <v>2000</v>
      </c>
      <c r="B26" s="8">
        <v>95.1</v>
      </c>
      <c r="C26" s="8">
        <v>98.2</v>
      </c>
      <c r="D26" s="8">
        <v>97.5</v>
      </c>
      <c r="E26" s="135">
        <v>97.6</v>
      </c>
      <c r="F26" s="8">
        <v>97.2</v>
      </c>
      <c r="H26" s="8">
        <f t="shared" si="4"/>
        <v>100</v>
      </c>
      <c r="I26" s="8">
        <f t="shared" si="0"/>
        <v>100</v>
      </c>
      <c r="J26" s="8">
        <f t="shared" si="1"/>
        <v>100</v>
      </c>
      <c r="K26" s="8">
        <f t="shared" si="2"/>
        <v>100</v>
      </c>
      <c r="L26" s="8">
        <f t="shared" si="3"/>
        <v>100</v>
      </c>
    </row>
    <row r="27" spans="1:12">
      <c r="A27" s="5">
        <v>2001</v>
      </c>
      <c r="B27" s="8">
        <v>96.8</v>
      </c>
      <c r="C27" s="8">
        <v>99.5</v>
      </c>
      <c r="D27" s="8">
        <v>98.6</v>
      </c>
      <c r="E27" s="135">
        <v>98.7</v>
      </c>
      <c r="F27" s="8">
        <v>99.1</v>
      </c>
      <c r="H27" s="8">
        <f t="shared" si="4"/>
        <v>101.7875920084122</v>
      </c>
      <c r="I27" s="8">
        <f t="shared" si="0"/>
        <v>101.32382892057026</v>
      </c>
      <c r="J27" s="8">
        <f t="shared" si="1"/>
        <v>101.12820512820512</v>
      </c>
      <c r="K27" s="8">
        <f t="shared" si="2"/>
        <v>101.12704918032787</v>
      </c>
      <c r="L27" s="8">
        <f t="shared" si="3"/>
        <v>101.95473251028807</v>
      </c>
    </row>
    <row r="28" spans="1:12">
      <c r="A28" s="5">
        <v>2002</v>
      </c>
      <c r="B28" s="8">
        <v>100</v>
      </c>
      <c r="C28" s="8">
        <v>100</v>
      </c>
      <c r="D28" s="8">
        <v>100</v>
      </c>
      <c r="E28" s="135">
        <v>100</v>
      </c>
      <c r="F28" s="8">
        <v>100</v>
      </c>
      <c r="H28" s="8">
        <f t="shared" si="4"/>
        <v>105.15247108307045</v>
      </c>
      <c r="I28" s="8">
        <f t="shared" si="0"/>
        <v>101.83299389002036</v>
      </c>
      <c r="J28" s="8">
        <f t="shared" si="1"/>
        <v>102.56410256410257</v>
      </c>
      <c r="K28" s="8">
        <f t="shared" si="2"/>
        <v>102.45901639344262</v>
      </c>
      <c r="L28" s="8">
        <f t="shared" si="3"/>
        <v>102.88065843621399</v>
      </c>
    </row>
    <row r="29" spans="1:12">
      <c r="A29" s="5">
        <v>2003</v>
      </c>
      <c r="B29" s="8">
        <v>103.4</v>
      </c>
      <c r="C29" s="8">
        <v>102.6</v>
      </c>
      <c r="D29" s="8">
        <v>101.2</v>
      </c>
      <c r="E29" s="135">
        <v>101.3</v>
      </c>
      <c r="F29" s="8">
        <v>101.5</v>
      </c>
      <c r="H29" s="8">
        <f t="shared" si="4"/>
        <v>108.72765509989486</v>
      </c>
      <c r="I29" s="8">
        <f t="shared" si="0"/>
        <v>104.48065173116089</v>
      </c>
      <c r="J29" s="8">
        <f t="shared" si="1"/>
        <v>103.7948717948718</v>
      </c>
      <c r="K29" s="8">
        <f t="shared" si="2"/>
        <v>103.79098360655739</v>
      </c>
      <c r="L29" s="8">
        <f t="shared" si="3"/>
        <v>104.42386831275719</v>
      </c>
    </row>
    <row r="30" spans="1:12">
      <c r="A30" s="5">
        <v>2004</v>
      </c>
      <c r="B30" s="8">
        <v>104.9</v>
      </c>
      <c r="C30" s="8">
        <v>104.9</v>
      </c>
      <c r="D30" s="8">
        <v>102.3</v>
      </c>
      <c r="E30" s="135">
        <v>102.3</v>
      </c>
      <c r="F30" s="8">
        <v>103.4</v>
      </c>
      <c r="H30" s="8">
        <f t="shared" si="4"/>
        <v>110.3049421661409</v>
      </c>
      <c r="I30" s="8">
        <f t="shared" si="0"/>
        <v>106.82281059063136</v>
      </c>
      <c r="J30" s="8">
        <f t="shared" si="1"/>
        <v>104.92307692307692</v>
      </c>
      <c r="K30" s="8">
        <f t="shared" si="2"/>
        <v>104.81557377049181</v>
      </c>
      <c r="L30" s="8">
        <f t="shared" si="3"/>
        <v>106.37860082304526</v>
      </c>
    </row>
    <row r="31" spans="1:12">
      <c r="A31" s="5">
        <v>2005</v>
      </c>
      <c r="B31" s="8">
        <v>107.4</v>
      </c>
      <c r="C31" s="8">
        <v>109.3</v>
      </c>
      <c r="D31" s="8">
        <v>103.2</v>
      </c>
      <c r="E31" s="135">
        <v>103.3</v>
      </c>
      <c r="F31" s="8">
        <v>106.2</v>
      </c>
      <c r="H31" s="8">
        <f t="shared" si="4"/>
        <v>112.93375394321767</v>
      </c>
      <c r="I31" s="8">
        <f t="shared" si="0"/>
        <v>111.30346232179225</v>
      </c>
      <c r="J31" s="8">
        <f t="shared" si="1"/>
        <v>105.84615384615384</v>
      </c>
      <c r="K31" s="8">
        <f t="shared" si="2"/>
        <v>105.84016393442623</v>
      </c>
      <c r="L31" s="8">
        <f t="shared" si="3"/>
        <v>109.25925925925925</v>
      </c>
    </row>
    <row r="32" spans="1:12">
      <c r="A32" s="5">
        <v>2006</v>
      </c>
      <c r="B32" s="8">
        <v>109.2</v>
      </c>
      <c r="C32" s="8">
        <v>111.9</v>
      </c>
      <c r="D32" s="8">
        <v>104.1</v>
      </c>
      <c r="E32" s="135">
        <v>104.1</v>
      </c>
      <c r="F32" s="8">
        <v>109.2</v>
      </c>
      <c r="H32" s="8">
        <f t="shared" si="4"/>
        <v>114.82649842271294</v>
      </c>
      <c r="I32" s="8">
        <f t="shared" si="0"/>
        <v>113.95112016293278</v>
      </c>
      <c r="J32" s="8">
        <f t="shared" si="1"/>
        <v>106.76923076923077</v>
      </c>
      <c r="K32" s="8">
        <f t="shared" si="2"/>
        <v>106.65983606557377</v>
      </c>
      <c r="L32" s="8">
        <f t="shared" si="3"/>
        <v>112.34567901234567</v>
      </c>
    </row>
    <row r="33" spans="1:12">
      <c r="A33" s="5">
        <v>2007</v>
      </c>
      <c r="B33" s="8">
        <v>111.3</v>
      </c>
      <c r="C33" s="8">
        <v>116.7</v>
      </c>
      <c r="D33" s="8">
        <v>104.8</v>
      </c>
      <c r="E33" s="135">
        <v>104.8</v>
      </c>
      <c r="F33" s="8">
        <v>111.6</v>
      </c>
      <c r="H33" s="8">
        <f t="shared" si="4"/>
        <v>117.03470031545741</v>
      </c>
      <c r="I33" s="8">
        <f t="shared" si="0"/>
        <v>118.83910386965377</v>
      </c>
      <c r="J33" s="8">
        <f t="shared" si="1"/>
        <v>107.48717948717949</v>
      </c>
      <c r="K33" s="8">
        <f t="shared" si="2"/>
        <v>107.37704918032787</v>
      </c>
      <c r="L33" s="8">
        <f t="shared" si="3"/>
        <v>114.81481481481481</v>
      </c>
    </row>
    <row r="34" spans="1:12">
      <c r="A34" s="5">
        <v>2008</v>
      </c>
      <c r="B34" s="8">
        <v>113.2</v>
      </c>
      <c r="C34" s="8">
        <v>120.8</v>
      </c>
      <c r="D34" s="8">
        <v>105.9</v>
      </c>
      <c r="E34" s="135">
        <v>106</v>
      </c>
      <c r="F34" s="8">
        <v>114.8</v>
      </c>
      <c r="H34" s="8">
        <f t="shared" si="4"/>
        <v>119.03259726603576</v>
      </c>
      <c r="I34" s="8">
        <f t="shared" si="0"/>
        <v>123.0142566191446</v>
      </c>
      <c r="J34" s="8">
        <f t="shared" si="1"/>
        <v>108.61538461538461</v>
      </c>
      <c r="K34" s="8">
        <f t="shared" si="2"/>
        <v>108.60655737704919</v>
      </c>
      <c r="L34" s="8">
        <f t="shared" si="3"/>
        <v>118.10699588477365</v>
      </c>
    </row>
    <row r="35" spans="1:12">
      <c r="A35" s="5">
        <v>2009</v>
      </c>
      <c r="B35" s="8">
        <v>113.5</v>
      </c>
      <c r="C35" s="8">
        <v>120.7</v>
      </c>
      <c r="D35" s="8">
        <v>107.2</v>
      </c>
      <c r="E35" s="135">
        <v>107.2</v>
      </c>
      <c r="F35" s="8">
        <v>117.6</v>
      </c>
      <c r="H35" s="8">
        <f t="shared" si="4"/>
        <v>119.34805467928497</v>
      </c>
      <c r="I35" s="8">
        <f t="shared" si="0"/>
        <v>122.91242362525458</v>
      </c>
      <c r="J35" s="8">
        <f t="shared" si="1"/>
        <v>109.94871794871794</v>
      </c>
      <c r="K35" s="8">
        <f t="shared" si="2"/>
        <v>109.8360655737705</v>
      </c>
      <c r="L35" s="8">
        <f t="shared" si="3"/>
        <v>120.98765432098764</v>
      </c>
    </row>
    <row r="36" spans="1:12">
      <c r="A36" s="5">
        <v>2010</v>
      </c>
      <c r="B36" s="8">
        <v>115.9</v>
      </c>
      <c r="C36" s="8">
        <v>122.6</v>
      </c>
      <c r="D36" s="8">
        <v>108.5</v>
      </c>
      <c r="E36" s="135">
        <v>108.7</v>
      </c>
      <c r="F36" s="8">
        <v>118</v>
      </c>
      <c r="H36" s="8">
        <f t="shared" si="4"/>
        <v>121.87171398527866</v>
      </c>
      <c r="I36" s="8">
        <f t="shared" si="0"/>
        <v>124.84725050916497</v>
      </c>
      <c r="J36" s="8">
        <f t="shared" si="1"/>
        <v>111.28205128205128</v>
      </c>
      <c r="K36" s="8">
        <f t="shared" si="2"/>
        <v>111.37295081967214</v>
      </c>
      <c r="L36" s="8">
        <f t="shared" si="3"/>
        <v>121.39917695473251</v>
      </c>
    </row>
    <row r="37" spans="1:12">
      <c r="A37" s="5">
        <v>2011</v>
      </c>
      <c r="B37" s="8">
        <v>120</v>
      </c>
      <c r="C37" s="8">
        <v>125</v>
      </c>
      <c r="D37" s="8">
        <v>109.9</v>
      </c>
      <c r="E37" s="135">
        <v>110</v>
      </c>
      <c r="F37" s="8">
        <v>118.3</v>
      </c>
      <c r="H37" s="8">
        <f t="shared" si="4"/>
        <v>126.18296529968455</v>
      </c>
      <c r="I37" s="8">
        <f t="shared" si="0"/>
        <v>127.29124236252545</v>
      </c>
      <c r="J37" s="8">
        <f t="shared" si="1"/>
        <v>112.71794871794872</v>
      </c>
      <c r="K37" s="8">
        <f t="shared" si="2"/>
        <v>112.70491803278689</v>
      </c>
      <c r="L37" s="8">
        <f t="shared" si="3"/>
        <v>121.70781893004114</v>
      </c>
    </row>
    <row r="38" spans="1:12">
      <c r="A38" s="5">
        <v>2012</v>
      </c>
      <c r="B38" s="8">
        <v>122</v>
      </c>
      <c r="C38" s="8">
        <v>125.8</v>
      </c>
      <c r="D38" s="8">
        <v>110.9</v>
      </c>
      <c r="E38" s="135">
        <v>111.1</v>
      </c>
      <c r="F38" s="8">
        <v>118.5</v>
      </c>
      <c r="H38" s="8">
        <f t="shared" si="4"/>
        <v>128.28601472134596</v>
      </c>
      <c r="I38" s="8">
        <f t="shared" si="0"/>
        <v>128.10590631364562</v>
      </c>
      <c r="J38" s="8">
        <f t="shared" si="1"/>
        <v>113.74358974358974</v>
      </c>
      <c r="K38" s="8">
        <f t="shared" si="2"/>
        <v>113.83196721311477</v>
      </c>
      <c r="L38" s="8">
        <f t="shared" si="3"/>
        <v>121.91358024691358</v>
      </c>
    </row>
    <row r="39" spans="1:12">
      <c r="A39" s="5">
        <v>2013</v>
      </c>
      <c r="B39" s="8">
        <v>123</v>
      </c>
      <c r="C39" s="8">
        <v>126.8</v>
      </c>
      <c r="D39" s="8">
        <v>111.9</v>
      </c>
      <c r="E39" s="135">
        <v>112.2</v>
      </c>
      <c r="F39" s="8">
        <v>119.3</v>
      </c>
      <c r="H39" s="8">
        <f t="shared" si="4"/>
        <v>129.33753943217667</v>
      </c>
      <c r="I39" s="8">
        <f t="shared" si="0"/>
        <v>129.12423625254581</v>
      </c>
      <c r="J39" s="8">
        <f t="shared" si="1"/>
        <v>114.76923076923077</v>
      </c>
      <c r="K39" s="8">
        <f t="shared" si="2"/>
        <v>114.95901639344262</v>
      </c>
      <c r="L39" s="8">
        <f t="shared" si="3"/>
        <v>122.73662551440329</v>
      </c>
    </row>
    <row r="40" spans="1:12">
      <c r="A40" s="5">
        <v>2014</v>
      </c>
      <c r="B40" s="8">
        <v>124.8</v>
      </c>
      <c r="C40" s="8">
        <v>129.19999999999999</v>
      </c>
      <c r="D40" s="8">
        <v>112.8</v>
      </c>
      <c r="E40" s="135">
        <v>113</v>
      </c>
      <c r="F40" s="8">
        <v>121.3</v>
      </c>
      <c r="H40" s="8">
        <f t="shared" si="4"/>
        <v>131.23028391167193</v>
      </c>
      <c r="I40" s="8">
        <f t="shared" si="0"/>
        <v>131.56822810590629</v>
      </c>
      <c r="J40" s="8">
        <f t="shared" si="1"/>
        <v>115.69230769230769</v>
      </c>
      <c r="K40" s="8">
        <f t="shared" si="2"/>
        <v>115.77868852459017</v>
      </c>
      <c r="L40" s="8">
        <f t="shared" si="3"/>
        <v>124.79423868312757</v>
      </c>
    </row>
    <row r="41" spans="1:12">
      <c r="A41" s="5">
        <v>2015</v>
      </c>
      <c r="B41" s="8">
        <v>125.4</v>
      </c>
      <c r="C41" s="8">
        <v>129.5</v>
      </c>
      <c r="D41" s="8">
        <v>113.4</v>
      </c>
      <c r="E41" s="135">
        <v>113.6</v>
      </c>
      <c r="F41" s="8">
        <v>122.7</v>
      </c>
      <c r="H41" s="8">
        <f t="shared" si="4"/>
        <v>131.86119873817034</v>
      </c>
      <c r="I41" s="8">
        <f t="shared" si="0"/>
        <v>131.87372708757638</v>
      </c>
      <c r="J41" s="8">
        <f t="shared" si="1"/>
        <v>116.30769230769231</v>
      </c>
      <c r="K41" s="8">
        <f t="shared" si="2"/>
        <v>116.39344262295083</v>
      </c>
      <c r="L41" s="8">
        <f t="shared" si="3"/>
        <v>126.23456790123457</v>
      </c>
    </row>
    <row r="42" spans="1:12">
      <c r="A42" s="5">
        <v>2016</v>
      </c>
      <c r="B42" s="8">
        <v>128.19999999999999</v>
      </c>
      <c r="C42" s="8">
        <v>131.69999999999999</v>
      </c>
      <c r="D42" s="8">
        <v>114.4</v>
      </c>
      <c r="E42" s="135">
        <v>114.6</v>
      </c>
      <c r="F42" s="8">
        <v>125.3</v>
      </c>
      <c r="H42" s="8">
        <f t="shared" si="4"/>
        <v>134.80546792849631</v>
      </c>
      <c r="I42" s="8">
        <f t="shared" si="0"/>
        <v>134.1140529531568</v>
      </c>
      <c r="J42" s="8">
        <f t="shared" si="1"/>
        <v>117.33333333333333</v>
      </c>
      <c r="K42" s="8">
        <f t="shared" si="2"/>
        <v>117.41803278688525</v>
      </c>
      <c r="L42" s="8">
        <f t="shared" si="3"/>
        <v>128.90946502057614</v>
      </c>
    </row>
    <row r="43" spans="1:12">
      <c r="A43" s="5">
        <v>2017</v>
      </c>
      <c r="B43" s="8">
        <v>131.19999999999999</v>
      </c>
      <c r="C43" s="8">
        <v>134.6</v>
      </c>
      <c r="D43" s="8">
        <v>115.2</v>
      </c>
      <c r="E43" s="135">
        <v>115.2</v>
      </c>
      <c r="F43" s="8">
        <v>127.2</v>
      </c>
      <c r="H43" s="8">
        <f t="shared" si="4"/>
        <v>137.96004206098843</v>
      </c>
      <c r="I43" s="8">
        <f t="shared" si="0"/>
        <v>137.0672097759674</v>
      </c>
      <c r="J43" s="8">
        <f t="shared" si="1"/>
        <v>118.15384615384616</v>
      </c>
      <c r="K43" s="8">
        <f t="shared" si="2"/>
        <v>118.03278688524591</v>
      </c>
      <c r="L43" s="8">
        <f t="shared" si="3"/>
        <v>130.8641975308642</v>
      </c>
    </row>
    <row r="44" spans="1:12">
      <c r="A44" s="5">
        <v>2018</v>
      </c>
      <c r="B44" s="8">
        <v>134</v>
      </c>
      <c r="C44" s="8">
        <v>137.5</v>
      </c>
      <c r="D44" s="8">
        <v>116.5</v>
      </c>
      <c r="E44" s="135">
        <v>116.5</v>
      </c>
      <c r="F44" s="8">
        <v>129.4</v>
      </c>
      <c r="H44" s="8">
        <f t="shared" si="4"/>
        <v>140.90431125131443</v>
      </c>
      <c r="I44" s="8">
        <f t="shared" si="0"/>
        <v>140.020366598778</v>
      </c>
      <c r="J44" s="8">
        <f t="shared" si="1"/>
        <v>119.48717948717949</v>
      </c>
      <c r="K44" s="8">
        <f t="shared" si="2"/>
        <v>119.36475409836066</v>
      </c>
      <c r="L44" s="8">
        <f t="shared" si="3"/>
        <v>133.1275720164609</v>
      </c>
    </row>
    <row r="45" spans="1:12">
      <c r="A45" s="5">
        <v>2019</v>
      </c>
      <c r="B45" s="8">
        <v>136.30000000000001</v>
      </c>
      <c r="C45" s="8">
        <v>140.19999999999999</v>
      </c>
      <c r="D45" s="8">
        <v>118</v>
      </c>
      <c r="E45" s="135">
        <v>117.9</v>
      </c>
      <c r="F45" s="8">
        <v>132.5</v>
      </c>
      <c r="H45" s="8">
        <f t="shared" si="4"/>
        <v>143.32281808622506</v>
      </c>
      <c r="I45" s="8">
        <f t="shared" si="0"/>
        <v>142.76985743380854</v>
      </c>
      <c r="J45" s="8">
        <f t="shared" si="1"/>
        <v>121.02564102564102</v>
      </c>
      <c r="K45" s="8">
        <f t="shared" si="2"/>
        <v>120.79918032786885</v>
      </c>
      <c r="L45" s="8">
        <f t="shared" si="3"/>
        <v>136.31687242798353</v>
      </c>
    </row>
    <row r="49" spans="1:2">
      <c r="A49" s="5" t="s">
        <v>153</v>
      </c>
    </row>
    <row r="50" spans="1:2">
      <c r="A50" s="5">
        <v>1</v>
      </c>
      <c r="B50" s="5" t="s">
        <v>223</v>
      </c>
    </row>
    <row r="51" spans="1:2">
      <c r="A51" s="5">
        <v>2</v>
      </c>
      <c r="B51" s="5" t="s">
        <v>224</v>
      </c>
    </row>
    <row r="53" spans="1:2">
      <c r="A53" s="5" t="s">
        <v>654</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50C20-EB66-B14D-BCD6-7F451F574F33}">
  <sheetPr codeName="Sheet39"/>
  <dimension ref="A1:B33"/>
  <sheetViews>
    <sheetView zoomScale="116" workbookViewId="0">
      <selection activeCell="H37" sqref="H37"/>
    </sheetView>
  </sheetViews>
  <sheetFormatPr baseColWidth="10" defaultColWidth="11" defaultRowHeight="16"/>
  <cols>
    <col min="1" max="1" width="16.5" style="5" customWidth="1"/>
    <col min="2" max="16384" width="11" style="5"/>
  </cols>
  <sheetData>
    <row r="1" spans="1:2">
      <c r="A1" s="19" t="s">
        <v>656</v>
      </c>
    </row>
    <row r="2" spans="1:2">
      <c r="A2" s="5" t="s">
        <v>225</v>
      </c>
    </row>
    <row r="4" spans="1:2">
      <c r="A4" s="5">
        <v>1997</v>
      </c>
      <c r="B4" s="8">
        <v>33.700000000000003</v>
      </c>
    </row>
    <row r="5" spans="1:2">
      <c r="A5" s="5">
        <v>1998</v>
      </c>
      <c r="B5" s="8">
        <v>34.6</v>
      </c>
    </row>
    <row r="6" spans="1:2">
      <c r="A6" s="5">
        <v>1999</v>
      </c>
      <c r="B6" s="8">
        <v>36.5</v>
      </c>
    </row>
    <row r="7" spans="1:2">
      <c r="A7" s="5">
        <v>2000</v>
      </c>
      <c r="B7" s="8">
        <v>36.700000000000003</v>
      </c>
    </row>
    <row r="8" spans="1:2">
      <c r="A8" s="5">
        <v>2001</v>
      </c>
      <c r="B8" s="8">
        <v>38.6</v>
      </c>
    </row>
    <row r="9" spans="1:2">
      <c r="A9" s="5">
        <v>2002</v>
      </c>
      <c r="B9" s="8">
        <v>39</v>
      </c>
    </row>
    <row r="10" spans="1:2">
      <c r="A10" s="5">
        <v>2003</v>
      </c>
      <c r="B10" s="8">
        <v>39.799999999999997</v>
      </c>
    </row>
    <row r="11" spans="1:2">
      <c r="A11" s="5">
        <v>2004</v>
      </c>
      <c r="B11" s="8">
        <v>40.200000000000003</v>
      </c>
    </row>
    <row r="12" spans="1:2">
      <c r="A12" s="5">
        <v>2005</v>
      </c>
      <c r="B12" s="8">
        <v>41.6</v>
      </c>
    </row>
    <row r="13" spans="1:2">
      <c r="A13" s="5">
        <v>2006</v>
      </c>
      <c r="B13" s="8">
        <v>41.3</v>
      </c>
    </row>
    <row r="14" spans="1:2">
      <c r="A14" s="5">
        <v>2007</v>
      </c>
      <c r="B14" s="8">
        <v>40.700000000000003</v>
      </c>
    </row>
    <row r="15" spans="1:2">
      <c r="A15" s="5">
        <v>2008</v>
      </c>
      <c r="B15" s="8">
        <v>40.5</v>
      </c>
    </row>
    <row r="16" spans="1:2">
      <c r="A16" s="5">
        <v>2009</v>
      </c>
      <c r="B16" s="8">
        <v>39.700000000000003</v>
      </c>
    </row>
    <row r="17" spans="1:2">
      <c r="A17" s="5">
        <v>2010</v>
      </c>
      <c r="B17" s="8">
        <v>40.799999999999997</v>
      </c>
    </row>
    <row r="18" spans="1:2">
      <c r="A18" s="5">
        <v>2011</v>
      </c>
      <c r="B18" s="8">
        <v>41.8</v>
      </c>
    </row>
    <row r="19" spans="1:2">
      <c r="A19" s="5">
        <v>2012</v>
      </c>
      <c r="B19" s="8">
        <v>40.4</v>
      </c>
    </row>
    <row r="20" spans="1:2">
      <c r="A20" s="5">
        <v>2013</v>
      </c>
      <c r="B20" s="8">
        <v>40.9</v>
      </c>
    </row>
    <row r="21" spans="1:2">
      <c r="A21" s="5">
        <v>2014</v>
      </c>
      <c r="B21" s="8">
        <v>41.5</v>
      </c>
    </row>
    <row r="22" spans="1:2">
      <c r="A22" s="5">
        <v>2015</v>
      </c>
      <c r="B22" s="8">
        <v>42.1</v>
      </c>
    </row>
    <row r="23" spans="1:2">
      <c r="A23" s="5">
        <v>2016</v>
      </c>
      <c r="B23" s="8">
        <v>42.1</v>
      </c>
    </row>
    <row r="24" spans="1:2">
      <c r="A24" s="5">
        <v>2017</v>
      </c>
      <c r="B24" s="8">
        <v>42.8</v>
      </c>
    </row>
    <row r="25" spans="1:2">
      <c r="A25" s="5">
        <v>2018</v>
      </c>
      <c r="B25" s="8">
        <v>42.7</v>
      </c>
    </row>
    <row r="26" spans="1:2">
      <c r="A26" s="5">
        <v>2019</v>
      </c>
      <c r="B26" s="8">
        <v>43.5</v>
      </c>
    </row>
    <row r="28" spans="1:2">
      <c r="A28" s="5" t="s">
        <v>226</v>
      </c>
      <c r="B28" s="143">
        <f>100*((B26/B4)^(1/22)-1)</f>
        <v>1.1670442589988061</v>
      </c>
    </row>
    <row r="29" spans="1:2">
      <c r="A29" s="5" t="s">
        <v>227</v>
      </c>
      <c r="B29" s="143">
        <f>100*((B7/B4)^(1/3)-1)</f>
        <v>2.883418903189594</v>
      </c>
    </row>
    <row r="30" spans="1:2">
      <c r="A30" s="5" t="s">
        <v>11</v>
      </c>
      <c r="B30" s="143">
        <f>100*((B26/B7)^(1/19)-1)</f>
        <v>0.89866758168670735</v>
      </c>
    </row>
    <row r="33" spans="1:1">
      <c r="A33" s="5" t="s">
        <v>657</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37DE-429E-9A42-9BEE-B3BD44CBB88D}">
  <dimension ref="A1:D52"/>
  <sheetViews>
    <sheetView workbookViewId="0">
      <selection activeCell="N36" sqref="N36"/>
    </sheetView>
  </sheetViews>
  <sheetFormatPr baseColWidth="10" defaultColWidth="10.83203125" defaultRowHeight="16"/>
  <cols>
    <col min="1" max="1" width="10.83203125" style="5"/>
    <col min="2" max="4" width="20.83203125" style="5" customWidth="1"/>
    <col min="5" max="16384" width="10.83203125" style="5"/>
  </cols>
  <sheetData>
    <row r="1" spans="1:4">
      <c r="A1" s="19" t="s">
        <v>658</v>
      </c>
    </row>
    <row r="3" spans="1:4" ht="34">
      <c r="B3" s="248" t="s">
        <v>597</v>
      </c>
      <c r="C3" s="248" t="s">
        <v>594</v>
      </c>
      <c r="D3" s="248" t="s">
        <v>598</v>
      </c>
    </row>
    <row r="4" spans="1:4" ht="17">
      <c r="B4" s="248" t="s">
        <v>109</v>
      </c>
      <c r="C4" s="248" t="s">
        <v>110</v>
      </c>
      <c r="D4" s="248" t="s">
        <v>111</v>
      </c>
    </row>
    <row r="5" spans="1:4">
      <c r="A5" s="5">
        <v>2000</v>
      </c>
      <c r="B5" s="20">
        <v>43200</v>
      </c>
      <c r="C5" s="20">
        <v>91623.586427999995</v>
      </c>
      <c r="D5" s="249">
        <f t="shared" ref="D5:D24" si="0">C5/B5</f>
        <v>2.1209163525000001</v>
      </c>
    </row>
    <row r="6" spans="1:4">
      <c r="A6" s="5">
        <v>2001</v>
      </c>
      <c r="B6" s="20">
        <v>45200</v>
      </c>
      <c r="C6" s="20">
        <v>97049.920668000006</v>
      </c>
      <c r="D6" s="249">
        <f t="shared" si="0"/>
        <v>2.1471221386725663</v>
      </c>
    </row>
    <row r="7" spans="1:4">
      <c r="A7" s="5">
        <v>2002</v>
      </c>
      <c r="B7" s="20">
        <v>46800</v>
      </c>
      <c r="C7" s="20">
        <v>100984.30146</v>
      </c>
      <c r="D7" s="249">
        <f t="shared" si="0"/>
        <v>2.1577842192307695</v>
      </c>
    </row>
    <row r="8" spans="1:4">
      <c r="A8" s="5">
        <v>2003</v>
      </c>
      <c r="B8" s="20">
        <v>48000</v>
      </c>
      <c r="C8" s="20">
        <v>106988.12164</v>
      </c>
      <c r="D8" s="249">
        <f t="shared" si="0"/>
        <v>2.2289192008333334</v>
      </c>
    </row>
    <row r="9" spans="1:4">
      <c r="A9" s="5">
        <v>2004</v>
      </c>
      <c r="B9" s="20">
        <v>49700</v>
      </c>
      <c r="C9" s="20">
        <v>113755.1295</v>
      </c>
      <c r="D9" s="249">
        <f t="shared" si="0"/>
        <v>2.2888356036217301</v>
      </c>
    </row>
    <row r="10" spans="1:4">
      <c r="A10" s="5">
        <v>2005</v>
      </c>
      <c r="B10" s="20">
        <v>51500</v>
      </c>
      <c r="C10" s="20">
        <v>120436.85055</v>
      </c>
      <c r="D10" s="249">
        <f t="shared" si="0"/>
        <v>2.338579622330097</v>
      </c>
    </row>
    <row r="11" spans="1:4">
      <c r="A11" s="5">
        <v>2006</v>
      </c>
      <c r="B11" s="20">
        <v>54000</v>
      </c>
      <c r="C11" s="20">
        <v>127452.56203</v>
      </c>
      <c r="D11" s="249">
        <f t="shared" si="0"/>
        <v>2.3602326301851853</v>
      </c>
    </row>
    <row r="12" spans="1:4">
      <c r="A12" s="5">
        <v>2007</v>
      </c>
      <c r="B12" s="20">
        <v>56930</v>
      </c>
      <c r="C12" s="20">
        <v>137069.90946</v>
      </c>
      <c r="D12" s="249">
        <f t="shared" si="0"/>
        <v>2.4076920685051819</v>
      </c>
    </row>
    <row r="13" spans="1:4">
      <c r="A13" s="5">
        <v>2008</v>
      </c>
      <c r="B13" s="20">
        <v>59790</v>
      </c>
      <c r="C13" s="20">
        <v>146103.73211000001</v>
      </c>
      <c r="D13" s="249">
        <f t="shared" si="0"/>
        <v>2.4436148538217095</v>
      </c>
    </row>
    <row r="14" spans="1:4">
      <c r="A14" s="5">
        <v>2009</v>
      </c>
      <c r="B14" s="20">
        <v>60670</v>
      </c>
      <c r="C14" s="20">
        <v>153555.76826000001</v>
      </c>
      <c r="D14" s="249">
        <f t="shared" si="0"/>
        <v>2.5309999713202571</v>
      </c>
    </row>
    <row r="15" spans="1:4">
      <c r="A15" s="5">
        <v>2010</v>
      </c>
      <c r="B15" s="20">
        <v>62150</v>
      </c>
      <c r="C15" s="20">
        <v>156296.15789999999</v>
      </c>
      <c r="D15" s="249">
        <f t="shared" si="0"/>
        <v>2.5148215269509251</v>
      </c>
    </row>
    <row r="16" spans="1:4">
      <c r="A16" s="5">
        <v>2011</v>
      </c>
      <c r="B16" s="20">
        <v>63930</v>
      </c>
      <c r="C16" s="20">
        <v>158851.53831</v>
      </c>
      <c r="D16" s="249">
        <f t="shared" si="0"/>
        <v>2.4847730065696858</v>
      </c>
    </row>
    <row r="17" spans="1:4">
      <c r="A17" s="5">
        <v>2012</v>
      </c>
      <c r="B17" s="20">
        <v>65910</v>
      </c>
      <c r="C17" s="20">
        <v>159530.44610999999</v>
      </c>
      <c r="D17" s="249">
        <f t="shared" si="0"/>
        <v>2.4204285557578515</v>
      </c>
    </row>
    <row r="18" spans="1:4">
      <c r="A18" s="5">
        <v>2013</v>
      </c>
      <c r="B18" s="20">
        <v>67340</v>
      </c>
      <c r="C18" s="20">
        <v>161084.58405999999</v>
      </c>
      <c r="D18" s="249">
        <f t="shared" si="0"/>
        <v>2.3921084653994651</v>
      </c>
    </row>
    <row r="19" spans="1:4">
      <c r="A19" s="5">
        <v>2014</v>
      </c>
      <c r="B19" s="20">
        <v>69290</v>
      </c>
      <c r="C19" s="20">
        <v>161464.31714</v>
      </c>
      <c r="D19" s="249">
        <f t="shared" si="0"/>
        <v>2.3302686843700391</v>
      </c>
    </row>
    <row r="20" spans="1:4">
      <c r="A20" s="5">
        <v>2015</v>
      </c>
      <c r="B20" s="20">
        <v>71040</v>
      </c>
      <c r="C20" s="20">
        <v>159430.88243</v>
      </c>
      <c r="D20" s="249">
        <f t="shared" si="0"/>
        <v>2.2442410251970721</v>
      </c>
    </row>
    <row r="21" spans="1:4">
      <c r="A21" s="5">
        <v>2016</v>
      </c>
      <c r="B21" s="20">
        <v>72330</v>
      </c>
      <c r="C21" s="20">
        <v>161667.76319999999</v>
      </c>
      <c r="D21" s="249">
        <f t="shared" si="0"/>
        <v>2.2351412028204063</v>
      </c>
    </row>
    <row r="22" spans="1:4">
      <c r="A22" s="5">
        <v>2017</v>
      </c>
      <c r="B22" s="20">
        <v>74710</v>
      </c>
      <c r="C22" s="20">
        <v>165416.47896000001</v>
      </c>
      <c r="D22" s="249">
        <f t="shared" si="0"/>
        <v>2.2141142947396601</v>
      </c>
    </row>
    <row r="23" spans="1:4">
      <c r="A23" s="5">
        <v>2018</v>
      </c>
      <c r="B23" s="20">
        <v>77020</v>
      </c>
      <c r="C23" s="20">
        <v>174222.26779000001</v>
      </c>
      <c r="D23" s="249">
        <f t="shared" si="0"/>
        <v>2.2620393117372113</v>
      </c>
    </row>
    <row r="24" spans="1:4">
      <c r="A24" s="5">
        <v>2019</v>
      </c>
      <c r="B24" s="20">
        <v>78850</v>
      </c>
      <c r="C24" s="20">
        <v>178651.49502</v>
      </c>
      <c r="D24" s="249">
        <f t="shared" si="0"/>
        <v>2.2657133166772354</v>
      </c>
    </row>
    <row r="27" spans="1:4">
      <c r="A27" s="5" t="s">
        <v>117</v>
      </c>
      <c r="B27" s="5" t="s">
        <v>599</v>
      </c>
    </row>
    <row r="28" spans="1:4">
      <c r="B28" s="5" t="s">
        <v>600</v>
      </c>
    </row>
    <row r="32" spans="1:4">
      <c r="B32" s="247"/>
      <c r="C32" s="247"/>
    </row>
    <row r="33" spans="2:3">
      <c r="B33" s="249"/>
      <c r="C33" s="28"/>
    </row>
    <row r="34" spans="2:3">
      <c r="B34" s="249"/>
      <c r="C34" s="28"/>
    </row>
    <row r="35" spans="2:3">
      <c r="B35" s="249"/>
      <c r="C35" s="28"/>
    </row>
    <row r="36" spans="2:3">
      <c r="B36" s="249"/>
      <c r="C36" s="28"/>
    </row>
    <row r="37" spans="2:3">
      <c r="B37" s="249"/>
      <c r="C37" s="28"/>
    </row>
    <row r="38" spans="2:3">
      <c r="B38" s="249"/>
      <c r="C38" s="28"/>
    </row>
    <row r="39" spans="2:3">
      <c r="B39" s="249"/>
      <c r="C39" s="28"/>
    </row>
    <row r="40" spans="2:3">
      <c r="B40" s="249"/>
      <c r="C40" s="28"/>
    </row>
    <row r="41" spans="2:3">
      <c r="B41" s="249"/>
      <c r="C41" s="28"/>
    </row>
    <row r="42" spans="2:3">
      <c r="B42" s="249"/>
      <c r="C42" s="28"/>
    </row>
    <row r="43" spans="2:3">
      <c r="B43" s="249"/>
      <c r="C43" s="28"/>
    </row>
    <row r="44" spans="2:3">
      <c r="B44" s="249"/>
      <c r="C44" s="28"/>
    </row>
    <row r="45" spans="2:3">
      <c r="B45" s="249"/>
      <c r="C45" s="28"/>
    </row>
    <row r="46" spans="2:3">
      <c r="B46" s="249"/>
      <c r="C46" s="28"/>
    </row>
    <row r="47" spans="2:3">
      <c r="B47" s="249"/>
      <c r="C47" s="28"/>
    </row>
    <row r="48" spans="2:3">
      <c r="B48" s="249"/>
      <c r="C48" s="28"/>
    </row>
    <row r="49" spans="2:3">
      <c r="B49" s="249"/>
      <c r="C49" s="28"/>
    </row>
    <row r="50" spans="2:3">
      <c r="B50" s="249"/>
      <c r="C50" s="28"/>
    </row>
    <row r="51" spans="2:3">
      <c r="B51" s="249"/>
    </row>
    <row r="52" spans="2:3">
      <c r="B52" s="249"/>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DB97-757C-594F-9E17-7937387DA97F}">
  <sheetPr codeName="Sheet40"/>
  <dimension ref="A1:D45"/>
  <sheetViews>
    <sheetView zoomScale="108" workbookViewId="0"/>
  </sheetViews>
  <sheetFormatPr baseColWidth="10" defaultColWidth="11" defaultRowHeight="16"/>
  <cols>
    <col min="1" max="1" width="18.1640625" style="5" customWidth="1"/>
    <col min="2" max="2" width="16.6640625" style="5" customWidth="1"/>
    <col min="3" max="3" width="19.83203125" style="5" customWidth="1"/>
    <col min="4" max="16384" width="11" style="5"/>
  </cols>
  <sheetData>
    <row r="1" spans="1:4">
      <c r="A1" s="15" t="s">
        <v>659</v>
      </c>
    </row>
    <row r="2" spans="1:4">
      <c r="A2" s="5" t="s">
        <v>228</v>
      </c>
    </row>
    <row r="4" spans="1:4" ht="34">
      <c r="B4" s="137" t="s">
        <v>229</v>
      </c>
      <c r="D4" s="5" t="s">
        <v>591</v>
      </c>
    </row>
    <row r="5" spans="1:4">
      <c r="A5" s="87">
        <v>1986</v>
      </c>
      <c r="B5" s="143">
        <v>72.241666666666646</v>
      </c>
      <c r="D5" s="8">
        <f>100*B5/B$19</f>
        <v>92.548307889398941</v>
      </c>
    </row>
    <row r="6" spans="1:4">
      <c r="A6" s="87">
        <v>1987</v>
      </c>
      <c r="B6" s="143">
        <v>75.733333333333334</v>
      </c>
      <c r="D6" s="8">
        <f t="shared" ref="D6:D38" si="0">100*B6/B$19</f>
        <v>97.021458311092147</v>
      </c>
    </row>
    <row r="7" spans="1:4">
      <c r="A7" s="87">
        <v>1988</v>
      </c>
      <c r="B7" s="143">
        <v>77.916666666666671</v>
      </c>
      <c r="D7" s="8">
        <f t="shared" si="0"/>
        <v>99.818511796733233</v>
      </c>
    </row>
    <row r="8" spans="1:4">
      <c r="A8" s="87">
        <v>1989</v>
      </c>
      <c r="B8" s="143">
        <v>80.624999999999986</v>
      </c>
      <c r="D8" s="8">
        <f t="shared" si="0"/>
        <v>103.28813921212767</v>
      </c>
    </row>
    <row r="9" spans="1:4">
      <c r="A9" s="87">
        <v>1990</v>
      </c>
      <c r="B9" s="143">
        <v>81.783333333333346</v>
      </c>
      <c r="D9" s="8">
        <f t="shared" si="0"/>
        <v>104.77207216825028</v>
      </c>
    </row>
    <row r="10" spans="1:4">
      <c r="A10" s="87">
        <v>1991</v>
      </c>
      <c r="B10" s="143">
        <v>82.500000000000014</v>
      </c>
      <c r="D10" s="8">
        <f t="shared" si="0"/>
        <v>105.69018896124697</v>
      </c>
    </row>
    <row r="11" spans="1:4">
      <c r="A11" s="87">
        <v>1992</v>
      </c>
      <c r="B11" s="143">
        <v>83.308333333333337</v>
      </c>
      <c r="D11" s="8">
        <f t="shared" si="0"/>
        <v>106.72573929753392</v>
      </c>
    </row>
    <row r="12" spans="1:4">
      <c r="A12" s="87">
        <v>1993</v>
      </c>
      <c r="B12" s="143">
        <v>83.25</v>
      </c>
      <c r="D12" s="8">
        <f t="shared" si="0"/>
        <v>106.65100886089465</v>
      </c>
    </row>
    <row r="13" spans="1:4">
      <c r="A13" s="87">
        <v>1994</v>
      </c>
      <c r="B13" s="143">
        <v>83.358333333333348</v>
      </c>
      <c r="D13" s="8">
        <f t="shared" si="0"/>
        <v>106.78979395751045</v>
      </c>
    </row>
    <row r="14" spans="1:4">
      <c r="A14" s="87">
        <v>1995</v>
      </c>
      <c r="B14" s="143">
        <v>83.23333333333332</v>
      </c>
      <c r="D14" s="8">
        <f t="shared" si="0"/>
        <v>106.62965730756912</v>
      </c>
    </row>
    <row r="15" spans="1:4">
      <c r="A15" s="87">
        <v>1996</v>
      </c>
      <c r="B15" s="143">
        <v>82.375</v>
      </c>
      <c r="D15" s="8">
        <f t="shared" si="0"/>
        <v>105.53005231130567</v>
      </c>
    </row>
    <row r="16" spans="1:4">
      <c r="A16" s="87">
        <v>1997</v>
      </c>
      <c r="B16" s="143">
        <v>79.708333333333343</v>
      </c>
      <c r="D16" s="8">
        <f t="shared" si="0"/>
        <v>102.11380377922497</v>
      </c>
    </row>
    <row r="17" spans="1:4">
      <c r="A17" s="87">
        <v>1998</v>
      </c>
      <c r="B17" s="143">
        <v>77.908333333333346</v>
      </c>
      <c r="D17" s="8">
        <f t="shared" si="0"/>
        <v>99.807836020070496</v>
      </c>
    </row>
    <row r="18" spans="1:4">
      <c r="A18" s="87">
        <v>1999</v>
      </c>
      <c r="B18" s="143">
        <v>78.250000000000014</v>
      </c>
      <c r="D18" s="8">
        <f t="shared" si="0"/>
        <v>100.24554286324334</v>
      </c>
    </row>
    <row r="19" spans="1:4">
      <c r="A19" s="87">
        <v>2000</v>
      </c>
      <c r="B19" s="143">
        <v>78.058333333333323</v>
      </c>
      <c r="D19" s="8">
        <f t="shared" si="0"/>
        <v>100</v>
      </c>
    </row>
    <row r="20" spans="1:4">
      <c r="A20" s="87">
        <v>2001</v>
      </c>
      <c r="B20" s="143">
        <v>78.116666666666674</v>
      </c>
      <c r="D20" s="8">
        <f t="shared" si="0"/>
        <v>100.0747304366393</v>
      </c>
    </row>
    <row r="21" spans="1:4">
      <c r="A21" s="87">
        <v>2002</v>
      </c>
      <c r="B21" s="143">
        <v>79.75833333333334</v>
      </c>
      <c r="D21" s="8">
        <f t="shared" si="0"/>
        <v>102.17785843920147</v>
      </c>
    </row>
    <row r="22" spans="1:4">
      <c r="A22" s="87">
        <v>2003</v>
      </c>
      <c r="B22" s="143">
        <v>82.058333333333351</v>
      </c>
      <c r="D22" s="8">
        <f t="shared" si="0"/>
        <v>105.12437279812112</v>
      </c>
    </row>
    <row r="23" spans="1:4">
      <c r="A23" s="87">
        <v>2004</v>
      </c>
      <c r="B23" s="143">
        <v>83.73333333333332</v>
      </c>
      <c r="D23" s="8">
        <f t="shared" si="0"/>
        <v>107.27020390733426</v>
      </c>
    </row>
    <row r="24" spans="1:4">
      <c r="A24" s="87">
        <v>2005</v>
      </c>
      <c r="B24" s="143">
        <v>87.100000000000023</v>
      </c>
      <c r="D24" s="8">
        <f t="shared" si="0"/>
        <v>111.58321767908619</v>
      </c>
    </row>
    <row r="25" spans="1:4">
      <c r="A25" s="87">
        <v>2006</v>
      </c>
      <c r="B25" s="143">
        <v>90.008333333333326</v>
      </c>
      <c r="D25" s="8">
        <f t="shared" si="0"/>
        <v>115.30906373438668</v>
      </c>
    </row>
    <row r="26" spans="1:4">
      <c r="A26" s="87">
        <v>2007</v>
      </c>
      <c r="B26" s="143">
        <v>90.825000000000003</v>
      </c>
      <c r="D26" s="8">
        <f t="shared" si="0"/>
        <v>116.35528984733641</v>
      </c>
    </row>
    <row r="27" spans="1:4">
      <c r="A27" s="87">
        <v>2008</v>
      </c>
      <c r="B27" s="143">
        <v>93.100000000000009</v>
      </c>
      <c r="D27" s="8">
        <f t="shared" si="0"/>
        <v>119.26977687626777</v>
      </c>
    </row>
    <row r="28" spans="1:4">
      <c r="A28" s="87">
        <v>2009</v>
      </c>
      <c r="B28" s="143">
        <v>96.133333333333326</v>
      </c>
      <c r="D28" s="8">
        <f t="shared" si="0"/>
        <v>123.15575958150956</v>
      </c>
    </row>
    <row r="29" spans="1:4">
      <c r="A29" s="87">
        <v>2010</v>
      </c>
      <c r="B29" s="143">
        <v>97.59999999999998</v>
      </c>
      <c r="D29" s="8">
        <f t="shared" si="0"/>
        <v>125.03469627415394</v>
      </c>
    </row>
    <row r="30" spans="1:4">
      <c r="A30" s="87">
        <v>2011</v>
      </c>
      <c r="B30" s="143">
        <v>98.2</v>
      </c>
      <c r="D30" s="8">
        <f t="shared" si="0"/>
        <v>125.80335219387212</v>
      </c>
    </row>
    <row r="31" spans="1:4">
      <c r="A31" s="87">
        <v>2012</v>
      </c>
      <c r="B31" s="143">
        <v>98.083333333333314</v>
      </c>
      <c r="D31" s="8">
        <f t="shared" si="0"/>
        <v>125.65389132059357</v>
      </c>
    </row>
    <row r="32" spans="1:4">
      <c r="A32" s="87">
        <v>2013</v>
      </c>
      <c r="B32" s="143">
        <v>98.358333333333348</v>
      </c>
      <c r="D32" s="8">
        <f t="shared" si="0"/>
        <v>126.00619195046444</v>
      </c>
    </row>
    <row r="33" spans="1:4">
      <c r="A33" s="87">
        <v>2014</v>
      </c>
      <c r="B33" s="143">
        <v>98.258333333333326</v>
      </c>
      <c r="D33" s="8">
        <f t="shared" si="0"/>
        <v>125.87808263051137</v>
      </c>
    </row>
    <row r="34" spans="1:4">
      <c r="A34" s="87">
        <v>2015</v>
      </c>
      <c r="B34" s="143">
        <v>98.133333333333326</v>
      </c>
      <c r="D34" s="8">
        <f t="shared" si="0"/>
        <v>125.71794598057009</v>
      </c>
    </row>
    <row r="35" spans="1:4">
      <c r="A35" s="87">
        <v>2016</v>
      </c>
      <c r="B35" s="143">
        <v>98.84999999999998</v>
      </c>
      <c r="D35" s="8">
        <f t="shared" si="0"/>
        <v>126.63606277356678</v>
      </c>
    </row>
    <row r="36" spans="1:4">
      <c r="A36" s="87">
        <v>2017</v>
      </c>
      <c r="B36" s="143">
        <v>100.375</v>
      </c>
      <c r="D36" s="8">
        <f t="shared" si="0"/>
        <v>128.58972990285045</v>
      </c>
    </row>
    <row r="37" spans="1:4">
      <c r="A37" s="87">
        <v>2018</v>
      </c>
      <c r="B37" s="143">
        <v>101.05833333333335</v>
      </c>
      <c r="D37" s="8">
        <f t="shared" si="0"/>
        <v>129.46514358919617</v>
      </c>
    </row>
    <row r="38" spans="1:4">
      <c r="A38" s="87">
        <v>2019</v>
      </c>
      <c r="B38" s="143">
        <v>101.60833333333333</v>
      </c>
      <c r="D38" s="8">
        <f t="shared" si="0"/>
        <v>130.1697448489378</v>
      </c>
    </row>
    <row r="39" spans="1:4">
      <c r="A39" s="83"/>
    </row>
    <row r="40" spans="1:4">
      <c r="A40" s="6" t="s">
        <v>230</v>
      </c>
      <c r="B40" s="143">
        <f>100*((B38/B5)^(1/33)-1)</f>
        <v>1.0390230854132598</v>
      </c>
      <c r="C40" s="5" t="s">
        <v>231</v>
      </c>
      <c r="D40" s="143">
        <f>100*(B38-B5)/B5</f>
        <v>40.650594070827125</v>
      </c>
    </row>
    <row r="41" spans="1:4">
      <c r="A41" s="6" t="s">
        <v>232</v>
      </c>
      <c r="B41" s="143">
        <f>100*((B19/B5)^(1/14)-1)</f>
        <v>0.55467142530827296</v>
      </c>
      <c r="C41" s="5" t="s">
        <v>233</v>
      </c>
      <c r="D41" s="143">
        <f>100*(B19-B5)/B5</f>
        <v>8.0516783942784791</v>
      </c>
    </row>
    <row r="42" spans="1:4">
      <c r="A42" s="6" t="s">
        <v>11</v>
      </c>
      <c r="B42" s="143">
        <f>100*((B38/B19)^(1/19)-1)</f>
        <v>1.3974060298018953</v>
      </c>
      <c r="C42" s="5" t="s">
        <v>234</v>
      </c>
      <c r="D42" s="143">
        <f>100*(B38-B19)/B19</f>
        <v>30.169744848937775</v>
      </c>
    </row>
    <row r="45" spans="1:4">
      <c r="A45" s="6" t="s">
        <v>660</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46F7-A2D8-684F-A3E1-9A457C76D5DA}">
  <sheetPr codeName="Sheet41"/>
  <dimension ref="A1:Q77"/>
  <sheetViews>
    <sheetView zoomScale="91" zoomScaleNormal="127" workbookViewId="0"/>
  </sheetViews>
  <sheetFormatPr baseColWidth="10" defaultColWidth="11" defaultRowHeight="16"/>
  <cols>
    <col min="1" max="1" width="11" style="73"/>
    <col min="2" max="4" width="14.83203125" style="73" customWidth="1"/>
    <col min="5" max="5" width="16" style="73" customWidth="1"/>
    <col min="6" max="6" width="18.83203125" style="73" customWidth="1"/>
    <col min="7" max="8" width="14.83203125" style="73" customWidth="1"/>
    <col min="9" max="11" width="16" style="73" customWidth="1"/>
    <col min="12" max="14" width="14.83203125" style="73" customWidth="1"/>
    <col min="15" max="15" width="16.5" style="73" customWidth="1"/>
    <col min="16" max="16" width="16.33203125" style="73" customWidth="1"/>
    <col min="17" max="17" width="17" style="73" customWidth="1"/>
    <col min="18" max="16384" width="11" style="73"/>
  </cols>
  <sheetData>
    <row r="1" spans="1:17">
      <c r="A1" s="314" t="s">
        <v>661</v>
      </c>
      <c r="B1" s="284"/>
      <c r="C1" s="284"/>
      <c r="D1" s="284"/>
      <c r="E1" s="284"/>
      <c r="F1" s="284"/>
      <c r="G1" s="284"/>
      <c r="H1" s="284"/>
      <c r="I1" s="284"/>
      <c r="J1" s="284"/>
      <c r="K1" s="284"/>
      <c r="L1" s="284"/>
      <c r="M1" s="284"/>
      <c r="N1" s="284"/>
      <c r="O1" s="284"/>
      <c r="P1" s="284"/>
      <c r="Q1" s="284"/>
    </row>
    <row r="2" spans="1:17">
      <c r="A2" s="284"/>
      <c r="B2" s="284"/>
      <c r="C2" s="284"/>
      <c r="D2" s="284"/>
      <c r="E2" s="284"/>
      <c r="F2" s="284"/>
      <c r="G2" s="284"/>
      <c r="H2" s="284"/>
      <c r="I2" s="284"/>
      <c r="J2" s="284"/>
      <c r="K2" s="284"/>
      <c r="L2" s="284" t="s">
        <v>235</v>
      </c>
      <c r="M2" s="284"/>
      <c r="N2" s="284"/>
      <c r="O2" s="284"/>
      <c r="P2" s="284"/>
      <c r="Q2" s="284"/>
    </row>
    <row r="3" spans="1:17" ht="68">
      <c r="A3" s="284"/>
      <c r="B3" s="282" t="s">
        <v>236</v>
      </c>
      <c r="C3" s="282" t="s">
        <v>237</v>
      </c>
      <c r="D3" s="282" t="s">
        <v>238</v>
      </c>
      <c r="E3" s="282" t="s">
        <v>108</v>
      </c>
      <c r="F3" s="282" t="s">
        <v>239</v>
      </c>
      <c r="G3" s="282" t="s">
        <v>240</v>
      </c>
      <c r="H3" s="282" t="s">
        <v>126</v>
      </c>
      <c r="I3" s="282" t="s">
        <v>127</v>
      </c>
      <c r="J3" s="282" t="s">
        <v>128</v>
      </c>
      <c r="K3" s="282" t="s">
        <v>594</v>
      </c>
      <c r="L3" s="282" t="s">
        <v>241</v>
      </c>
      <c r="M3" s="282" t="s">
        <v>242</v>
      </c>
      <c r="N3" s="282" t="s">
        <v>126</v>
      </c>
      <c r="O3" s="282" t="s">
        <v>127</v>
      </c>
      <c r="P3" s="282" t="s">
        <v>128</v>
      </c>
      <c r="Q3" s="282" t="s">
        <v>594</v>
      </c>
    </row>
    <row r="4" spans="1:17" ht="17">
      <c r="A4" s="284"/>
      <c r="B4" s="282" t="s">
        <v>109</v>
      </c>
      <c r="C4" s="282" t="s">
        <v>110</v>
      </c>
      <c r="D4" s="315" t="s">
        <v>111</v>
      </c>
      <c r="E4" s="315" t="s">
        <v>112</v>
      </c>
      <c r="F4" s="315" t="s">
        <v>113</v>
      </c>
      <c r="G4" s="315" t="s">
        <v>114</v>
      </c>
      <c r="H4" s="315" t="s">
        <v>129</v>
      </c>
      <c r="I4" s="315" t="s">
        <v>130</v>
      </c>
      <c r="J4" s="315" t="s">
        <v>243</v>
      </c>
      <c r="K4" s="315" t="s">
        <v>261</v>
      </c>
      <c r="L4" s="315"/>
      <c r="M4" s="315"/>
      <c r="N4" s="315"/>
      <c r="O4" s="315"/>
      <c r="P4" s="315"/>
      <c r="Q4" s="284"/>
    </row>
    <row r="5" spans="1:17">
      <c r="A5" s="284">
        <v>1976</v>
      </c>
      <c r="B5" s="203">
        <v>50600</v>
      </c>
      <c r="C5" s="203">
        <v>47200</v>
      </c>
      <c r="D5" s="315" t="s">
        <v>87</v>
      </c>
      <c r="E5" s="315" t="s">
        <v>87</v>
      </c>
      <c r="F5" s="315" t="s">
        <v>87</v>
      </c>
      <c r="G5" s="315" t="s">
        <v>87</v>
      </c>
      <c r="H5" s="315" t="s">
        <v>87</v>
      </c>
      <c r="I5" s="315" t="s">
        <v>87</v>
      </c>
      <c r="J5" s="315" t="s">
        <v>87</v>
      </c>
      <c r="K5" s="284"/>
      <c r="L5" s="315" t="s">
        <v>87</v>
      </c>
      <c r="M5" s="315" t="s">
        <v>87</v>
      </c>
      <c r="N5" s="315" t="s">
        <v>87</v>
      </c>
      <c r="O5" s="315" t="s">
        <v>87</v>
      </c>
      <c r="P5" s="315" t="s">
        <v>87</v>
      </c>
      <c r="Q5" s="284"/>
    </row>
    <row r="6" spans="1:17">
      <c r="A6" s="284">
        <v>1977</v>
      </c>
      <c r="B6" s="203">
        <v>52700</v>
      </c>
      <c r="C6" s="203">
        <v>47400</v>
      </c>
      <c r="D6" s="315" t="s">
        <v>87</v>
      </c>
      <c r="E6" s="315" t="s">
        <v>87</v>
      </c>
      <c r="F6" s="315" t="s">
        <v>87</v>
      </c>
      <c r="G6" s="315" t="s">
        <v>87</v>
      </c>
      <c r="H6" s="315" t="s">
        <v>87</v>
      </c>
      <c r="I6" s="315" t="s">
        <v>87</v>
      </c>
      <c r="J6" s="315" t="s">
        <v>87</v>
      </c>
      <c r="K6" s="284"/>
      <c r="L6" s="315" t="s">
        <v>87</v>
      </c>
      <c r="M6" s="315" t="s">
        <v>87</v>
      </c>
      <c r="N6" s="315" t="s">
        <v>87</v>
      </c>
      <c r="O6" s="315" t="s">
        <v>87</v>
      </c>
      <c r="P6" s="315" t="s">
        <v>87</v>
      </c>
      <c r="Q6" s="284"/>
    </row>
    <row r="7" spans="1:17">
      <c r="A7" s="284">
        <v>1978</v>
      </c>
      <c r="B7" s="203">
        <v>52300</v>
      </c>
      <c r="C7" s="203">
        <v>50400</v>
      </c>
      <c r="D7" s="315" t="s">
        <v>87</v>
      </c>
      <c r="E7" s="315" t="s">
        <v>87</v>
      </c>
      <c r="F7" s="315" t="s">
        <v>87</v>
      </c>
      <c r="G7" s="315" t="s">
        <v>87</v>
      </c>
      <c r="H7" s="315" t="s">
        <v>87</v>
      </c>
      <c r="I7" s="315" t="s">
        <v>87</v>
      </c>
      <c r="J7" s="315" t="s">
        <v>87</v>
      </c>
      <c r="K7" s="284"/>
      <c r="L7" s="315" t="s">
        <v>87</v>
      </c>
      <c r="M7" s="315" t="s">
        <v>87</v>
      </c>
      <c r="N7" s="315" t="s">
        <v>87</v>
      </c>
      <c r="O7" s="315" t="s">
        <v>87</v>
      </c>
      <c r="P7" s="315" t="s">
        <v>87</v>
      </c>
      <c r="Q7" s="284"/>
    </row>
    <row r="8" spans="1:17">
      <c r="A8" s="284">
        <v>1979</v>
      </c>
      <c r="B8" s="203">
        <v>52400</v>
      </c>
      <c r="C8" s="203">
        <v>48700</v>
      </c>
      <c r="D8" s="316">
        <v>41.1</v>
      </c>
      <c r="E8" s="316">
        <f>100*(D8/$D$48)</f>
        <v>30.154071900220103</v>
      </c>
      <c r="F8" s="316">
        <f>B8*(E8/100)</f>
        <v>15800.733675715333</v>
      </c>
      <c r="G8" s="316">
        <f>C8*(E8/100)</f>
        <v>14685.033015407191</v>
      </c>
      <c r="H8" s="316" t="s">
        <v>51</v>
      </c>
      <c r="I8" s="316">
        <v>50.4</v>
      </c>
      <c r="J8" s="316">
        <v>45.2</v>
      </c>
      <c r="K8" s="284"/>
      <c r="L8" s="316">
        <f>100*(F8/$F$29)</f>
        <v>42.408346034334066</v>
      </c>
      <c r="M8" s="316">
        <f t="shared" ref="M8:M48" si="0">100*(G8/$G$29)</f>
        <v>45.954155359332184</v>
      </c>
      <c r="N8" s="316" t="s">
        <v>51</v>
      </c>
      <c r="O8" s="316">
        <f t="shared" ref="O8:O48" si="1">100*(I8/$I$29)</f>
        <v>51.692307692307693</v>
      </c>
      <c r="P8" s="316">
        <f>100*(J8/$J$29)</f>
        <v>46.502057613168724</v>
      </c>
      <c r="Q8" s="284"/>
    </row>
    <row r="9" spans="1:17">
      <c r="A9" s="284">
        <v>1980</v>
      </c>
      <c r="B9" s="203">
        <v>51500</v>
      </c>
      <c r="C9" s="203">
        <v>47600</v>
      </c>
      <c r="D9" s="316">
        <v>45.3</v>
      </c>
      <c r="E9" s="316">
        <f t="shared" ref="E9:E48" si="2">100*(D9/$D$48)</f>
        <v>33.235509904622148</v>
      </c>
      <c r="F9" s="316">
        <f t="shared" ref="F9:F48" si="3">B9*(E9/100)</f>
        <v>17116.287600880405</v>
      </c>
      <c r="G9" s="316">
        <f t="shared" ref="G9:G48" si="4">C9*(E9/100)</f>
        <v>15820.102714600142</v>
      </c>
      <c r="H9" s="316" t="s">
        <v>51</v>
      </c>
      <c r="I9" s="316">
        <v>52.7</v>
      </c>
      <c r="J9" s="316">
        <v>48.9</v>
      </c>
      <c r="K9" s="317">
        <v>43418.272256999997</v>
      </c>
      <c r="L9" s="316">
        <f t="shared" ref="L9:L48" si="5">100*(F9/$F$29)</f>
        <v>45.939224234690862</v>
      </c>
      <c r="M9" s="316">
        <f t="shared" si="0"/>
        <v>49.506150730786715</v>
      </c>
      <c r="N9" s="316" t="s">
        <v>51</v>
      </c>
      <c r="O9" s="316">
        <f t="shared" si="1"/>
        <v>54.051282051282058</v>
      </c>
      <c r="P9" s="316">
        <f t="shared" ref="P9:P48" si="6">100*(J9/$J$29)</f>
        <v>50.308641975308646</v>
      </c>
      <c r="Q9" s="318">
        <f>100*K9/$K$29</f>
        <v>47.387658516422633</v>
      </c>
    </row>
    <row r="10" spans="1:17">
      <c r="A10" s="284">
        <v>1981</v>
      </c>
      <c r="B10" s="203">
        <v>51400</v>
      </c>
      <c r="C10" s="203">
        <v>45800</v>
      </c>
      <c r="D10" s="316">
        <v>50.9</v>
      </c>
      <c r="E10" s="316">
        <f t="shared" si="2"/>
        <v>37.344093910491559</v>
      </c>
      <c r="F10" s="316">
        <f t="shared" si="3"/>
        <v>19194.86426999266</v>
      </c>
      <c r="G10" s="316">
        <f t="shared" si="4"/>
        <v>17103.595011005134</v>
      </c>
      <c r="H10" s="316" t="s">
        <v>51</v>
      </c>
      <c r="I10" s="316">
        <v>56.3</v>
      </c>
      <c r="J10" s="316">
        <v>54.3</v>
      </c>
      <c r="K10" s="317">
        <v>46381.967303999998</v>
      </c>
      <c r="L10" s="316">
        <f t="shared" si="5"/>
        <v>51.518015729549425</v>
      </c>
      <c r="M10" s="316">
        <f t="shared" si="0"/>
        <v>53.522607781282872</v>
      </c>
      <c r="N10" s="316" t="s">
        <v>51</v>
      </c>
      <c r="O10" s="316">
        <f t="shared" si="1"/>
        <v>57.743589743589737</v>
      </c>
      <c r="P10" s="316">
        <f t="shared" si="6"/>
        <v>55.864197530864189</v>
      </c>
      <c r="Q10" s="318">
        <f t="shared" ref="Q10:Q47" si="7">100*K10/$K$29</f>
        <v>50.622300558435413</v>
      </c>
    </row>
    <row r="11" spans="1:17">
      <c r="A11" s="284">
        <v>1982</v>
      </c>
      <c r="B11" s="203">
        <v>50300</v>
      </c>
      <c r="C11" s="203">
        <v>44700</v>
      </c>
      <c r="D11" s="316">
        <v>55.6</v>
      </c>
      <c r="E11" s="316">
        <f t="shared" si="2"/>
        <v>40.792369772560527</v>
      </c>
      <c r="F11" s="316">
        <f t="shared" si="3"/>
        <v>20518.561995597945</v>
      </c>
      <c r="G11" s="316">
        <f t="shared" si="4"/>
        <v>18234.189288334557</v>
      </c>
      <c r="H11" s="316" t="s">
        <v>51</v>
      </c>
      <c r="I11" s="316">
        <v>61</v>
      </c>
      <c r="J11" s="316">
        <v>60.5</v>
      </c>
      <c r="K11" s="317">
        <v>43696.760858000001</v>
      </c>
      <c r="L11" s="316">
        <f t="shared" si="5"/>
        <v>55.070751466030252</v>
      </c>
      <c r="M11" s="316">
        <f t="shared" si="0"/>
        <v>57.060598129296238</v>
      </c>
      <c r="N11" s="316" t="s">
        <v>51</v>
      </c>
      <c r="O11" s="316">
        <f t="shared" si="1"/>
        <v>62.564102564102562</v>
      </c>
      <c r="P11" s="316">
        <f t="shared" si="6"/>
        <v>62.242798353909464</v>
      </c>
      <c r="Q11" s="318">
        <f t="shared" si="7"/>
        <v>47.691607108545092</v>
      </c>
    </row>
    <row r="12" spans="1:17">
      <c r="A12" s="284">
        <v>1983</v>
      </c>
      <c r="B12" s="203">
        <v>47800</v>
      </c>
      <c r="C12" s="203">
        <v>41300</v>
      </c>
      <c r="D12" s="316">
        <v>59.3</v>
      </c>
      <c r="E12" s="316">
        <f t="shared" si="2"/>
        <v>43.50696991929567</v>
      </c>
      <c r="F12" s="316">
        <f t="shared" si="3"/>
        <v>20796.331621423331</v>
      </c>
      <c r="G12" s="316">
        <f t="shared" si="4"/>
        <v>17968.378576669111</v>
      </c>
      <c r="H12" s="316" t="s">
        <v>51</v>
      </c>
      <c r="I12" s="316">
        <v>65.599999999999994</v>
      </c>
      <c r="J12" s="316">
        <v>64.8</v>
      </c>
      <c r="K12" s="317">
        <v>47133.929725000002</v>
      </c>
      <c r="L12" s="316">
        <f t="shared" si="5"/>
        <v>55.816270671124833</v>
      </c>
      <c r="M12" s="316">
        <f t="shared" si="0"/>
        <v>56.228791573108531</v>
      </c>
      <c r="N12" s="316" t="s">
        <v>51</v>
      </c>
      <c r="O12" s="316">
        <f t="shared" si="1"/>
        <v>67.282051282051285</v>
      </c>
      <c r="P12" s="316">
        <f t="shared" si="6"/>
        <v>66.666666666666657</v>
      </c>
      <c r="Q12" s="318">
        <f t="shared" si="7"/>
        <v>51.44300890474198</v>
      </c>
    </row>
    <row r="13" spans="1:17">
      <c r="A13" s="284">
        <v>1984</v>
      </c>
      <c r="B13" s="203">
        <v>51300</v>
      </c>
      <c r="C13" s="203">
        <v>45800</v>
      </c>
      <c r="D13" s="316">
        <v>62.3</v>
      </c>
      <c r="E13" s="316">
        <f t="shared" si="2"/>
        <v>45.707997065297135</v>
      </c>
      <c r="F13" s="316">
        <f t="shared" si="3"/>
        <v>23448.202494497429</v>
      </c>
      <c r="G13" s="316">
        <f t="shared" si="4"/>
        <v>20934.262655906088</v>
      </c>
      <c r="H13" s="316" t="s">
        <v>51</v>
      </c>
      <c r="I13" s="316">
        <v>69.3</v>
      </c>
      <c r="J13" s="316">
        <v>69</v>
      </c>
      <c r="K13" s="317">
        <v>53353.610471</v>
      </c>
      <c r="L13" s="316">
        <f t="shared" si="5"/>
        <v>62.933753943217674</v>
      </c>
      <c r="M13" s="316">
        <f t="shared" si="0"/>
        <v>65.509989484752907</v>
      </c>
      <c r="N13" s="316" t="s">
        <v>51</v>
      </c>
      <c r="O13" s="316">
        <f t="shared" si="1"/>
        <v>71.076923076923066</v>
      </c>
      <c r="P13" s="316">
        <f t="shared" si="6"/>
        <v>70.987654320987644</v>
      </c>
      <c r="Q13" s="318">
        <f t="shared" si="7"/>
        <v>58.23130544330585</v>
      </c>
    </row>
    <row r="14" spans="1:17">
      <c r="A14" s="284">
        <v>1985</v>
      </c>
      <c r="B14" s="203">
        <v>51900</v>
      </c>
      <c r="C14" s="203">
        <v>46000</v>
      </c>
      <c r="D14" s="316">
        <v>65.2</v>
      </c>
      <c r="E14" s="316">
        <f t="shared" si="2"/>
        <v>47.835656639765226</v>
      </c>
      <c r="F14" s="316">
        <f t="shared" si="3"/>
        <v>24826.705796038153</v>
      </c>
      <c r="G14" s="316">
        <f t="shared" si="4"/>
        <v>22004.402054292004</v>
      </c>
      <c r="H14" s="316" t="s">
        <v>51</v>
      </c>
      <c r="I14" s="316">
        <v>72.900000000000006</v>
      </c>
      <c r="J14" s="316">
        <v>73.3</v>
      </c>
      <c r="K14" s="317">
        <v>57265.908028999998</v>
      </c>
      <c r="L14" s="316">
        <f t="shared" si="5"/>
        <v>66.633584990370892</v>
      </c>
      <c r="M14" s="316">
        <f t="shared" si="0"/>
        <v>68.858797221036028</v>
      </c>
      <c r="N14" s="316" t="s">
        <v>51</v>
      </c>
      <c r="O14" s="316">
        <f t="shared" si="1"/>
        <v>74.769230769230774</v>
      </c>
      <c r="P14" s="316">
        <f t="shared" si="6"/>
        <v>75.411522633744852</v>
      </c>
      <c r="Q14" s="318">
        <f t="shared" si="7"/>
        <v>62.501273156340496</v>
      </c>
    </row>
    <row r="15" spans="1:17">
      <c r="A15" s="284">
        <v>1986</v>
      </c>
      <c r="B15" s="203">
        <v>51200</v>
      </c>
      <c r="C15" s="203">
        <v>47300</v>
      </c>
      <c r="D15" s="316">
        <v>67.5</v>
      </c>
      <c r="E15" s="316">
        <f t="shared" si="2"/>
        <v>49.523110785033012</v>
      </c>
      <c r="F15" s="316">
        <f t="shared" si="3"/>
        <v>25355.832721936902</v>
      </c>
      <c r="G15" s="316">
        <f t="shared" si="4"/>
        <v>23424.431401320617</v>
      </c>
      <c r="H15" s="316">
        <v>72.241666666666646</v>
      </c>
      <c r="I15" s="316">
        <v>76.2</v>
      </c>
      <c r="J15" s="316">
        <v>75</v>
      </c>
      <c r="K15" s="317">
        <v>63963.845981999999</v>
      </c>
      <c r="L15" s="316">
        <f t="shared" si="5"/>
        <v>68.053734094211904</v>
      </c>
      <c r="M15" s="316">
        <f t="shared" si="0"/>
        <v>73.302522281762734</v>
      </c>
      <c r="N15" s="316">
        <f>100*(H15/$H$29)</f>
        <v>92.548307889398941</v>
      </c>
      <c r="O15" s="316">
        <f t="shared" si="1"/>
        <v>78.153846153846146</v>
      </c>
      <c r="P15" s="316">
        <f t="shared" si="6"/>
        <v>77.160493827160494</v>
      </c>
      <c r="Q15" s="318">
        <f t="shared" si="7"/>
        <v>69.811550143002009</v>
      </c>
    </row>
    <row r="16" spans="1:17">
      <c r="A16" s="284">
        <v>1987</v>
      </c>
      <c r="B16" s="203">
        <v>49900</v>
      </c>
      <c r="C16" s="203">
        <v>44300</v>
      </c>
      <c r="D16" s="316">
        <v>69.400000000000006</v>
      </c>
      <c r="E16" s="316">
        <f t="shared" si="2"/>
        <v>50.917094644167285</v>
      </c>
      <c r="F16" s="316">
        <f t="shared" si="3"/>
        <v>25407.630227439473</v>
      </c>
      <c r="G16" s="316">
        <f t="shared" si="4"/>
        <v>22556.272927366106</v>
      </c>
      <c r="H16" s="316">
        <v>75.733333333333334</v>
      </c>
      <c r="I16" s="316">
        <v>78.400000000000006</v>
      </c>
      <c r="J16" s="316">
        <v>77.5</v>
      </c>
      <c r="K16" s="317">
        <v>67631.814450000005</v>
      </c>
      <c r="L16" s="316">
        <f t="shared" si="5"/>
        <v>68.19275590055021</v>
      </c>
      <c r="M16" s="316">
        <f t="shared" si="0"/>
        <v>70.585777324719118</v>
      </c>
      <c r="N16" s="316">
        <f t="shared" ref="N16:N48" si="8">100*(H16/$H$29)</f>
        <v>97.021458311092147</v>
      </c>
      <c r="O16" s="316">
        <f t="shared" si="1"/>
        <v>80.410256410256423</v>
      </c>
      <c r="P16" s="316">
        <f t="shared" si="6"/>
        <v>79.732510288065839</v>
      </c>
      <c r="Q16" s="318">
        <f t="shared" si="7"/>
        <v>73.81485170649448</v>
      </c>
    </row>
    <row r="17" spans="1:17">
      <c r="A17" s="284">
        <v>1988</v>
      </c>
      <c r="B17" s="203">
        <v>51500</v>
      </c>
      <c r="C17" s="203">
        <v>46300</v>
      </c>
      <c r="D17" s="316">
        <v>71.8</v>
      </c>
      <c r="E17" s="316">
        <f t="shared" si="2"/>
        <v>52.677916360968446</v>
      </c>
      <c r="F17" s="316">
        <f t="shared" si="3"/>
        <v>27129.126925898749</v>
      </c>
      <c r="G17" s="316">
        <f t="shared" si="4"/>
        <v>24389.87527512839</v>
      </c>
      <c r="H17" s="316">
        <v>77.916666666666671</v>
      </c>
      <c r="I17" s="316">
        <v>80.5</v>
      </c>
      <c r="J17" s="316">
        <v>80.8</v>
      </c>
      <c r="K17" s="317">
        <v>72100.624786999993</v>
      </c>
      <c r="L17" s="316">
        <f t="shared" si="5"/>
        <v>72.813163356529898</v>
      </c>
      <c r="M17" s="316">
        <f t="shared" si="0"/>
        <v>76.32370430574116</v>
      </c>
      <c r="N17" s="316">
        <f t="shared" si="8"/>
        <v>99.818511796733233</v>
      </c>
      <c r="O17" s="316">
        <f t="shared" si="1"/>
        <v>82.564102564102555</v>
      </c>
      <c r="P17" s="316">
        <f t="shared" si="6"/>
        <v>83.127572016460903</v>
      </c>
      <c r="Q17" s="318">
        <f t="shared" si="7"/>
        <v>78.692209722284105</v>
      </c>
    </row>
    <row r="18" spans="1:17">
      <c r="A18" s="284">
        <v>1989</v>
      </c>
      <c r="B18" s="203">
        <v>52700</v>
      </c>
      <c r="C18" s="203">
        <v>47100</v>
      </c>
      <c r="D18" s="316">
        <v>75.2</v>
      </c>
      <c r="E18" s="316">
        <f t="shared" si="2"/>
        <v>55.172413793103445</v>
      </c>
      <c r="F18" s="316">
        <f t="shared" si="3"/>
        <v>29075.862068965518</v>
      </c>
      <c r="G18" s="316">
        <f t="shared" si="4"/>
        <v>25986.206896551725</v>
      </c>
      <c r="H18" s="316">
        <v>80.624999999999986</v>
      </c>
      <c r="I18" s="316">
        <v>83.3</v>
      </c>
      <c r="J18" s="316">
        <v>85</v>
      </c>
      <c r="K18" s="317">
        <v>75848.473926000006</v>
      </c>
      <c r="L18" s="316">
        <f t="shared" si="5"/>
        <v>78.03809906386735</v>
      </c>
      <c r="M18" s="316">
        <f t="shared" si="0"/>
        <v>81.319135453831663</v>
      </c>
      <c r="N18" s="316">
        <f t="shared" si="8"/>
        <v>103.28813921212767</v>
      </c>
      <c r="O18" s="316">
        <f t="shared" si="1"/>
        <v>85.435897435897431</v>
      </c>
      <c r="P18" s="316">
        <f t="shared" si="6"/>
        <v>87.44855967078189</v>
      </c>
      <c r="Q18" s="318">
        <f t="shared" si="7"/>
        <v>82.782694809271135</v>
      </c>
    </row>
    <row r="19" spans="1:17">
      <c r="A19" s="284">
        <v>1990</v>
      </c>
      <c r="B19" s="203">
        <v>51100</v>
      </c>
      <c r="C19" s="203">
        <v>45800</v>
      </c>
      <c r="D19" s="316">
        <v>78.7</v>
      </c>
      <c r="E19" s="316">
        <f t="shared" si="2"/>
        <v>57.740278796771825</v>
      </c>
      <c r="F19" s="316">
        <f t="shared" si="3"/>
        <v>29505.282465150405</v>
      </c>
      <c r="G19" s="316">
        <f t="shared" si="4"/>
        <v>26445.047688921495</v>
      </c>
      <c r="H19" s="316">
        <v>81.783333333333346</v>
      </c>
      <c r="I19" s="316">
        <v>85.5</v>
      </c>
      <c r="J19" s="316">
        <v>89.6</v>
      </c>
      <c r="K19" s="317">
        <v>77751.957479000004</v>
      </c>
      <c r="L19" s="316">
        <f t="shared" si="5"/>
        <v>79.190641036244159</v>
      </c>
      <c r="M19" s="316">
        <f t="shared" si="0"/>
        <v>82.754994742376468</v>
      </c>
      <c r="N19" s="316">
        <f t="shared" si="8"/>
        <v>104.77207216825026</v>
      </c>
      <c r="O19" s="316">
        <f t="shared" si="1"/>
        <v>87.692307692307693</v>
      </c>
      <c r="P19" s="316">
        <f t="shared" si="6"/>
        <v>92.181069958847729</v>
      </c>
      <c r="Q19" s="318">
        <f t="shared" si="7"/>
        <v>84.860198678316692</v>
      </c>
    </row>
    <row r="20" spans="1:17">
      <c r="A20" s="284">
        <v>1991</v>
      </c>
      <c r="B20" s="203">
        <v>49700</v>
      </c>
      <c r="C20" s="203">
        <v>43400</v>
      </c>
      <c r="D20" s="316">
        <v>83.8</v>
      </c>
      <c r="E20" s="316">
        <f t="shared" si="2"/>
        <v>61.482024944974313</v>
      </c>
      <c r="F20" s="316">
        <f t="shared" si="3"/>
        <v>30556.566397652234</v>
      </c>
      <c r="G20" s="316">
        <f t="shared" si="4"/>
        <v>26683.198826118853</v>
      </c>
      <c r="H20" s="316">
        <v>82.500000000000014</v>
      </c>
      <c r="I20" s="316">
        <v>88.3</v>
      </c>
      <c r="J20" s="316">
        <v>94.3</v>
      </c>
      <c r="K20" s="317">
        <v>80896.739491</v>
      </c>
      <c r="L20" s="316">
        <f t="shared" si="5"/>
        <v>82.012232343639866</v>
      </c>
      <c r="M20" s="316">
        <f t="shared" si="0"/>
        <v>83.500245661886609</v>
      </c>
      <c r="N20" s="316">
        <f t="shared" si="8"/>
        <v>105.69018896124696</v>
      </c>
      <c r="O20" s="316">
        <f t="shared" si="1"/>
        <v>90.564102564102569</v>
      </c>
      <c r="P20" s="316">
        <f t="shared" si="6"/>
        <v>97.016460905349788</v>
      </c>
      <c r="Q20" s="318">
        <f t="shared" si="7"/>
        <v>88.292483021902427</v>
      </c>
    </row>
    <row r="21" spans="1:17">
      <c r="A21" s="284">
        <v>1992</v>
      </c>
      <c r="B21" s="203">
        <v>49900</v>
      </c>
      <c r="C21" s="203">
        <v>44000</v>
      </c>
      <c r="D21" s="316">
        <v>84.3</v>
      </c>
      <c r="E21" s="316">
        <f t="shared" si="2"/>
        <v>61.848862802641221</v>
      </c>
      <c r="F21" s="316">
        <f t="shared" si="3"/>
        <v>30862.582538517971</v>
      </c>
      <c r="G21" s="316">
        <f t="shared" si="4"/>
        <v>27213.499633162141</v>
      </c>
      <c r="H21" s="316">
        <v>83.308333333333337</v>
      </c>
      <c r="I21" s="316">
        <v>90.2</v>
      </c>
      <c r="J21" s="316">
        <v>94.7</v>
      </c>
      <c r="K21" s="317">
        <v>82522.126589000007</v>
      </c>
      <c r="L21" s="316">
        <f t="shared" si="5"/>
        <v>82.833563723578976</v>
      </c>
      <c r="M21" s="316">
        <f t="shared" si="0"/>
        <v>85.159726144394114</v>
      </c>
      <c r="N21" s="316">
        <f t="shared" si="8"/>
        <v>106.72573929753391</v>
      </c>
      <c r="O21" s="316">
        <f t="shared" si="1"/>
        <v>92.512820512820511</v>
      </c>
      <c r="P21" s="316">
        <f t="shared" si="6"/>
        <v>97.427983539094654</v>
      </c>
      <c r="Q21" s="318">
        <f t="shared" si="7"/>
        <v>90.066466295605963</v>
      </c>
    </row>
    <row r="22" spans="1:17">
      <c r="A22" s="284">
        <v>1993</v>
      </c>
      <c r="B22" s="203">
        <v>49300</v>
      </c>
      <c r="C22" s="203">
        <v>44000</v>
      </c>
      <c r="D22" s="316">
        <v>85.4</v>
      </c>
      <c r="E22" s="316">
        <f t="shared" si="2"/>
        <v>62.655906089508441</v>
      </c>
      <c r="F22" s="316">
        <f t="shared" si="3"/>
        <v>30889.361702127662</v>
      </c>
      <c r="G22" s="316">
        <f t="shared" si="4"/>
        <v>27568.598679383715</v>
      </c>
      <c r="H22" s="316">
        <v>83.25</v>
      </c>
      <c r="I22" s="316">
        <v>91.5</v>
      </c>
      <c r="J22" s="316">
        <v>93.5</v>
      </c>
      <c r="K22" s="317">
        <v>84950.692219000004</v>
      </c>
      <c r="L22" s="316">
        <f t="shared" si="5"/>
        <v>82.90543760362641</v>
      </c>
      <c r="M22" s="316">
        <f t="shared" si="0"/>
        <v>86.270944397761056</v>
      </c>
      <c r="N22" s="316">
        <f t="shared" si="8"/>
        <v>106.65100886089465</v>
      </c>
      <c r="O22" s="316">
        <f t="shared" si="1"/>
        <v>93.84615384615384</v>
      </c>
      <c r="P22" s="316">
        <f t="shared" si="6"/>
        <v>96.193415637860085</v>
      </c>
      <c r="Q22" s="318">
        <f t="shared" si="7"/>
        <v>92.717056307063785</v>
      </c>
    </row>
    <row r="23" spans="1:17">
      <c r="A23" s="284">
        <v>1994</v>
      </c>
      <c r="B23" s="203">
        <v>48800</v>
      </c>
      <c r="C23" s="203">
        <v>44300</v>
      </c>
      <c r="D23" s="316">
        <v>85.9</v>
      </c>
      <c r="E23" s="316">
        <f t="shared" si="2"/>
        <v>63.02274394717535</v>
      </c>
      <c r="F23" s="316">
        <f t="shared" si="3"/>
        <v>30755.09904622157</v>
      </c>
      <c r="G23" s="316">
        <f t="shared" si="4"/>
        <v>27919.075568598681</v>
      </c>
      <c r="H23" s="316">
        <v>83.358333333333348</v>
      </c>
      <c r="I23" s="316">
        <v>92.7</v>
      </c>
      <c r="J23" s="316">
        <v>92.3</v>
      </c>
      <c r="K23" s="317">
        <v>84148.759208999996</v>
      </c>
      <c r="L23" s="316">
        <f t="shared" si="5"/>
        <v>82.545083629690041</v>
      </c>
      <c r="M23" s="316">
        <f t="shared" si="0"/>
        <v>87.367698446590381</v>
      </c>
      <c r="N23" s="316">
        <f t="shared" si="8"/>
        <v>106.78979395751045</v>
      </c>
      <c r="O23" s="316">
        <f t="shared" si="1"/>
        <v>95.07692307692308</v>
      </c>
      <c r="P23" s="316">
        <f t="shared" si="6"/>
        <v>94.958847736625501</v>
      </c>
      <c r="Q23" s="318">
        <f t="shared" si="7"/>
        <v>91.841808959449665</v>
      </c>
    </row>
    <row r="24" spans="1:17">
      <c r="A24" s="284">
        <v>1995</v>
      </c>
      <c r="B24" s="203">
        <v>49100</v>
      </c>
      <c r="C24" s="203">
        <v>43300</v>
      </c>
      <c r="D24" s="316">
        <v>87.2</v>
      </c>
      <c r="E24" s="316">
        <f t="shared" si="2"/>
        <v>63.976522377109312</v>
      </c>
      <c r="F24" s="316">
        <f t="shared" si="3"/>
        <v>31412.472487160674</v>
      </c>
      <c r="G24" s="316">
        <f t="shared" si="4"/>
        <v>27701.834189288333</v>
      </c>
      <c r="H24" s="316">
        <v>83.23333333333332</v>
      </c>
      <c r="I24" s="316">
        <v>93.9</v>
      </c>
      <c r="J24" s="316">
        <v>94.8</v>
      </c>
      <c r="K24" s="317">
        <v>83993.126430000004</v>
      </c>
      <c r="L24" s="316">
        <f t="shared" si="5"/>
        <v>84.309439698799238</v>
      </c>
      <c r="M24" s="316">
        <f t="shared" si="0"/>
        <v>86.68788083332187</v>
      </c>
      <c r="N24" s="316">
        <f t="shared" si="8"/>
        <v>106.62965730756912</v>
      </c>
      <c r="O24" s="316">
        <f t="shared" si="1"/>
        <v>96.307692307692321</v>
      </c>
      <c r="P24" s="316">
        <f t="shared" si="6"/>
        <v>97.53086419753086</v>
      </c>
      <c r="Q24" s="318">
        <f t="shared" si="7"/>
        <v>91.671947917039702</v>
      </c>
    </row>
    <row r="25" spans="1:17">
      <c r="A25" s="284">
        <v>1996</v>
      </c>
      <c r="B25" s="203">
        <v>49000</v>
      </c>
      <c r="C25" s="203">
        <v>42400</v>
      </c>
      <c r="D25" s="316">
        <v>88.5</v>
      </c>
      <c r="E25" s="316">
        <f t="shared" si="2"/>
        <v>64.930300807043281</v>
      </c>
      <c r="F25" s="316">
        <f t="shared" si="3"/>
        <v>31815.847395451208</v>
      </c>
      <c r="G25" s="316">
        <f t="shared" si="4"/>
        <v>27530.447542186354</v>
      </c>
      <c r="H25" s="316">
        <v>82.375</v>
      </c>
      <c r="I25" s="316">
        <v>94.8</v>
      </c>
      <c r="J25" s="316">
        <v>94.5</v>
      </c>
      <c r="K25" s="317">
        <v>84197.875465999998</v>
      </c>
      <c r="L25" s="316">
        <f t="shared" si="5"/>
        <v>85.392076938527168</v>
      </c>
      <c r="M25" s="316">
        <f t="shared" si="0"/>
        <v>86.151557312688581</v>
      </c>
      <c r="N25" s="316">
        <f t="shared" si="8"/>
        <v>105.53005231130565</v>
      </c>
      <c r="O25" s="316">
        <f t="shared" si="1"/>
        <v>97.230769230769226</v>
      </c>
      <c r="P25" s="316">
        <f t="shared" si="6"/>
        <v>97.222222222222214</v>
      </c>
      <c r="Q25" s="318">
        <f t="shared" si="7"/>
        <v>91.895415523997954</v>
      </c>
    </row>
    <row r="26" spans="1:17">
      <c r="A26" s="284">
        <v>1997</v>
      </c>
      <c r="B26" s="203">
        <v>48400</v>
      </c>
      <c r="C26" s="203">
        <v>42400</v>
      </c>
      <c r="D26" s="316">
        <v>90.1</v>
      </c>
      <c r="E26" s="316">
        <f t="shared" si="2"/>
        <v>66.104181951577388</v>
      </c>
      <c r="F26" s="316">
        <f t="shared" si="3"/>
        <v>31994.424064563456</v>
      </c>
      <c r="G26" s="316">
        <f t="shared" si="4"/>
        <v>28028.173147468813</v>
      </c>
      <c r="H26" s="316">
        <v>79.708333333333343</v>
      </c>
      <c r="I26" s="316">
        <v>95.6</v>
      </c>
      <c r="J26" s="316">
        <v>94.1</v>
      </c>
      <c r="K26" s="317">
        <v>87204.422481999994</v>
      </c>
      <c r="L26" s="316">
        <f t="shared" si="5"/>
        <v>85.871367415336522</v>
      </c>
      <c r="M26" s="316">
        <f t="shared" si="0"/>
        <v>87.709099591788004</v>
      </c>
      <c r="N26" s="316">
        <f t="shared" si="8"/>
        <v>102.11380377922497</v>
      </c>
      <c r="O26" s="316">
        <f t="shared" si="1"/>
        <v>98.051282051282044</v>
      </c>
      <c r="P26" s="316">
        <f t="shared" si="6"/>
        <v>96.810699588477362</v>
      </c>
      <c r="Q26" s="318">
        <f t="shared" si="7"/>
        <v>95.176827148681099</v>
      </c>
    </row>
    <row r="27" spans="1:17">
      <c r="A27" s="284">
        <v>1998</v>
      </c>
      <c r="B27" s="203">
        <v>50800</v>
      </c>
      <c r="C27" s="203">
        <v>43200</v>
      </c>
      <c r="D27" s="316">
        <v>90.6</v>
      </c>
      <c r="E27" s="316">
        <f t="shared" si="2"/>
        <v>66.471019809244297</v>
      </c>
      <c r="F27" s="316">
        <f t="shared" si="3"/>
        <v>33767.278063096099</v>
      </c>
      <c r="G27" s="316">
        <f t="shared" si="4"/>
        <v>28715.480557593535</v>
      </c>
      <c r="H27" s="316">
        <v>77.908333333333346</v>
      </c>
      <c r="I27" s="316">
        <v>96.3</v>
      </c>
      <c r="J27" s="316">
        <v>93.8</v>
      </c>
      <c r="K27" s="317">
        <v>85948.227738000001</v>
      </c>
      <c r="L27" s="316">
        <f t="shared" si="5"/>
        <v>90.629615189215357</v>
      </c>
      <c r="M27" s="316">
        <f t="shared" si="0"/>
        <v>89.859903847478407</v>
      </c>
      <c r="N27" s="316">
        <f t="shared" si="8"/>
        <v>99.807836020070482</v>
      </c>
      <c r="O27" s="316">
        <f t="shared" si="1"/>
        <v>98.769230769230759</v>
      </c>
      <c r="P27" s="316">
        <f t="shared" si="6"/>
        <v>96.502057613168716</v>
      </c>
      <c r="Q27" s="318">
        <f t="shared" si="7"/>
        <v>93.805788540639782</v>
      </c>
    </row>
    <row r="28" spans="1:17">
      <c r="A28" s="284">
        <v>1999</v>
      </c>
      <c r="B28" s="203">
        <v>52200</v>
      </c>
      <c r="C28" s="203">
        <v>45000</v>
      </c>
      <c r="D28" s="316">
        <v>92.1</v>
      </c>
      <c r="E28" s="316">
        <f t="shared" si="2"/>
        <v>67.571533382245036</v>
      </c>
      <c r="F28" s="316">
        <f t="shared" si="3"/>
        <v>35272.340425531911</v>
      </c>
      <c r="G28" s="316">
        <f t="shared" si="4"/>
        <v>30407.190022010269</v>
      </c>
      <c r="H28" s="316">
        <v>78.250000000000014</v>
      </c>
      <c r="I28" s="316">
        <v>96.8</v>
      </c>
      <c r="J28" s="316">
        <v>94.7</v>
      </c>
      <c r="K28" s="317">
        <v>88071.593236000001</v>
      </c>
      <c r="L28" s="316">
        <f t="shared" si="5"/>
        <v>94.669124162620093</v>
      </c>
      <c r="M28" s="316">
        <f t="shared" si="0"/>
        <v>95.153802708250126</v>
      </c>
      <c r="N28" s="316">
        <f t="shared" si="8"/>
        <v>100.24554286324334</v>
      </c>
      <c r="O28" s="316">
        <f t="shared" si="1"/>
        <v>99.28205128205127</v>
      </c>
      <c r="P28" s="316">
        <f t="shared" si="6"/>
        <v>97.427983539094654</v>
      </c>
      <c r="Q28" s="318">
        <f t="shared" si="7"/>
        <v>96.123276406789387</v>
      </c>
    </row>
    <row r="29" spans="1:17">
      <c r="A29" s="284">
        <v>2000</v>
      </c>
      <c r="B29" s="203">
        <v>53400</v>
      </c>
      <c r="C29" s="203">
        <v>45800</v>
      </c>
      <c r="D29" s="316">
        <v>95.1</v>
      </c>
      <c r="E29" s="316">
        <f t="shared" si="2"/>
        <v>69.772560528246501</v>
      </c>
      <c r="F29" s="316">
        <f t="shared" si="3"/>
        <v>37258.547322083628</v>
      </c>
      <c r="G29" s="316">
        <f t="shared" si="4"/>
        <v>31955.832721936895</v>
      </c>
      <c r="H29" s="316">
        <v>78.058333333333323</v>
      </c>
      <c r="I29" s="316">
        <v>97.5</v>
      </c>
      <c r="J29" s="316">
        <v>97.2</v>
      </c>
      <c r="K29" s="317">
        <v>91623.586427999995</v>
      </c>
      <c r="L29" s="316">
        <f t="shared" si="5"/>
        <v>100</v>
      </c>
      <c r="M29" s="316">
        <f t="shared" si="0"/>
        <v>100</v>
      </c>
      <c r="N29" s="316">
        <f t="shared" si="8"/>
        <v>100</v>
      </c>
      <c r="O29" s="316">
        <f t="shared" si="1"/>
        <v>100</v>
      </c>
      <c r="P29" s="316">
        <f t="shared" si="6"/>
        <v>100</v>
      </c>
      <c r="Q29" s="318">
        <f t="shared" si="7"/>
        <v>100</v>
      </c>
    </row>
    <row r="30" spans="1:17">
      <c r="A30" s="284">
        <v>2001</v>
      </c>
      <c r="B30" s="203">
        <v>55000</v>
      </c>
      <c r="C30" s="203">
        <v>46800</v>
      </c>
      <c r="D30" s="316">
        <v>96.8</v>
      </c>
      <c r="E30" s="316">
        <f t="shared" si="2"/>
        <v>71.019809244314004</v>
      </c>
      <c r="F30" s="316">
        <f t="shared" si="3"/>
        <v>39060.8950843727</v>
      </c>
      <c r="G30" s="316">
        <f t="shared" si="4"/>
        <v>33237.270726338953</v>
      </c>
      <c r="H30" s="316">
        <v>78.116666666666674</v>
      </c>
      <c r="I30" s="316">
        <v>98.6</v>
      </c>
      <c r="J30" s="316">
        <v>99.1</v>
      </c>
      <c r="K30" s="317">
        <v>97049.920668000006</v>
      </c>
      <c r="L30" s="316">
        <f t="shared" si="5"/>
        <v>104.83740749930097</v>
      </c>
      <c r="M30" s="316">
        <f t="shared" si="0"/>
        <v>104.01002851514609</v>
      </c>
      <c r="N30" s="316">
        <f t="shared" si="8"/>
        <v>100.07473043663929</v>
      </c>
      <c r="O30" s="316">
        <f t="shared" si="1"/>
        <v>101.12820512820512</v>
      </c>
      <c r="P30" s="316">
        <f t="shared" si="6"/>
        <v>101.95473251028805</v>
      </c>
      <c r="Q30" s="318">
        <f t="shared" si="7"/>
        <v>105.9224206905109</v>
      </c>
    </row>
    <row r="31" spans="1:17">
      <c r="A31" s="284">
        <v>2002</v>
      </c>
      <c r="B31" s="203">
        <v>54100</v>
      </c>
      <c r="C31" s="203">
        <v>45700</v>
      </c>
      <c r="D31" s="316">
        <v>100</v>
      </c>
      <c r="E31" s="316">
        <f t="shared" si="2"/>
        <v>73.367571533382232</v>
      </c>
      <c r="F31" s="316">
        <f t="shared" si="3"/>
        <v>39691.856199559792</v>
      </c>
      <c r="G31" s="316">
        <f t="shared" si="4"/>
        <v>33528.980190755683</v>
      </c>
      <c r="H31" s="316">
        <v>79.75833333333334</v>
      </c>
      <c r="I31" s="316">
        <v>100</v>
      </c>
      <c r="J31" s="316">
        <v>100</v>
      </c>
      <c r="K31" s="317">
        <v>100984.30146</v>
      </c>
      <c r="L31" s="316">
        <f t="shared" si="5"/>
        <v>106.53087426206203</v>
      </c>
      <c r="M31" s="316">
        <f t="shared" si="0"/>
        <v>104.92288053485417</v>
      </c>
      <c r="N31" s="316">
        <f t="shared" si="8"/>
        <v>102.17785843920146</v>
      </c>
      <c r="O31" s="316">
        <f t="shared" si="1"/>
        <v>102.56410256410255</v>
      </c>
      <c r="P31" s="316">
        <f t="shared" si="6"/>
        <v>102.88065843621399</v>
      </c>
      <c r="Q31" s="318">
        <f t="shared" si="7"/>
        <v>110.21649053145924</v>
      </c>
    </row>
    <row r="32" spans="1:17">
      <c r="A32" s="284">
        <v>2003</v>
      </c>
      <c r="B32" s="203">
        <v>54200</v>
      </c>
      <c r="C32" s="203">
        <v>46000</v>
      </c>
      <c r="D32" s="316">
        <v>103.4</v>
      </c>
      <c r="E32" s="316">
        <f t="shared" si="2"/>
        <v>75.862068965517238</v>
      </c>
      <c r="F32" s="316">
        <f t="shared" si="3"/>
        <v>41117.241379310341</v>
      </c>
      <c r="G32" s="316">
        <f t="shared" si="4"/>
        <v>34896.551724137928</v>
      </c>
      <c r="H32" s="316">
        <v>82.058333333333351</v>
      </c>
      <c r="I32" s="316">
        <v>101.2</v>
      </c>
      <c r="J32" s="316">
        <v>101.5</v>
      </c>
      <c r="K32" s="317">
        <v>106988.12164</v>
      </c>
      <c r="L32" s="316">
        <f t="shared" si="5"/>
        <v>110.35653382798318</v>
      </c>
      <c r="M32" s="316">
        <f t="shared" si="0"/>
        <v>109.2024483536062</v>
      </c>
      <c r="N32" s="316">
        <f t="shared" si="8"/>
        <v>105.1243727981211</v>
      </c>
      <c r="O32" s="316">
        <f t="shared" si="1"/>
        <v>103.7948717948718</v>
      </c>
      <c r="P32" s="316">
        <f t="shared" si="6"/>
        <v>104.42386831275721</v>
      </c>
      <c r="Q32" s="318">
        <f t="shared" si="7"/>
        <v>116.76919209452014</v>
      </c>
    </row>
    <row r="33" spans="1:17">
      <c r="A33" s="284">
        <v>2004</v>
      </c>
      <c r="B33" s="203">
        <v>55100</v>
      </c>
      <c r="C33" s="203">
        <v>46200</v>
      </c>
      <c r="D33" s="316">
        <v>104.9</v>
      </c>
      <c r="E33" s="316">
        <f t="shared" si="2"/>
        <v>76.962582538517978</v>
      </c>
      <c r="F33" s="316">
        <f t="shared" si="3"/>
        <v>42406.382978723406</v>
      </c>
      <c r="G33" s="316">
        <f t="shared" si="4"/>
        <v>35556.713132795303</v>
      </c>
      <c r="H33" s="316">
        <v>83.73333333333332</v>
      </c>
      <c r="I33" s="316">
        <v>102.3</v>
      </c>
      <c r="J33" s="316">
        <v>103.4</v>
      </c>
      <c r="K33" s="317">
        <v>113755.1295</v>
      </c>
      <c r="L33" s="316">
        <f t="shared" si="5"/>
        <v>113.81652272199187</v>
      </c>
      <c r="M33" s="316">
        <f t="shared" si="0"/>
        <v>111.26830410645655</v>
      </c>
      <c r="N33" s="316">
        <f t="shared" si="8"/>
        <v>107.27020390733426</v>
      </c>
      <c r="O33" s="316">
        <f t="shared" si="1"/>
        <v>104.92307692307692</v>
      </c>
      <c r="P33" s="316">
        <f t="shared" si="6"/>
        <v>106.37860082304526</v>
      </c>
      <c r="Q33" s="318">
        <f t="shared" si="7"/>
        <v>124.15485349876748</v>
      </c>
    </row>
    <row r="34" spans="1:17">
      <c r="A34" s="284">
        <v>2005</v>
      </c>
      <c r="B34" s="203">
        <v>54700</v>
      </c>
      <c r="C34" s="203">
        <v>47200</v>
      </c>
      <c r="D34" s="316">
        <v>107.4</v>
      </c>
      <c r="E34" s="316">
        <f t="shared" si="2"/>
        <v>78.796771826852535</v>
      </c>
      <c r="F34" s="316">
        <f t="shared" si="3"/>
        <v>43101.834189288333</v>
      </c>
      <c r="G34" s="316">
        <f t="shared" si="4"/>
        <v>37192.076302274392</v>
      </c>
      <c r="H34" s="316">
        <v>87.100000000000023</v>
      </c>
      <c r="I34" s="316">
        <v>103.2</v>
      </c>
      <c r="J34" s="316">
        <v>106.2</v>
      </c>
      <c r="K34" s="317">
        <v>120436.85055</v>
      </c>
      <c r="L34" s="316">
        <f t="shared" si="5"/>
        <v>115.68307754108629</v>
      </c>
      <c r="M34" s="316">
        <f t="shared" si="0"/>
        <v>116.38587742619815</v>
      </c>
      <c r="N34" s="316">
        <f t="shared" si="8"/>
        <v>111.58321767908619</v>
      </c>
      <c r="O34" s="316">
        <f t="shared" si="1"/>
        <v>105.84615384615385</v>
      </c>
      <c r="P34" s="316">
        <f t="shared" si="6"/>
        <v>109.25925925925925</v>
      </c>
      <c r="Q34" s="318">
        <f t="shared" si="7"/>
        <v>131.44743100035944</v>
      </c>
    </row>
    <row r="35" spans="1:17">
      <c r="A35" s="284">
        <v>2006</v>
      </c>
      <c r="B35" s="203">
        <v>55800</v>
      </c>
      <c r="C35" s="203">
        <v>46800</v>
      </c>
      <c r="D35" s="316">
        <v>109.2</v>
      </c>
      <c r="E35" s="316">
        <f t="shared" si="2"/>
        <v>80.117388114453405</v>
      </c>
      <c r="F35" s="316">
        <f t="shared" si="3"/>
        <v>44705.502567864998</v>
      </c>
      <c r="G35" s="316">
        <f t="shared" si="4"/>
        <v>37494.937637564195</v>
      </c>
      <c r="H35" s="316">
        <v>90.008333333333326</v>
      </c>
      <c r="I35" s="316">
        <v>104.1</v>
      </c>
      <c r="J35" s="316">
        <v>109.2</v>
      </c>
      <c r="K35" s="317">
        <v>127452.56203</v>
      </c>
      <c r="L35" s="316">
        <f t="shared" si="5"/>
        <v>119.98723992485736</v>
      </c>
      <c r="M35" s="316">
        <f t="shared" si="0"/>
        <v>117.33362720923508</v>
      </c>
      <c r="N35" s="316">
        <f t="shared" si="8"/>
        <v>115.30906373438667</v>
      </c>
      <c r="O35" s="316">
        <f t="shared" si="1"/>
        <v>106.76923076923077</v>
      </c>
      <c r="P35" s="316">
        <f t="shared" si="6"/>
        <v>112.34567901234568</v>
      </c>
      <c r="Q35" s="318">
        <f t="shared" si="7"/>
        <v>139.10453301252869</v>
      </c>
    </row>
    <row r="36" spans="1:17">
      <c r="A36" s="284">
        <v>2007</v>
      </c>
      <c r="B36" s="203">
        <v>58200</v>
      </c>
      <c r="C36" s="203">
        <v>49700</v>
      </c>
      <c r="D36" s="316">
        <v>111.3</v>
      </c>
      <c r="E36" s="316">
        <f t="shared" si="2"/>
        <v>81.658107116654435</v>
      </c>
      <c r="F36" s="316">
        <f t="shared" si="3"/>
        <v>47525.018341892879</v>
      </c>
      <c r="G36" s="316">
        <f t="shared" si="4"/>
        <v>40584.079236977253</v>
      </c>
      <c r="H36" s="316">
        <v>90.825000000000003</v>
      </c>
      <c r="I36" s="316">
        <v>104.8</v>
      </c>
      <c r="J36" s="316">
        <v>111.6</v>
      </c>
      <c r="K36" s="317">
        <v>137069.90946</v>
      </c>
      <c r="L36" s="316">
        <f t="shared" si="5"/>
        <v>127.55467337752103</v>
      </c>
      <c r="M36" s="316">
        <f t="shared" si="0"/>
        <v>127.00053724188285</v>
      </c>
      <c r="N36" s="316">
        <f t="shared" si="8"/>
        <v>116.35528984733641</v>
      </c>
      <c r="O36" s="316">
        <f t="shared" si="1"/>
        <v>107.48717948717947</v>
      </c>
      <c r="P36" s="316">
        <f t="shared" si="6"/>
        <v>114.81481481481481</v>
      </c>
      <c r="Q36" s="318">
        <f t="shared" si="7"/>
        <v>149.60111779482983</v>
      </c>
    </row>
    <row r="37" spans="1:17">
      <c r="A37" s="284">
        <v>2008</v>
      </c>
      <c r="B37" s="203">
        <v>58600</v>
      </c>
      <c r="C37" s="203">
        <v>50000</v>
      </c>
      <c r="D37" s="316">
        <v>113.2</v>
      </c>
      <c r="E37" s="316">
        <f t="shared" si="2"/>
        <v>83.052090975788701</v>
      </c>
      <c r="F37" s="316">
        <f t="shared" si="3"/>
        <v>48668.525311812184</v>
      </c>
      <c r="G37" s="316">
        <f t="shared" si="4"/>
        <v>41526.045487894356</v>
      </c>
      <c r="H37" s="316">
        <v>93.100000000000009</v>
      </c>
      <c r="I37" s="316">
        <v>105.9</v>
      </c>
      <c r="J37" s="316">
        <v>114.8</v>
      </c>
      <c r="K37" s="317">
        <v>146103.73211000001</v>
      </c>
      <c r="L37" s="316">
        <f t="shared" si="5"/>
        <v>130.62378651291567</v>
      </c>
      <c r="M37" s="316">
        <f t="shared" si="0"/>
        <v>129.9482502904321</v>
      </c>
      <c r="N37" s="316">
        <f t="shared" si="8"/>
        <v>119.26977687626778</v>
      </c>
      <c r="O37" s="316">
        <f t="shared" si="1"/>
        <v>108.61538461538463</v>
      </c>
      <c r="P37" s="316">
        <f t="shared" si="6"/>
        <v>118.10699588477365</v>
      </c>
      <c r="Q37" s="318">
        <f t="shared" si="7"/>
        <v>159.46083078161519</v>
      </c>
    </row>
    <row r="38" spans="1:17">
      <c r="A38" s="284">
        <v>2009</v>
      </c>
      <c r="B38" s="203">
        <v>60600</v>
      </c>
      <c r="C38" s="203">
        <v>50800</v>
      </c>
      <c r="D38" s="316">
        <v>113.5</v>
      </c>
      <c r="E38" s="316">
        <f t="shared" si="2"/>
        <v>83.272193690388846</v>
      </c>
      <c r="F38" s="316">
        <f t="shared" si="3"/>
        <v>50462.949376375647</v>
      </c>
      <c r="G38" s="316">
        <f t="shared" si="4"/>
        <v>42302.274394717533</v>
      </c>
      <c r="H38" s="316">
        <v>96.133333333333326</v>
      </c>
      <c r="I38" s="316">
        <v>107.2</v>
      </c>
      <c r="J38" s="316">
        <v>117.6</v>
      </c>
      <c r="K38" s="317">
        <v>153555.76826000001</v>
      </c>
      <c r="L38" s="316">
        <f t="shared" si="5"/>
        <v>135.4399272203122</v>
      </c>
      <c r="M38" s="316">
        <f t="shared" si="0"/>
        <v>132.37731829056065</v>
      </c>
      <c r="N38" s="316">
        <f t="shared" si="8"/>
        <v>123.15575958150957</v>
      </c>
      <c r="O38" s="316">
        <f t="shared" si="1"/>
        <v>109.94871794871794</v>
      </c>
      <c r="P38" s="316">
        <f t="shared" si="6"/>
        <v>120.98765432098763</v>
      </c>
      <c r="Q38" s="318">
        <f t="shared" si="7"/>
        <v>167.59414714754459</v>
      </c>
    </row>
    <row r="39" spans="1:17">
      <c r="A39" s="284">
        <v>2010</v>
      </c>
      <c r="B39" s="203">
        <v>60500</v>
      </c>
      <c r="C39" s="203">
        <v>51100</v>
      </c>
      <c r="D39" s="316">
        <v>115.9</v>
      </c>
      <c r="E39" s="316">
        <f t="shared" si="2"/>
        <v>85.033015407190021</v>
      </c>
      <c r="F39" s="316">
        <f t="shared" si="3"/>
        <v>51444.974321349961</v>
      </c>
      <c r="G39" s="316">
        <f t="shared" si="4"/>
        <v>43451.870873074098</v>
      </c>
      <c r="H39" s="316">
        <v>97.59999999999998</v>
      </c>
      <c r="I39" s="316">
        <v>108.5</v>
      </c>
      <c r="J39" s="316">
        <v>118</v>
      </c>
      <c r="K39" s="317">
        <v>156296.15789999999</v>
      </c>
      <c r="L39" s="316">
        <f t="shared" si="5"/>
        <v>138.0756310132839</v>
      </c>
      <c r="M39" s="316">
        <f t="shared" si="0"/>
        <v>135.97477259056203</v>
      </c>
      <c r="N39" s="316">
        <f t="shared" si="8"/>
        <v>125.03469627415393</v>
      </c>
      <c r="O39" s="316">
        <f t="shared" si="1"/>
        <v>111.28205128205128</v>
      </c>
      <c r="P39" s="316">
        <f t="shared" si="6"/>
        <v>121.3991769547325</v>
      </c>
      <c r="Q39" s="318">
        <f t="shared" si="7"/>
        <v>170.58506875063361</v>
      </c>
    </row>
    <row r="40" spans="1:17">
      <c r="A40" s="284">
        <v>2011</v>
      </c>
      <c r="B40" s="203">
        <v>62000</v>
      </c>
      <c r="C40" s="203">
        <v>51200</v>
      </c>
      <c r="D40" s="316">
        <v>120</v>
      </c>
      <c r="E40" s="316">
        <f t="shared" si="2"/>
        <v>88.041085840058685</v>
      </c>
      <c r="F40" s="316">
        <f t="shared" si="3"/>
        <v>54585.473220836386</v>
      </c>
      <c r="G40" s="316">
        <f t="shared" si="4"/>
        <v>45077.035950110047</v>
      </c>
      <c r="H40" s="316">
        <v>98.2</v>
      </c>
      <c r="I40" s="316">
        <v>109.9</v>
      </c>
      <c r="J40" s="316">
        <v>118.3</v>
      </c>
      <c r="K40" s="317">
        <v>158851.53831</v>
      </c>
      <c r="L40" s="316">
        <f t="shared" si="5"/>
        <v>146.5045664528173</v>
      </c>
      <c r="M40" s="316">
        <f t="shared" si="0"/>
        <v>141.06043282410153</v>
      </c>
      <c r="N40" s="316">
        <f t="shared" si="8"/>
        <v>125.80335219387213</v>
      </c>
      <c r="O40" s="316">
        <f t="shared" si="1"/>
        <v>112.71794871794872</v>
      </c>
      <c r="P40" s="316">
        <f t="shared" si="6"/>
        <v>121.70781893004114</v>
      </c>
      <c r="Q40" s="318">
        <f t="shared" si="7"/>
        <v>173.37406720575095</v>
      </c>
    </row>
    <row r="41" spans="1:17">
      <c r="A41" s="284">
        <v>2012</v>
      </c>
      <c r="B41" s="203">
        <v>61800</v>
      </c>
      <c r="C41" s="203">
        <v>51900</v>
      </c>
      <c r="D41" s="316">
        <v>122</v>
      </c>
      <c r="E41" s="316">
        <f t="shared" si="2"/>
        <v>89.508437270726333</v>
      </c>
      <c r="F41" s="316">
        <f t="shared" si="3"/>
        <v>55316.214233308878</v>
      </c>
      <c r="G41" s="316">
        <f t="shared" si="4"/>
        <v>46454.87894350697</v>
      </c>
      <c r="H41" s="316">
        <v>98.083333333333314</v>
      </c>
      <c r="I41" s="316">
        <v>110.9</v>
      </c>
      <c r="J41" s="316">
        <v>118.5</v>
      </c>
      <c r="K41" s="317">
        <v>159530.44610999999</v>
      </c>
      <c r="L41" s="316">
        <f t="shared" si="5"/>
        <v>148.46583726178244</v>
      </c>
      <c r="M41" s="316">
        <f t="shared" si="0"/>
        <v>145.37214331960385</v>
      </c>
      <c r="N41" s="316">
        <f t="shared" si="8"/>
        <v>125.65389132059357</v>
      </c>
      <c r="O41" s="316">
        <f t="shared" si="1"/>
        <v>113.74358974358975</v>
      </c>
      <c r="P41" s="316">
        <f t="shared" si="6"/>
        <v>121.91358024691357</v>
      </c>
      <c r="Q41" s="318">
        <f t="shared" si="7"/>
        <v>174.11504212985903</v>
      </c>
    </row>
    <row r="42" spans="1:17">
      <c r="A42" s="284">
        <v>2013</v>
      </c>
      <c r="B42" s="203">
        <v>61900</v>
      </c>
      <c r="C42" s="203">
        <v>51900</v>
      </c>
      <c r="D42" s="316">
        <v>123</v>
      </c>
      <c r="E42" s="316">
        <f t="shared" si="2"/>
        <v>90.24211298606015</v>
      </c>
      <c r="F42" s="316">
        <f t="shared" si="3"/>
        <v>55859.867938371237</v>
      </c>
      <c r="G42" s="316">
        <f t="shared" si="4"/>
        <v>46835.65663976522</v>
      </c>
      <c r="H42" s="316">
        <v>98.358333333333348</v>
      </c>
      <c r="I42" s="316">
        <v>111.9</v>
      </c>
      <c r="J42" s="316">
        <v>119.3</v>
      </c>
      <c r="K42" s="317">
        <v>161084.58405999999</v>
      </c>
      <c r="L42" s="316">
        <f t="shared" si="5"/>
        <v>149.92497548411492</v>
      </c>
      <c r="M42" s="316">
        <f t="shared" si="0"/>
        <v>146.5637182648465</v>
      </c>
      <c r="N42" s="316">
        <f t="shared" si="8"/>
        <v>126.00619195046443</v>
      </c>
      <c r="O42" s="316">
        <f t="shared" si="1"/>
        <v>114.76923076923077</v>
      </c>
      <c r="P42" s="316">
        <f t="shared" si="6"/>
        <v>122.73662551440327</v>
      </c>
      <c r="Q42" s="318">
        <f t="shared" si="7"/>
        <v>175.81126251435717</v>
      </c>
    </row>
    <row r="43" spans="1:17">
      <c r="A43" s="284">
        <v>2014</v>
      </c>
      <c r="B43" s="203">
        <v>62100</v>
      </c>
      <c r="C43" s="203">
        <v>53100</v>
      </c>
      <c r="D43" s="316">
        <v>124.8</v>
      </c>
      <c r="E43" s="316">
        <f t="shared" si="2"/>
        <v>91.562729273661034</v>
      </c>
      <c r="F43" s="316">
        <f t="shared" si="3"/>
        <v>56860.454878943507</v>
      </c>
      <c r="G43" s="316">
        <f t="shared" si="4"/>
        <v>48619.809244314012</v>
      </c>
      <c r="H43" s="316">
        <v>98.258333333333326</v>
      </c>
      <c r="I43" s="316">
        <v>112.8</v>
      </c>
      <c r="J43" s="316">
        <v>121.3</v>
      </c>
      <c r="K43" s="317">
        <v>161464.31714</v>
      </c>
      <c r="L43" s="316">
        <f t="shared" si="5"/>
        <v>152.61049870627019</v>
      </c>
      <c r="M43" s="316">
        <f t="shared" si="0"/>
        <v>152.14690121637076</v>
      </c>
      <c r="N43" s="316">
        <f t="shared" si="8"/>
        <v>125.87808263051137</v>
      </c>
      <c r="O43" s="316">
        <f t="shared" si="1"/>
        <v>115.69230769230769</v>
      </c>
      <c r="P43" s="316">
        <f t="shared" si="6"/>
        <v>124.79423868312756</v>
      </c>
      <c r="Q43" s="318">
        <f t="shared" si="7"/>
        <v>176.22571156050796</v>
      </c>
    </row>
    <row r="44" spans="1:17">
      <c r="A44" s="284">
        <v>2015</v>
      </c>
      <c r="B44" s="203">
        <v>61600</v>
      </c>
      <c r="C44" s="203">
        <v>54600</v>
      </c>
      <c r="D44" s="316">
        <v>125.4</v>
      </c>
      <c r="E44" s="316">
        <f t="shared" si="2"/>
        <v>92.002934702861324</v>
      </c>
      <c r="F44" s="316">
        <f t="shared" si="3"/>
        <v>56673.807776962574</v>
      </c>
      <c r="G44" s="316">
        <f t="shared" si="4"/>
        <v>50233.602347762288</v>
      </c>
      <c r="H44" s="316">
        <v>98.133333333333326</v>
      </c>
      <c r="I44" s="316">
        <v>113.4</v>
      </c>
      <c r="J44" s="316">
        <v>122.7</v>
      </c>
      <c r="K44" s="317">
        <v>159430.88243</v>
      </c>
      <c r="L44" s="316">
        <f t="shared" si="5"/>
        <v>152.10954760807667</v>
      </c>
      <c r="M44" s="316">
        <f t="shared" si="0"/>
        <v>157.19697491493673</v>
      </c>
      <c r="N44" s="316">
        <f t="shared" si="8"/>
        <v>125.71794598057009</v>
      </c>
      <c r="O44" s="316">
        <f t="shared" si="1"/>
        <v>116.30769230769231</v>
      </c>
      <c r="P44" s="316">
        <f t="shared" si="6"/>
        <v>126.23456790123457</v>
      </c>
      <c r="Q44" s="318">
        <f t="shared" si="7"/>
        <v>174.00637613687454</v>
      </c>
    </row>
    <row r="45" spans="1:17">
      <c r="A45" s="284">
        <v>2016</v>
      </c>
      <c r="B45" s="203">
        <v>62900</v>
      </c>
      <c r="C45" s="203">
        <v>53900</v>
      </c>
      <c r="D45" s="316">
        <v>128.19999999999999</v>
      </c>
      <c r="E45" s="316">
        <f t="shared" si="2"/>
        <v>94.057226705796026</v>
      </c>
      <c r="F45" s="316">
        <f t="shared" si="3"/>
        <v>59161.995597945701</v>
      </c>
      <c r="G45" s="316">
        <f t="shared" si="4"/>
        <v>50696.845194424059</v>
      </c>
      <c r="H45" s="316">
        <v>98.84999999999998</v>
      </c>
      <c r="I45" s="316">
        <v>114.4</v>
      </c>
      <c r="J45" s="316">
        <v>125.3</v>
      </c>
      <c r="K45" s="317">
        <v>161667.76319999999</v>
      </c>
      <c r="L45" s="316">
        <f t="shared" si="5"/>
        <v>158.78771409555094</v>
      </c>
      <c r="M45" s="316">
        <f t="shared" si="0"/>
        <v>158.64660963637451</v>
      </c>
      <c r="N45" s="316">
        <f t="shared" si="8"/>
        <v>126.63606277356676</v>
      </c>
      <c r="O45" s="316">
        <f t="shared" si="1"/>
        <v>117.33333333333333</v>
      </c>
      <c r="P45" s="316">
        <f t="shared" si="6"/>
        <v>128.90946502057611</v>
      </c>
      <c r="Q45" s="318">
        <f t="shared" si="7"/>
        <v>176.44775707076516</v>
      </c>
    </row>
    <row r="46" spans="1:17">
      <c r="A46" s="284">
        <v>2017</v>
      </c>
      <c r="B46" s="203">
        <v>64800</v>
      </c>
      <c r="C46" s="203">
        <v>55300</v>
      </c>
      <c r="D46" s="316">
        <v>131.19999999999999</v>
      </c>
      <c r="E46" s="316">
        <f t="shared" si="2"/>
        <v>96.258253851797491</v>
      </c>
      <c r="F46" s="316">
        <f t="shared" si="3"/>
        <v>62375.348495964776</v>
      </c>
      <c r="G46" s="316">
        <f t="shared" si="4"/>
        <v>53230.814380044016</v>
      </c>
      <c r="H46" s="316">
        <v>100.375</v>
      </c>
      <c r="I46" s="316">
        <v>115.2</v>
      </c>
      <c r="J46" s="316">
        <v>127.2</v>
      </c>
      <c r="K46" s="317">
        <v>165416.47896000001</v>
      </c>
      <c r="L46" s="316">
        <f t="shared" si="5"/>
        <v>167.41218587176127</v>
      </c>
      <c r="M46" s="316">
        <f t="shared" si="0"/>
        <v>166.57620799066947</v>
      </c>
      <c r="N46" s="316">
        <f t="shared" si="8"/>
        <v>128.58972990285045</v>
      </c>
      <c r="O46" s="316">
        <f t="shared" si="1"/>
        <v>118.15384615384616</v>
      </c>
      <c r="P46" s="316">
        <f t="shared" si="6"/>
        <v>130.8641975308642</v>
      </c>
      <c r="Q46" s="318">
        <f t="shared" si="7"/>
        <v>180.53918800699668</v>
      </c>
    </row>
    <row r="47" spans="1:17">
      <c r="A47" s="284">
        <v>2018</v>
      </c>
      <c r="B47" s="203">
        <v>65900</v>
      </c>
      <c r="C47" s="203">
        <v>56000</v>
      </c>
      <c r="D47" s="316">
        <v>134</v>
      </c>
      <c r="E47" s="316">
        <f t="shared" si="2"/>
        <v>98.312545854732207</v>
      </c>
      <c r="F47" s="316">
        <f t="shared" si="3"/>
        <v>64787.967718268519</v>
      </c>
      <c r="G47" s="316">
        <f t="shared" si="4"/>
        <v>55055.025678650032</v>
      </c>
      <c r="H47" s="316">
        <v>101.05833333333335</v>
      </c>
      <c r="I47" s="316">
        <v>116.5</v>
      </c>
      <c r="J47" s="316">
        <v>129.4</v>
      </c>
      <c r="K47" s="317">
        <v>174222.26779000001</v>
      </c>
      <c r="L47" s="316">
        <f t="shared" si="5"/>
        <v>173.88753017718392</v>
      </c>
      <c r="M47" s="316">
        <f t="shared" si="0"/>
        <v>172.28474738151985</v>
      </c>
      <c r="N47" s="316">
        <f t="shared" si="8"/>
        <v>129.46514358919617</v>
      </c>
      <c r="O47" s="316">
        <f t="shared" si="1"/>
        <v>119.48717948717949</v>
      </c>
      <c r="P47" s="316">
        <f t="shared" si="6"/>
        <v>133.1275720164609</v>
      </c>
      <c r="Q47" s="318">
        <f t="shared" si="7"/>
        <v>190.15001986077903</v>
      </c>
    </row>
    <row r="48" spans="1:17">
      <c r="A48" s="284">
        <v>2019</v>
      </c>
      <c r="B48" s="203">
        <v>65400</v>
      </c>
      <c r="C48" s="203">
        <v>56400</v>
      </c>
      <c r="D48" s="316">
        <v>136.30000000000001</v>
      </c>
      <c r="E48" s="316">
        <f t="shared" si="2"/>
        <v>100</v>
      </c>
      <c r="F48" s="316">
        <f t="shared" si="3"/>
        <v>65400</v>
      </c>
      <c r="G48" s="316">
        <f t="shared" si="4"/>
        <v>56400</v>
      </c>
      <c r="H48" s="316">
        <v>101.60833333333333</v>
      </c>
      <c r="I48" s="316">
        <v>118</v>
      </c>
      <c r="J48" s="316">
        <v>132.5</v>
      </c>
      <c r="K48" s="317">
        <v>178651.49502</v>
      </c>
      <c r="L48" s="316">
        <f t="shared" si="5"/>
        <v>175.53019293706217</v>
      </c>
      <c r="M48" s="316">
        <f t="shared" si="0"/>
        <v>176.49360131142126</v>
      </c>
      <c r="N48" s="316">
        <f t="shared" si="8"/>
        <v>130.16974484893777</v>
      </c>
      <c r="O48" s="316">
        <f t="shared" si="1"/>
        <v>121.02564102564102</v>
      </c>
      <c r="P48" s="316">
        <f t="shared" si="6"/>
        <v>136.31687242798353</v>
      </c>
      <c r="Q48" s="318">
        <f>100*K48/$K$29</f>
        <v>194.98417600187329</v>
      </c>
    </row>
    <row r="49" spans="1:17">
      <c r="A49" s="284"/>
      <c r="B49" s="284"/>
      <c r="C49" s="284"/>
      <c r="D49" s="284"/>
      <c r="E49" s="284"/>
      <c r="F49" s="284"/>
      <c r="G49" s="284"/>
      <c r="H49" s="284"/>
      <c r="I49" s="284"/>
      <c r="J49" s="284"/>
      <c r="K49" s="317">
        <v>197455.61837000001</v>
      </c>
      <c r="L49" s="284"/>
      <c r="M49" s="284"/>
      <c r="N49" s="284"/>
      <c r="O49" s="284"/>
      <c r="P49" s="284"/>
      <c r="Q49" s="317"/>
    </row>
    <row r="51" spans="1:17" ht="51">
      <c r="B51" s="250" t="s">
        <v>241</v>
      </c>
      <c r="C51" s="250" t="s">
        <v>242</v>
      </c>
      <c r="D51" s="250" t="s">
        <v>126</v>
      </c>
      <c r="E51" s="250" t="s">
        <v>127</v>
      </c>
      <c r="F51" s="250" t="s">
        <v>128</v>
      </c>
      <c r="G51" s="250" t="s">
        <v>594</v>
      </c>
    </row>
    <row r="52" spans="1:17">
      <c r="A52" s="73">
        <v>2000</v>
      </c>
      <c r="B52" s="131">
        <v>100</v>
      </c>
      <c r="C52" s="131">
        <v>100</v>
      </c>
      <c r="D52" s="131">
        <v>100</v>
      </c>
      <c r="E52" s="131">
        <v>100</v>
      </c>
      <c r="F52" s="131">
        <v>100</v>
      </c>
      <c r="G52" s="127">
        <v>100</v>
      </c>
      <c r="I52" s="204"/>
    </row>
    <row r="53" spans="1:17">
      <c r="A53" s="73">
        <v>2001</v>
      </c>
      <c r="B53" s="131">
        <v>104.83740749930097</v>
      </c>
      <c r="C53" s="131">
        <v>104.01002851514609</v>
      </c>
      <c r="D53" s="131">
        <v>100.07473043663929</v>
      </c>
      <c r="E53" s="131">
        <v>101.12820512820512</v>
      </c>
      <c r="F53" s="131">
        <v>101.95473251028805</v>
      </c>
      <c r="G53" s="127">
        <v>105.9224206905109</v>
      </c>
      <c r="I53" s="204"/>
    </row>
    <row r="54" spans="1:17">
      <c r="A54" s="73">
        <v>2002</v>
      </c>
      <c r="B54" s="131">
        <v>106.53087426206203</v>
      </c>
      <c r="C54" s="131">
        <v>104.92288053485417</v>
      </c>
      <c r="D54" s="131">
        <v>102.17785843920146</v>
      </c>
      <c r="E54" s="131">
        <v>102.56410256410255</v>
      </c>
      <c r="F54" s="131">
        <v>102.88065843621399</v>
      </c>
      <c r="G54" s="127">
        <v>110.21649053145924</v>
      </c>
      <c r="I54" s="204"/>
    </row>
    <row r="55" spans="1:17">
      <c r="A55" s="73">
        <v>2003</v>
      </c>
      <c r="B55" s="131">
        <v>110.35653382798318</v>
      </c>
      <c r="C55" s="131">
        <v>109.2024483536062</v>
      </c>
      <c r="D55" s="131">
        <v>105.1243727981211</v>
      </c>
      <c r="E55" s="131">
        <v>103.7948717948718</v>
      </c>
      <c r="F55" s="131">
        <v>104.42386831275721</v>
      </c>
      <c r="G55" s="127">
        <v>116.76919209452014</v>
      </c>
      <c r="I55" s="204"/>
    </row>
    <row r="56" spans="1:17">
      <c r="A56" s="73">
        <v>2004</v>
      </c>
      <c r="B56" s="131">
        <v>113.81652272199187</v>
      </c>
      <c r="C56" s="131">
        <v>111.26830410645655</v>
      </c>
      <c r="D56" s="131">
        <v>107.27020390733426</v>
      </c>
      <c r="E56" s="131">
        <v>104.92307692307692</v>
      </c>
      <c r="F56" s="131">
        <v>106.37860082304526</v>
      </c>
      <c r="G56" s="127">
        <v>124.15485349876748</v>
      </c>
      <c r="I56" s="204"/>
    </row>
    <row r="57" spans="1:17">
      <c r="A57" s="73">
        <v>2005</v>
      </c>
      <c r="B57" s="131">
        <v>115.68307754108629</v>
      </c>
      <c r="C57" s="131">
        <v>116.38587742619815</v>
      </c>
      <c r="D57" s="131">
        <v>111.58321767908619</v>
      </c>
      <c r="E57" s="131">
        <v>105.84615384615385</v>
      </c>
      <c r="F57" s="131">
        <v>109.25925925925925</v>
      </c>
      <c r="G57" s="127">
        <v>131.44743100035944</v>
      </c>
      <c r="I57" s="204"/>
    </row>
    <row r="58" spans="1:17">
      <c r="A58" s="73">
        <v>2006</v>
      </c>
      <c r="B58" s="131">
        <v>119.98723992485736</v>
      </c>
      <c r="C58" s="131">
        <v>117.33362720923508</v>
      </c>
      <c r="D58" s="131">
        <v>115.30906373438667</v>
      </c>
      <c r="E58" s="131">
        <v>106.76923076923077</v>
      </c>
      <c r="F58" s="131">
        <v>112.34567901234568</v>
      </c>
      <c r="G58" s="127">
        <v>139.10453301252869</v>
      </c>
      <c r="I58" s="204"/>
    </row>
    <row r="59" spans="1:17">
      <c r="A59" s="73">
        <v>2007</v>
      </c>
      <c r="B59" s="131">
        <v>127.55467337752103</v>
      </c>
      <c r="C59" s="131">
        <v>127.00053724188285</v>
      </c>
      <c r="D59" s="131">
        <v>116.35528984733641</v>
      </c>
      <c r="E59" s="131">
        <v>107.48717948717947</v>
      </c>
      <c r="F59" s="131">
        <v>114.81481481481481</v>
      </c>
      <c r="G59" s="127">
        <v>149.60111779482983</v>
      </c>
      <c r="I59" s="204"/>
    </row>
    <row r="60" spans="1:17">
      <c r="A60" s="73">
        <v>2008</v>
      </c>
      <c r="B60" s="131">
        <v>130.62378651291567</v>
      </c>
      <c r="C60" s="131">
        <v>129.9482502904321</v>
      </c>
      <c r="D60" s="131">
        <v>119.26977687626778</v>
      </c>
      <c r="E60" s="131">
        <v>108.61538461538463</v>
      </c>
      <c r="F60" s="131">
        <v>118.10699588477365</v>
      </c>
      <c r="G60" s="127">
        <v>159.46083078161519</v>
      </c>
      <c r="I60" s="204"/>
    </row>
    <row r="61" spans="1:17">
      <c r="A61" s="73">
        <v>2009</v>
      </c>
      <c r="B61" s="131">
        <v>135.4399272203122</v>
      </c>
      <c r="C61" s="131">
        <v>132.37731829056065</v>
      </c>
      <c r="D61" s="131">
        <v>123.15575958150957</v>
      </c>
      <c r="E61" s="131">
        <v>109.94871794871794</v>
      </c>
      <c r="F61" s="131">
        <v>120.98765432098763</v>
      </c>
      <c r="G61" s="127">
        <v>167.59414714754459</v>
      </c>
      <c r="I61" s="204"/>
    </row>
    <row r="62" spans="1:17">
      <c r="A62" s="73">
        <v>2010</v>
      </c>
      <c r="B62" s="131">
        <v>138.0756310132839</v>
      </c>
      <c r="C62" s="131">
        <v>135.97477259056203</v>
      </c>
      <c r="D62" s="131">
        <v>125.03469627415393</v>
      </c>
      <c r="E62" s="131">
        <v>111.28205128205128</v>
      </c>
      <c r="F62" s="131">
        <v>121.3991769547325</v>
      </c>
      <c r="G62" s="127">
        <v>170.58506875063361</v>
      </c>
      <c r="I62" s="204"/>
    </row>
    <row r="63" spans="1:17">
      <c r="A63" s="73">
        <v>2011</v>
      </c>
      <c r="B63" s="131">
        <v>146.5045664528173</v>
      </c>
      <c r="C63" s="131">
        <v>141.06043282410153</v>
      </c>
      <c r="D63" s="131">
        <v>125.80335219387213</v>
      </c>
      <c r="E63" s="131">
        <v>112.71794871794872</v>
      </c>
      <c r="F63" s="131">
        <v>121.70781893004114</v>
      </c>
      <c r="G63" s="127">
        <v>173.37406720575095</v>
      </c>
      <c r="I63" s="204"/>
    </row>
    <row r="64" spans="1:17">
      <c r="A64" s="73">
        <v>2012</v>
      </c>
      <c r="B64" s="131">
        <v>148.46583726178244</v>
      </c>
      <c r="C64" s="131">
        <v>145.37214331960385</v>
      </c>
      <c r="D64" s="131">
        <v>125.65389132059357</v>
      </c>
      <c r="E64" s="131">
        <v>113.74358974358975</v>
      </c>
      <c r="F64" s="131">
        <v>121.91358024691357</v>
      </c>
      <c r="G64" s="127">
        <v>174.11504212985903</v>
      </c>
      <c r="I64" s="204"/>
    </row>
    <row r="65" spans="1:9">
      <c r="A65" s="73">
        <v>2013</v>
      </c>
      <c r="B65" s="131">
        <v>149.92497548411492</v>
      </c>
      <c r="C65" s="131">
        <v>146.5637182648465</v>
      </c>
      <c r="D65" s="131">
        <v>126.00619195046443</v>
      </c>
      <c r="E65" s="131">
        <v>114.76923076923077</v>
      </c>
      <c r="F65" s="131">
        <v>122.73662551440327</v>
      </c>
      <c r="G65" s="127">
        <v>175.81126251435717</v>
      </c>
      <c r="I65" s="204"/>
    </row>
    <row r="66" spans="1:9">
      <c r="A66" s="73">
        <v>2014</v>
      </c>
      <c r="B66" s="131">
        <v>152.61049870627019</v>
      </c>
      <c r="C66" s="131">
        <v>152.14690121637076</v>
      </c>
      <c r="D66" s="131">
        <v>125.87808263051137</v>
      </c>
      <c r="E66" s="131">
        <v>115.69230769230769</v>
      </c>
      <c r="F66" s="131">
        <v>124.79423868312756</v>
      </c>
      <c r="G66" s="127">
        <v>176.22571156050796</v>
      </c>
      <c r="I66" s="204"/>
    </row>
    <row r="67" spans="1:9">
      <c r="A67" s="73">
        <v>2015</v>
      </c>
      <c r="B67" s="131">
        <v>152.10954760807667</v>
      </c>
      <c r="C67" s="131">
        <v>157.19697491493673</v>
      </c>
      <c r="D67" s="131">
        <v>125.71794598057009</v>
      </c>
      <c r="E67" s="131">
        <v>116.30769230769231</v>
      </c>
      <c r="F67" s="131">
        <v>126.23456790123457</v>
      </c>
      <c r="G67" s="127">
        <v>174.00637613687454</v>
      </c>
      <c r="I67" s="204"/>
    </row>
    <row r="68" spans="1:9">
      <c r="A68" s="73">
        <v>2016</v>
      </c>
      <c r="B68" s="131">
        <v>158.78771409555094</v>
      </c>
      <c r="C68" s="131">
        <v>158.64660963637451</v>
      </c>
      <c r="D68" s="131">
        <v>126.63606277356676</v>
      </c>
      <c r="E68" s="131">
        <v>117.33333333333333</v>
      </c>
      <c r="F68" s="131">
        <v>128.90946502057611</v>
      </c>
      <c r="G68" s="127">
        <v>176.44775707076516</v>
      </c>
      <c r="I68" s="204"/>
    </row>
    <row r="69" spans="1:9">
      <c r="A69" s="73">
        <v>2017</v>
      </c>
      <c r="B69" s="131">
        <v>167.41218587176127</v>
      </c>
      <c r="C69" s="131">
        <v>166.57620799066947</v>
      </c>
      <c r="D69" s="131">
        <v>128.58972990285045</v>
      </c>
      <c r="E69" s="131">
        <v>118.15384615384616</v>
      </c>
      <c r="F69" s="131">
        <v>130.8641975308642</v>
      </c>
      <c r="G69" s="127">
        <v>180.53918800699668</v>
      </c>
      <c r="I69" s="204"/>
    </row>
    <row r="70" spans="1:9">
      <c r="A70" s="73">
        <v>2018</v>
      </c>
      <c r="B70" s="131">
        <v>173.88753017718392</v>
      </c>
      <c r="C70" s="131">
        <v>172.28474738151985</v>
      </c>
      <c r="D70" s="131">
        <v>129.46514358919617</v>
      </c>
      <c r="E70" s="131">
        <v>119.48717948717949</v>
      </c>
      <c r="F70" s="131">
        <v>133.1275720164609</v>
      </c>
      <c r="G70" s="127">
        <v>190.15001986077903</v>
      </c>
      <c r="I70" s="204"/>
    </row>
    <row r="71" spans="1:9">
      <c r="A71" s="73">
        <v>2019</v>
      </c>
      <c r="B71" s="131">
        <v>175.53019293706217</v>
      </c>
      <c r="C71" s="131">
        <v>176.49360131142126</v>
      </c>
      <c r="D71" s="131">
        <v>130.16974484893777</v>
      </c>
      <c r="E71" s="131">
        <v>121.02564102564102</v>
      </c>
      <c r="F71" s="131">
        <v>136.31687242798353</v>
      </c>
      <c r="G71" s="127">
        <v>194.98417600187329</v>
      </c>
      <c r="I71" s="204"/>
    </row>
    <row r="74" spans="1:9">
      <c r="A74" s="73" t="s">
        <v>117</v>
      </c>
      <c r="B74" s="73" t="s">
        <v>248</v>
      </c>
    </row>
    <row r="75" spans="1:9">
      <c r="B75" s="73" t="s">
        <v>596</v>
      </c>
    </row>
    <row r="76" spans="1:9">
      <c r="B76" s="73" t="s">
        <v>249</v>
      </c>
    </row>
    <row r="77" spans="1:9">
      <c r="B77" s="73" t="s">
        <v>595</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6DD4-C9C9-DA48-A668-31BF700607AC}">
  <sheetPr codeName="Sheet42"/>
  <dimension ref="A1:M62"/>
  <sheetViews>
    <sheetView zoomScale="81" zoomScaleNormal="68" workbookViewId="0">
      <selection activeCell="C61" sqref="C61"/>
    </sheetView>
  </sheetViews>
  <sheetFormatPr baseColWidth="10" defaultColWidth="11" defaultRowHeight="16"/>
  <cols>
    <col min="1" max="1" width="17" style="5" customWidth="1"/>
    <col min="2" max="2" width="21.5" style="5" customWidth="1"/>
    <col min="3" max="3" width="21.83203125" style="5" customWidth="1"/>
    <col min="4" max="4" width="21.5" style="5" customWidth="1"/>
    <col min="5" max="5" width="21.6640625" style="5" customWidth="1"/>
    <col min="6" max="6" width="22" style="5" customWidth="1"/>
    <col min="7" max="7" width="21.6640625" style="5" customWidth="1"/>
    <col min="8" max="8" width="22.1640625" style="5" customWidth="1"/>
    <col min="9" max="9" width="21.83203125" style="5" customWidth="1"/>
    <col min="10" max="10" width="21.6640625" style="5" customWidth="1"/>
    <col min="11" max="11" width="22" style="5" customWidth="1"/>
    <col min="12" max="12" width="21.5" style="5" customWidth="1"/>
    <col min="13" max="16384" width="11" style="5"/>
  </cols>
  <sheetData>
    <row r="1" spans="1:12">
      <c r="A1" s="84" t="s">
        <v>662</v>
      </c>
    </row>
    <row r="2" spans="1:12" ht="81" customHeight="1">
      <c r="B2" s="85" t="s">
        <v>250</v>
      </c>
      <c r="C2" s="85" t="s">
        <v>251</v>
      </c>
      <c r="D2" s="85" t="s">
        <v>252</v>
      </c>
      <c r="E2" s="85" t="s">
        <v>253</v>
      </c>
      <c r="F2" s="85" t="s">
        <v>254</v>
      </c>
      <c r="G2" s="85" t="s">
        <v>255</v>
      </c>
      <c r="H2" s="85" t="s">
        <v>256</v>
      </c>
      <c r="I2" s="85" t="s">
        <v>257</v>
      </c>
      <c r="J2" s="85" t="s">
        <v>258</v>
      </c>
      <c r="K2" s="85" t="s">
        <v>259</v>
      </c>
      <c r="L2" s="85" t="s">
        <v>260</v>
      </c>
    </row>
    <row r="3" spans="1:12">
      <c r="B3" s="135" t="s">
        <v>109</v>
      </c>
      <c r="C3" s="135" t="s">
        <v>110</v>
      </c>
      <c r="D3" s="135" t="s">
        <v>111</v>
      </c>
      <c r="E3" s="135" t="s">
        <v>112</v>
      </c>
      <c r="F3" s="135" t="s">
        <v>113</v>
      </c>
      <c r="G3" s="135" t="s">
        <v>114</v>
      </c>
      <c r="H3" s="135" t="s">
        <v>129</v>
      </c>
      <c r="I3" s="135" t="s">
        <v>130</v>
      </c>
      <c r="J3" s="135" t="s">
        <v>243</v>
      </c>
      <c r="K3" s="135" t="s">
        <v>261</v>
      </c>
      <c r="L3" s="135" t="s">
        <v>244</v>
      </c>
    </row>
    <row r="4" spans="1:12">
      <c r="A4" s="5">
        <v>1981</v>
      </c>
      <c r="B4" s="135" t="s">
        <v>87</v>
      </c>
      <c r="C4" s="135" t="s">
        <v>87</v>
      </c>
      <c r="D4" s="135" t="s">
        <v>87</v>
      </c>
      <c r="E4" s="135" t="s">
        <v>87</v>
      </c>
      <c r="F4" s="143">
        <v>41.721311475409834</v>
      </c>
      <c r="G4" s="135" t="s">
        <v>87</v>
      </c>
      <c r="H4" s="135" t="s">
        <v>87</v>
      </c>
      <c r="I4" s="20">
        <v>6652</v>
      </c>
      <c r="J4" s="20">
        <v>16898</v>
      </c>
      <c r="K4" s="135" t="s">
        <v>87</v>
      </c>
      <c r="L4" s="135" t="s">
        <v>87</v>
      </c>
    </row>
    <row r="5" spans="1:12">
      <c r="A5" s="5">
        <v>1982</v>
      </c>
      <c r="B5" s="135" t="s">
        <v>87</v>
      </c>
      <c r="C5" s="135" t="s">
        <v>87</v>
      </c>
      <c r="D5" s="135" t="s">
        <v>87</v>
      </c>
      <c r="E5" s="135" t="s">
        <v>87</v>
      </c>
      <c r="F5" s="143">
        <v>45.57377049180328</v>
      </c>
      <c r="G5" s="135" t="s">
        <v>87</v>
      </c>
      <c r="H5" s="135" t="s">
        <v>87</v>
      </c>
      <c r="I5" s="20">
        <v>7287</v>
      </c>
      <c r="J5" s="20">
        <v>16985</v>
      </c>
      <c r="K5" s="135" t="s">
        <v>87</v>
      </c>
      <c r="L5" s="135" t="s">
        <v>87</v>
      </c>
    </row>
    <row r="6" spans="1:12">
      <c r="A6" s="5">
        <v>1983</v>
      </c>
      <c r="B6" s="135" t="s">
        <v>87</v>
      </c>
      <c r="C6" s="135" t="s">
        <v>87</v>
      </c>
      <c r="D6" s="135" t="s">
        <v>87</v>
      </c>
      <c r="E6" s="135" t="s">
        <v>87</v>
      </c>
      <c r="F6" s="143">
        <v>48.606557377049178</v>
      </c>
      <c r="G6" s="135" t="s">
        <v>87</v>
      </c>
      <c r="H6" s="135" t="s">
        <v>87</v>
      </c>
      <c r="I6" s="20">
        <v>8323</v>
      </c>
      <c r="J6" s="20">
        <v>18242</v>
      </c>
      <c r="K6" s="135" t="s">
        <v>87</v>
      </c>
      <c r="L6" s="135" t="s">
        <v>87</v>
      </c>
    </row>
    <row r="7" spans="1:12">
      <c r="A7" s="5">
        <v>1984</v>
      </c>
      <c r="B7" s="135" t="s">
        <v>87</v>
      </c>
      <c r="C7" s="135" t="s">
        <v>87</v>
      </c>
      <c r="D7" s="135" t="s">
        <v>87</v>
      </c>
      <c r="E7" s="135" t="s">
        <v>87</v>
      </c>
      <c r="F7" s="143">
        <v>51.065573770491802</v>
      </c>
      <c r="G7" s="135" t="s">
        <v>87</v>
      </c>
      <c r="H7" s="135" t="s">
        <v>87</v>
      </c>
      <c r="I7" s="20">
        <v>9214</v>
      </c>
      <c r="J7" s="20">
        <v>18651</v>
      </c>
      <c r="K7" s="135" t="s">
        <v>87</v>
      </c>
      <c r="L7" s="135" t="s">
        <v>87</v>
      </c>
    </row>
    <row r="8" spans="1:12">
      <c r="A8" s="5">
        <v>1985</v>
      </c>
      <c r="B8" s="135" t="s">
        <v>87</v>
      </c>
      <c r="C8" s="135" t="s">
        <v>87</v>
      </c>
      <c r="D8" s="135" t="s">
        <v>87</v>
      </c>
      <c r="E8" s="135" t="s">
        <v>87</v>
      </c>
      <c r="F8" s="143">
        <v>53.442622950819676</v>
      </c>
      <c r="G8" s="135" t="s">
        <v>87</v>
      </c>
      <c r="H8" s="135" t="s">
        <v>87</v>
      </c>
      <c r="I8" s="20">
        <v>9796</v>
      </c>
      <c r="J8" s="20">
        <v>19336</v>
      </c>
      <c r="K8" s="135" t="s">
        <v>87</v>
      </c>
      <c r="L8" s="135" t="s">
        <v>87</v>
      </c>
    </row>
    <row r="9" spans="1:12">
      <c r="A9" s="5">
        <v>1986</v>
      </c>
      <c r="B9" s="135" t="s">
        <v>87</v>
      </c>
      <c r="C9" s="135" t="s">
        <v>87</v>
      </c>
      <c r="D9" s="135" t="s">
        <v>87</v>
      </c>
      <c r="E9" s="135" t="s">
        <v>87</v>
      </c>
      <c r="F9" s="143">
        <v>55.327868852459019</v>
      </c>
      <c r="G9" s="135" t="s">
        <v>87</v>
      </c>
      <c r="H9" s="135" t="s">
        <v>87</v>
      </c>
      <c r="I9" s="20">
        <v>10993</v>
      </c>
      <c r="J9" s="20">
        <v>20647</v>
      </c>
      <c r="K9" s="135" t="s">
        <v>87</v>
      </c>
      <c r="L9" s="135" t="s">
        <v>87</v>
      </c>
    </row>
    <row r="10" spans="1:12">
      <c r="A10" s="5">
        <v>1987</v>
      </c>
      <c r="B10" s="135" t="s">
        <v>87</v>
      </c>
      <c r="C10" s="135" t="s">
        <v>87</v>
      </c>
      <c r="D10" s="135" t="s">
        <v>87</v>
      </c>
      <c r="E10" s="135" t="s">
        <v>87</v>
      </c>
      <c r="F10" s="143">
        <v>56.885245901639351</v>
      </c>
      <c r="G10" s="135" t="s">
        <v>87</v>
      </c>
      <c r="H10" s="135" t="s">
        <v>87</v>
      </c>
      <c r="I10" s="20">
        <v>12085</v>
      </c>
      <c r="J10" s="20">
        <v>21712</v>
      </c>
      <c r="K10" s="135" t="s">
        <v>87</v>
      </c>
      <c r="L10" s="135" t="s">
        <v>87</v>
      </c>
    </row>
    <row r="11" spans="1:12">
      <c r="A11" s="5">
        <v>1988</v>
      </c>
      <c r="B11" s="135" t="s">
        <v>87</v>
      </c>
      <c r="C11" s="135" t="s">
        <v>87</v>
      </c>
      <c r="D11" s="135" t="s">
        <v>87</v>
      </c>
      <c r="E11" s="135" t="s">
        <v>87</v>
      </c>
      <c r="F11" s="143">
        <v>58.852459016393446</v>
      </c>
      <c r="G11" s="135" t="s">
        <v>87</v>
      </c>
      <c r="H11" s="135" t="s">
        <v>87</v>
      </c>
      <c r="I11" s="20">
        <v>12870</v>
      </c>
      <c r="J11" s="20">
        <v>21783</v>
      </c>
      <c r="K11" s="135" t="s">
        <v>87</v>
      </c>
      <c r="L11" s="135" t="s">
        <v>87</v>
      </c>
    </row>
    <row r="12" spans="1:12">
      <c r="A12" s="5">
        <v>1989</v>
      </c>
      <c r="B12" s="135" t="s">
        <v>87</v>
      </c>
      <c r="C12" s="135" t="s">
        <v>87</v>
      </c>
      <c r="D12" s="135" t="s">
        <v>87</v>
      </c>
      <c r="E12" s="135" t="s">
        <v>87</v>
      </c>
      <c r="F12" s="143">
        <v>61.639344262295083</v>
      </c>
      <c r="G12" s="135" t="s">
        <v>87</v>
      </c>
      <c r="H12" s="135" t="s">
        <v>87</v>
      </c>
      <c r="I12" s="20">
        <v>13484</v>
      </c>
      <c r="J12" s="20">
        <v>21830</v>
      </c>
      <c r="K12" s="135" t="s">
        <v>87</v>
      </c>
      <c r="L12" s="135" t="s">
        <v>87</v>
      </c>
    </row>
    <row r="13" spans="1:12">
      <c r="A13" s="5">
        <v>1990</v>
      </c>
      <c r="B13" s="135" t="s">
        <v>87</v>
      </c>
      <c r="C13" s="135" t="s">
        <v>87</v>
      </c>
      <c r="D13" s="135" t="s">
        <v>87</v>
      </c>
      <c r="E13" s="135" t="s">
        <v>87</v>
      </c>
      <c r="F13" s="143">
        <v>64.508196721311478</v>
      </c>
      <c r="G13" s="135" t="s">
        <v>87</v>
      </c>
      <c r="H13" s="135" t="s">
        <v>87</v>
      </c>
      <c r="I13" s="20">
        <v>13814</v>
      </c>
      <c r="J13" s="20">
        <v>21610</v>
      </c>
      <c r="K13" s="135" t="s">
        <v>87</v>
      </c>
      <c r="L13" s="135" t="s">
        <v>87</v>
      </c>
    </row>
    <row r="14" spans="1:12">
      <c r="A14" s="5">
        <v>1991</v>
      </c>
      <c r="B14" s="135" t="s">
        <v>87</v>
      </c>
      <c r="C14" s="135" t="s">
        <v>87</v>
      </c>
      <c r="D14" s="135" t="s">
        <v>87</v>
      </c>
      <c r="E14" s="135" t="s">
        <v>87</v>
      </c>
      <c r="F14" s="143">
        <v>68.688524590163937</v>
      </c>
      <c r="G14" s="135" t="s">
        <v>87</v>
      </c>
      <c r="H14" s="135" t="s">
        <v>87</v>
      </c>
      <c r="I14" s="20">
        <v>13952</v>
      </c>
      <c r="J14" s="20">
        <v>21546</v>
      </c>
      <c r="K14" s="135" t="s">
        <v>87</v>
      </c>
      <c r="L14" s="135" t="s">
        <v>87</v>
      </c>
    </row>
    <row r="15" spans="1:12">
      <c r="A15" s="5">
        <v>1992</v>
      </c>
      <c r="B15" s="135" t="s">
        <v>87</v>
      </c>
      <c r="C15" s="135" t="s">
        <v>87</v>
      </c>
      <c r="D15" s="135" t="s">
        <v>87</v>
      </c>
      <c r="E15" s="135" t="s">
        <v>87</v>
      </c>
      <c r="F15" s="143">
        <v>69.098360655737707</v>
      </c>
      <c r="G15" s="135" t="s">
        <v>87</v>
      </c>
      <c r="H15" s="135" t="s">
        <v>87</v>
      </c>
      <c r="I15" s="20">
        <v>14422</v>
      </c>
      <c r="J15" s="20">
        <v>21842</v>
      </c>
      <c r="K15" s="135" t="s">
        <v>87</v>
      </c>
      <c r="L15" s="135" t="s">
        <v>87</v>
      </c>
    </row>
    <row r="16" spans="1:12">
      <c r="A16" s="5">
        <v>1993</v>
      </c>
      <c r="B16" s="135" t="s">
        <v>87</v>
      </c>
      <c r="C16" s="135" t="s">
        <v>87</v>
      </c>
      <c r="D16" s="135" t="s">
        <v>87</v>
      </c>
      <c r="E16" s="135" t="s">
        <v>87</v>
      </c>
      <c r="F16" s="143">
        <v>70</v>
      </c>
      <c r="G16" s="135" t="s">
        <v>87</v>
      </c>
      <c r="H16" s="135" t="s">
        <v>87</v>
      </c>
      <c r="I16" s="20">
        <v>15146</v>
      </c>
      <c r="J16" s="20">
        <v>22523</v>
      </c>
      <c r="K16" s="135" t="s">
        <v>87</v>
      </c>
      <c r="L16" s="135" t="s">
        <v>87</v>
      </c>
    </row>
    <row r="17" spans="1:12">
      <c r="A17" s="5">
        <v>1994</v>
      </c>
      <c r="B17" s="135" t="s">
        <v>87</v>
      </c>
      <c r="C17" s="135" t="s">
        <v>87</v>
      </c>
      <c r="D17" s="135" t="s">
        <v>87</v>
      </c>
      <c r="E17" s="135" t="s">
        <v>87</v>
      </c>
      <c r="F17" s="143">
        <v>70.409836065573771</v>
      </c>
      <c r="G17" s="135" t="s">
        <v>87</v>
      </c>
      <c r="H17" s="135" t="s">
        <v>87</v>
      </c>
      <c r="I17" s="20">
        <v>15816</v>
      </c>
      <c r="J17" s="20">
        <v>22983</v>
      </c>
      <c r="K17" s="135" t="s">
        <v>87</v>
      </c>
      <c r="L17" s="135" t="s">
        <v>87</v>
      </c>
    </row>
    <row r="18" spans="1:12">
      <c r="A18" s="5">
        <v>1995</v>
      </c>
      <c r="B18" s="135" t="s">
        <v>87</v>
      </c>
      <c r="C18" s="135" t="s">
        <v>87</v>
      </c>
      <c r="D18" s="135" t="s">
        <v>87</v>
      </c>
      <c r="E18" s="135" t="s">
        <v>87</v>
      </c>
      <c r="F18" s="143">
        <v>71.47540983606558</v>
      </c>
      <c r="G18" s="135" t="s">
        <v>87</v>
      </c>
      <c r="H18" s="135" t="s">
        <v>87</v>
      </c>
      <c r="I18" s="20">
        <v>17047</v>
      </c>
      <c r="J18" s="20">
        <v>23762</v>
      </c>
      <c r="K18" s="135" t="s">
        <v>87</v>
      </c>
      <c r="L18" s="135" t="s">
        <v>87</v>
      </c>
    </row>
    <row r="19" spans="1:12">
      <c r="A19" s="5">
        <v>1996</v>
      </c>
      <c r="B19" s="135" t="s">
        <v>87</v>
      </c>
      <c r="C19" s="135" t="s">
        <v>87</v>
      </c>
      <c r="D19" s="135" t="s">
        <v>87</v>
      </c>
      <c r="E19" s="135" t="s">
        <v>87</v>
      </c>
      <c r="F19" s="143">
        <v>72.540983606557376</v>
      </c>
      <c r="G19" s="135" t="s">
        <v>87</v>
      </c>
      <c r="H19" s="135" t="s">
        <v>87</v>
      </c>
      <c r="I19" s="20">
        <v>17316</v>
      </c>
      <c r="J19" s="20">
        <v>24010</v>
      </c>
      <c r="K19" s="135" t="s">
        <v>87</v>
      </c>
      <c r="L19" s="135" t="s">
        <v>87</v>
      </c>
    </row>
    <row r="20" spans="1:12">
      <c r="A20" s="5">
        <v>1997</v>
      </c>
      <c r="B20" s="20">
        <v>314725</v>
      </c>
      <c r="C20" s="58">
        <v>585815.6</v>
      </c>
      <c r="D20" s="20">
        <v>1861</v>
      </c>
      <c r="E20" s="20">
        <v>9400223</v>
      </c>
      <c r="F20" s="143">
        <v>73.852459016393439</v>
      </c>
      <c r="G20" s="20">
        <f t="shared" ref="G20:G42" si="0">E20/F20*100</f>
        <v>12728381.864594895</v>
      </c>
      <c r="H20" s="143">
        <f t="shared" ref="H20:H42" si="1">G20/C20</f>
        <v>21.727625322020948</v>
      </c>
      <c r="I20" s="20">
        <v>17463</v>
      </c>
      <c r="J20" s="20">
        <v>24232</v>
      </c>
      <c r="K20" s="143">
        <f t="shared" ref="K20:K42" si="2">J20/(C20/1000)</f>
        <v>41.364552258423977</v>
      </c>
      <c r="L20" s="8">
        <f t="shared" ref="L20:L42" si="3">E20/(I20*10)</f>
        <v>53.829370669415333</v>
      </c>
    </row>
    <row r="21" spans="1:12">
      <c r="A21" s="5">
        <v>1998</v>
      </c>
      <c r="B21" s="20">
        <v>321660</v>
      </c>
      <c r="C21" s="58">
        <v>596135.30000000005</v>
      </c>
      <c r="D21" s="20">
        <v>1853</v>
      </c>
      <c r="E21" s="20">
        <v>9796622</v>
      </c>
      <c r="F21" s="143">
        <v>74.26229508196721</v>
      </c>
      <c r="G21" s="20">
        <f t="shared" si="0"/>
        <v>13191919.249448124</v>
      </c>
      <c r="H21" s="143">
        <f t="shared" si="1"/>
        <v>22.129069104695063</v>
      </c>
      <c r="I21" s="20">
        <v>18231</v>
      </c>
      <c r="J21" s="20">
        <v>25060</v>
      </c>
      <c r="K21" s="143">
        <f t="shared" si="2"/>
        <v>42.037436803356549</v>
      </c>
      <c r="L21" s="8">
        <f t="shared" si="3"/>
        <v>53.736064944325598</v>
      </c>
    </row>
    <row r="22" spans="1:12">
      <c r="A22" s="5">
        <v>1999</v>
      </c>
      <c r="B22" s="20">
        <v>331935</v>
      </c>
      <c r="C22" s="58">
        <v>611952.4</v>
      </c>
      <c r="D22" s="20">
        <v>1844</v>
      </c>
      <c r="E22" s="20">
        <v>10420219</v>
      </c>
      <c r="F22" s="143">
        <v>75.491803278688522</v>
      </c>
      <c r="G22" s="20">
        <f t="shared" si="0"/>
        <v>13803113.116178067</v>
      </c>
      <c r="H22" s="143">
        <f t="shared" si="1"/>
        <v>22.55586074370828</v>
      </c>
      <c r="I22" s="20">
        <v>19760</v>
      </c>
      <c r="J22" s="20">
        <v>26629</v>
      </c>
      <c r="K22" s="143">
        <f t="shared" si="2"/>
        <v>43.514822394682987</v>
      </c>
      <c r="L22" s="8">
        <f t="shared" si="3"/>
        <v>52.733901821862347</v>
      </c>
    </row>
    <row r="23" spans="1:12">
      <c r="A23" s="5">
        <v>2000</v>
      </c>
      <c r="B23" s="20">
        <v>337485</v>
      </c>
      <c r="C23" s="58">
        <v>623276.19999999995</v>
      </c>
      <c r="D23" s="20">
        <v>1847</v>
      </c>
      <c r="E23" s="20">
        <v>11070751</v>
      </c>
      <c r="F23" s="143">
        <v>77.950819672131146</v>
      </c>
      <c r="G23" s="20">
        <f t="shared" si="0"/>
        <v>14202225.257623553</v>
      </c>
      <c r="H23" s="143">
        <f t="shared" si="1"/>
        <v>22.786407146018981</v>
      </c>
      <c r="I23" s="20">
        <v>20893</v>
      </c>
      <c r="J23" s="20">
        <v>27184</v>
      </c>
      <c r="K23" s="143">
        <f t="shared" si="2"/>
        <v>43.614692811950789</v>
      </c>
      <c r="L23" s="8">
        <f t="shared" si="3"/>
        <v>52.987847604460825</v>
      </c>
    </row>
    <row r="24" spans="1:12">
      <c r="A24" s="5">
        <v>2001</v>
      </c>
      <c r="B24" s="20">
        <v>333390</v>
      </c>
      <c r="C24" s="58">
        <v>608946</v>
      </c>
      <c r="D24" s="20">
        <v>1827</v>
      </c>
      <c r="E24" s="20">
        <v>11100554</v>
      </c>
      <c r="F24" s="143">
        <v>79.344262295081975</v>
      </c>
      <c r="G24" s="20">
        <f t="shared" si="0"/>
        <v>13990367.644628096</v>
      </c>
      <c r="H24" s="143">
        <f t="shared" si="1"/>
        <v>22.974726239482806</v>
      </c>
      <c r="I24" s="20">
        <v>21506</v>
      </c>
      <c r="J24" s="20">
        <v>27683</v>
      </c>
      <c r="K24" s="143">
        <f t="shared" si="2"/>
        <v>45.460517024498067</v>
      </c>
      <c r="L24" s="8">
        <f t="shared" si="3"/>
        <v>51.616079233702223</v>
      </c>
    </row>
    <row r="25" spans="1:12">
      <c r="A25" s="5">
        <v>2002</v>
      </c>
      <c r="B25" s="20">
        <v>344305</v>
      </c>
      <c r="C25" s="58">
        <v>627008.4</v>
      </c>
      <c r="D25" s="20">
        <v>1821</v>
      </c>
      <c r="E25" s="20">
        <v>11567169</v>
      </c>
      <c r="F25" s="143">
        <v>81.967213114754102</v>
      </c>
      <c r="G25" s="20">
        <f t="shared" si="0"/>
        <v>14111946.18</v>
      </c>
      <c r="H25" s="143">
        <f t="shared" si="1"/>
        <v>22.506789669803464</v>
      </c>
      <c r="I25" s="20">
        <v>22095</v>
      </c>
      <c r="J25" s="20">
        <v>28999</v>
      </c>
      <c r="K25" s="143">
        <f t="shared" si="2"/>
        <v>46.249779109817347</v>
      </c>
      <c r="L25" s="8">
        <f t="shared" si="3"/>
        <v>52.351975560081463</v>
      </c>
    </row>
    <row r="26" spans="1:12">
      <c r="A26" s="5">
        <v>2003</v>
      </c>
      <c r="B26" s="20">
        <v>344495</v>
      </c>
      <c r="C26" s="58">
        <v>624835.6</v>
      </c>
      <c r="D26" s="20">
        <v>1814</v>
      </c>
      <c r="E26" s="20">
        <v>12184969</v>
      </c>
      <c r="F26" s="143">
        <v>84.754098360655732</v>
      </c>
      <c r="G26" s="20">
        <f t="shared" si="0"/>
        <v>14376849.30367505</v>
      </c>
      <c r="H26" s="143">
        <f t="shared" si="1"/>
        <v>23.009011176179865</v>
      </c>
      <c r="I26" s="20">
        <v>23179</v>
      </c>
      <c r="J26" s="20">
        <v>29722</v>
      </c>
      <c r="K26" s="143">
        <f t="shared" si="2"/>
        <v>47.567712211019987</v>
      </c>
      <c r="L26" s="8">
        <f t="shared" si="3"/>
        <v>52.569002113982485</v>
      </c>
    </row>
    <row r="27" spans="1:12">
      <c r="A27" s="5">
        <v>2004</v>
      </c>
      <c r="B27" s="20">
        <v>349700</v>
      </c>
      <c r="C27" s="58">
        <v>630402.1</v>
      </c>
      <c r="D27" s="20">
        <v>1803</v>
      </c>
      <c r="E27" s="20">
        <v>12741533</v>
      </c>
      <c r="F27" s="143">
        <v>85.983606557377058</v>
      </c>
      <c r="G27" s="20">
        <f t="shared" si="0"/>
        <v>14818560.781696852</v>
      </c>
      <c r="H27" s="143">
        <f t="shared" si="1"/>
        <v>23.506521919417548</v>
      </c>
      <c r="I27" s="20">
        <v>24502</v>
      </c>
      <c r="J27" s="20">
        <v>30475</v>
      </c>
      <c r="K27" s="143">
        <f t="shared" si="2"/>
        <v>48.342161296734261</v>
      </c>
      <c r="L27" s="8">
        <f t="shared" si="3"/>
        <v>52.00201208064648</v>
      </c>
    </row>
    <row r="28" spans="1:12">
      <c r="A28" s="5">
        <v>2005</v>
      </c>
      <c r="B28" s="20">
        <v>349610</v>
      </c>
      <c r="C28" s="58">
        <v>625273.1</v>
      </c>
      <c r="D28" s="20">
        <v>1788</v>
      </c>
      <c r="E28" s="20">
        <v>13133979</v>
      </c>
      <c r="F28" s="143">
        <v>88.032786885245912</v>
      </c>
      <c r="G28" s="20">
        <f t="shared" si="0"/>
        <v>14919417.486033518</v>
      </c>
      <c r="H28" s="143">
        <f t="shared" si="1"/>
        <v>23.860641831598894</v>
      </c>
      <c r="I28" s="20">
        <v>25643</v>
      </c>
      <c r="J28" s="20">
        <v>30716</v>
      </c>
      <c r="K28" s="143">
        <f t="shared" si="2"/>
        <v>49.124134718093579</v>
      </c>
      <c r="L28" s="8">
        <f t="shared" si="3"/>
        <v>51.218574269781229</v>
      </c>
    </row>
    <row r="29" spans="1:12">
      <c r="A29" s="5">
        <v>2006</v>
      </c>
      <c r="B29" s="20">
        <v>353395</v>
      </c>
      <c r="C29" s="58">
        <v>637062.30000000005</v>
      </c>
      <c r="D29" s="20">
        <v>1803</v>
      </c>
      <c r="E29" s="20">
        <v>13702882</v>
      </c>
      <c r="F29" s="143">
        <v>89.508196721311478</v>
      </c>
      <c r="G29" s="20">
        <f t="shared" si="0"/>
        <v>15309080.622710623</v>
      </c>
      <c r="H29" s="143">
        <f t="shared" si="1"/>
        <v>24.030743339718299</v>
      </c>
      <c r="I29" s="20">
        <v>26792</v>
      </c>
      <c r="J29" s="20">
        <v>31348</v>
      </c>
      <c r="K29" s="143">
        <f t="shared" si="2"/>
        <v>49.207118361893329</v>
      </c>
      <c r="L29" s="8">
        <f t="shared" si="3"/>
        <v>51.145424007166319</v>
      </c>
    </row>
    <row r="30" spans="1:12">
      <c r="A30" s="5">
        <v>2007</v>
      </c>
      <c r="B30" s="20">
        <v>359605</v>
      </c>
      <c r="C30" s="58">
        <v>644379.30000000005</v>
      </c>
      <c r="D30" s="20">
        <v>1792</v>
      </c>
      <c r="E30" s="20">
        <v>14505431</v>
      </c>
      <c r="F30" s="143">
        <v>91.229508196721312</v>
      </c>
      <c r="G30" s="20">
        <f t="shared" si="0"/>
        <v>15899933.351302784</v>
      </c>
      <c r="H30" s="143">
        <f t="shared" si="1"/>
        <v>24.674804655119715</v>
      </c>
      <c r="I30" s="20">
        <v>28352</v>
      </c>
      <c r="J30" s="20">
        <v>31644</v>
      </c>
      <c r="K30" s="143">
        <f t="shared" si="2"/>
        <v>49.107722734110169</v>
      </c>
      <c r="L30" s="8">
        <f t="shared" si="3"/>
        <v>51.161932138826188</v>
      </c>
    </row>
    <row r="31" spans="1:12">
      <c r="A31" s="5">
        <v>2008</v>
      </c>
      <c r="B31" s="20">
        <v>362110</v>
      </c>
      <c r="C31" s="58">
        <v>649533</v>
      </c>
      <c r="D31" s="20">
        <v>1794</v>
      </c>
      <c r="E31" s="20">
        <v>15432294</v>
      </c>
      <c r="F31" s="143">
        <v>92.786885245901644</v>
      </c>
      <c r="G31" s="20">
        <f t="shared" si="0"/>
        <v>16631977.632508835</v>
      </c>
      <c r="H31" s="143">
        <f t="shared" si="1"/>
        <v>25.606054861737334</v>
      </c>
      <c r="I31" s="20">
        <v>28842</v>
      </c>
      <c r="J31" s="20">
        <v>31887</v>
      </c>
      <c r="K31" s="143">
        <f t="shared" si="2"/>
        <v>49.092193930100549</v>
      </c>
      <c r="L31" s="8">
        <f t="shared" si="3"/>
        <v>53.50632411067194</v>
      </c>
    </row>
    <row r="32" spans="1:12">
      <c r="A32" s="5">
        <v>2009</v>
      </c>
      <c r="B32" s="20">
        <v>362365</v>
      </c>
      <c r="C32" s="58">
        <v>646488.80000000005</v>
      </c>
      <c r="D32" s="20">
        <v>1784</v>
      </c>
      <c r="E32" s="20">
        <v>15790843</v>
      </c>
      <c r="F32" s="143">
        <v>93.032786885245898</v>
      </c>
      <c r="G32" s="20">
        <f t="shared" si="0"/>
        <v>16973417.145374451</v>
      </c>
      <c r="H32" s="143">
        <f t="shared" si="1"/>
        <v>26.254773702768631</v>
      </c>
      <c r="I32" s="20">
        <v>28914</v>
      </c>
      <c r="J32" s="20">
        <v>31425</v>
      </c>
      <c r="K32" s="143">
        <f t="shared" si="2"/>
        <v>48.608730731298046</v>
      </c>
      <c r="L32" s="8">
        <f t="shared" si="3"/>
        <v>54.613138963823751</v>
      </c>
    </row>
    <row r="33" spans="1:13">
      <c r="A33" s="5">
        <v>2010</v>
      </c>
      <c r="B33" s="20">
        <v>360235</v>
      </c>
      <c r="C33" s="58">
        <v>648506.6</v>
      </c>
      <c r="D33" s="20">
        <v>1800</v>
      </c>
      <c r="E33" s="20">
        <v>16261542</v>
      </c>
      <c r="F33" s="143">
        <v>95</v>
      </c>
      <c r="G33" s="20">
        <f t="shared" si="0"/>
        <v>17117412.631578948</v>
      </c>
      <c r="H33" s="143">
        <f t="shared" si="1"/>
        <v>26.395124786052985</v>
      </c>
      <c r="I33" s="20">
        <v>30269</v>
      </c>
      <c r="J33" s="20">
        <v>32050</v>
      </c>
      <c r="K33" s="143">
        <f t="shared" si="2"/>
        <v>49.421239506274887</v>
      </c>
      <c r="L33" s="8">
        <f t="shared" si="3"/>
        <v>53.723420000660745</v>
      </c>
    </row>
    <row r="34" spans="1:13">
      <c r="A34" s="5">
        <v>2011</v>
      </c>
      <c r="B34" s="20">
        <v>357365</v>
      </c>
      <c r="C34" s="58">
        <v>629943.19999999995</v>
      </c>
      <c r="D34" s="20">
        <v>1763</v>
      </c>
      <c r="E34" s="20">
        <v>16768599</v>
      </c>
      <c r="F34" s="143">
        <v>98.360655737704917</v>
      </c>
      <c r="G34" s="20">
        <f t="shared" si="0"/>
        <v>17048075.649999999</v>
      </c>
      <c r="H34" s="143">
        <f t="shared" si="1"/>
        <v>27.06287749435187</v>
      </c>
      <c r="I34" s="20">
        <v>31561</v>
      </c>
      <c r="J34" s="20">
        <v>32136</v>
      </c>
      <c r="K34" s="143">
        <f t="shared" si="2"/>
        <v>51.014123178089712</v>
      </c>
      <c r="L34" s="8">
        <f t="shared" si="3"/>
        <v>53.130759481638734</v>
      </c>
    </row>
    <row r="35" spans="1:13">
      <c r="A35" s="5">
        <v>2012</v>
      </c>
      <c r="B35" s="20">
        <v>354275</v>
      </c>
      <c r="C35" s="58">
        <v>632467.69999999995</v>
      </c>
      <c r="D35" s="20">
        <v>1785</v>
      </c>
      <c r="E35" s="20">
        <v>16890115</v>
      </c>
      <c r="F35" s="143">
        <v>100</v>
      </c>
      <c r="G35" s="20">
        <f t="shared" si="0"/>
        <v>16890115</v>
      </c>
      <c r="H35" s="143">
        <f t="shared" si="1"/>
        <v>26.705102885095954</v>
      </c>
      <c r="I35" s="20">
        <v>31797</v>
      </c>
      <c r="J35" s="20">
        <v>31796</v>
      </c>
      <c r="K35" s="143">
        <f t="shared" si="2"/>
        <v>50.272923028322246</v>
      </c>
      <c r="L35" s="8">
        <f t="shared" si="3"/>
        <v>53.11858036921722</v>
      </c>
    </row>
    <row r="36" spans="1:13">
      <c r="A36" s="5">
        <v>2013</v>
      </c>
      <c r="B36" s="20">
        <v>352280</v>
      </c>
      <c r="C36" s="58">
        <v>622877</v>
      </c>
      <c r="D36" s="20">
        <v>1768</v>
      </c>
      <c r="E36" s="20">
        <v>17010975</v>
      </c>
      <c r="F36" s="143">
        <v>100.81967213114753</v>
      </c>
      <c r="G36" s="20">
        <f t="shared" si="0"/>
        <v>16872674.390243907</v>
      </c>
      <c r="H36" s="143">
        <f t="shared" si="1"/>
        <v>27.088292536478161</v>
      </c>
      <c r="I36" s="20">
        <v>31891</v>
      </c>
      <c r="J36" s="20">
        <v>31710</v>
      </c>
      <c r="K36" s="143">
        <f t="shared" si="2"/>
        <v>50.908927444744315</v>
      </c>
      <c r="L36" s="8">
        <f t="shared" si="3"/>
        <v>53.340989620896181</v>
      </c>
    </row>
    <row r="37" spans="1:13">
      <c r="A37" s="5">
        <v>2014</v>
      </c>
      <c r="B37" s="20">
        <v>351135</v>
      </c>
      <c r="C37" s="58">
        <v>614628.4</v>
      </c>
      <c r="D37" s="20">
        <v>1750</v>
      </c>
      <c r="E37" s="20">
        <v>17451443</v>
      </c>
      <c r="F37" s="143">
        <v>102.29508196721311</v>
      </c>
      <c r="G37" s="20">
        <f t="shared" si="0"/>
        <v>17059904.214743592</v>
      </c>
      <c r="H37" s="143">
        <f t="shared" si="1"/>
        <v>27.756452866062798</v>
      </c>
      <c r="I37" s="20">
        <v>32462</v>
      </c>
      <c r="J37" s="20">
        <v>31747</v>
      </c>
      <c r="K37" s="143">
        <f t="shared" si="2"/>
        <v>51.652347987824832</v>
      </c>
      <c r="L37" s="8">
        <f t="shared" si="3"/>
        <v>53.759605076705071</v>
      </c>
    </row>
    <row r="38" spans="1:13">
      <c r="A38" s="5">
        <v>2015</v>
      </c>
      <c r="B38" s="20">
        <v>347695</v>
      </c>
      <c r="C38" s="58">
        <v>614684.5</v>
      </c>
      <c r="D38" s="20">
        <v>1768</v>
      </c>
      <c r="E38" s="20">
        <v>17706616</v>
      </c>
      <c r="F38" s="143">
        <v>102.78688524590164</v>
      </c>
      <c r="G38" s="20">
        <f t="shared" si="0"/>
        <v>17226532.312599681</v>
      </c>
      <c r="H38" s="143">
        <f t="shared" si="1"/>
        <v>28.02499869868149</v>
      </c>
      <c r="I38" s="20">
        <v>33453</v>
      </c>
      <c r="J38" s="20">
        <v>31954</v>
      </c>
      <c r="K38" s="143">
        <f t="shared" si="2"/>
        <v>51.984391992965499</v>
      </c>
      <c r="L38" s="8">
        <f t="shared" si="3"/>
        <v>52.929829910620875</v>
      </c>
    </row>
    <row r="39" spans="1:13">
      <c r="A39" s="5">
        <v>2016</v>
      </c>
      <c r="B39" s="20">
        <v>352480</v>
      </c>
      <c r="C39" s="58">
        <v>626306.5</v>
      </c>
      <c r="D39" s="20">
        <v>1777</v>
      </c>
      <c r="E39" s="20">
        <v>18223034</v>
      </c>
      <c r="F39" s="143">
        <v>105.08196721311474</v>
      </c>
      <c r="G39" s="20">
        <f t="shared" si="0"/>
        <v>17341732.823712952</v>
      </c>
      <c r="H39" s="143">
        <f t="shared" si="1"/>
        <v>27.688891658817134</v>
      </c>
      <c r="I39" s="20">
        <v>34330</v>
      </c>
      <c r="J39" s="20">
        <v>32213</v>
      </c>
      <c r="K39" s="143">
        <f t="shared" si="2"/>
        <v>51.433283863411923</v>
      </c>
      <c r="L39" s="8">
        <f t="shared" si="3"/>
        <v>53.081951645790852</v>
      </c>
    </row>
    <row r="40" spans="1:13">
      <c r="A40" s="5">
        <v>2017</v>
      </c>
      <c r="B40" s="20">
        <v>356810</v>
      </c>
      <c r="C40" s="58">
        <v>632103.30000000005</v>
      </c>
      <c r="D40" s="20">
        <v>1772</v>
      </c>
      <c r="E40" s="20">
        <v>18800745</v>
      </c>
      <c r="F40" s="143">
        <v>107.54098360655738</v>
      </c>
      <c r="G40" s="20">
        <f t="shared" si="0"/>
        <v>17482400.076219514</v>
      </c>
      <c r="H40" s="143">
        <f t="shared" si="1"/>
        <v>27.657504835395596</v>
      </c>
      <c r="I40" s="20">
        <v>35828</v>
      </c>
      <c r="J40" s="20">
        <v>33014</v>
      </c>
      <c r="K40" s="143">
        <f t="shared" si="2"/>
        <v>52.228805007029706</v>
      </c>
      <c r="L40" s="8">
        <f t="shared" si="3"/>
        <v>52.475005582226188</v>
      </c>
    </row>
    <row r="41" spans="1:13">
      <c r="A41" s="5">
        <v>2018</v>
      </c>
      <c r="B41" s="20">
        <v>356905</v>
      </c>
      <c r="C41" s="58">
        <v>635691.30000000005</v>
      </c>
      <c r="D41" s="20">
        <v>1781</v>
      </c>
      <c r="E41" s="20">
        <v>19705857</v>
      </c>
      <c r="F41" s="143">
        <v>109.8360655737705</v>
      </c>
      <c r="G41" s="20">
        <f t="shared" si="0"/>
        <v>17941153.388059702</v>
      </c>
      <c r="H41" s="143">
        <f t="shared" si="1"/>
        <v>28.223059507121931</v>
      </c>
      <c r="I41" s="20">
        <v>37105</v>
      </c>
      <c r="J41" s="20">
        <v>33176</v>
      </c>
      <c r="K41" s="143">
        <f t="shared" si="2"/>
        <v>52.188853300336177</v>
      </c>
      <c r="L41" s="8">
        <f t="shared" si="3"/>
        <v>53.108360059291201</v>
      </c>
    </row>
    <row r="42" spans="1:13">
      <c r="A42" s="5">
        <v>2019</v>
      </c>
      <c r="B42" s="20">
        <v>358395</v>
      </c>
      <c r="C42" s="58">
        <v>633866.5</v>
      </c>
      <c r="D42" s="20">
        <v>1769</v>
      </c>
      <c r="E42" s="20">
        <v>20184700</v>
      </c>
      <c r="F42" s="143">
        <v>111.72131147540985</v>
      </c>
      <c r="G42" s="20">
        <f t="shared" si="0"/>
        <v>18067009.537784297</v>
      </c>
      <c r="H42" s="143">
        <f t="shared" si="1"/>
        <v>28.502862255355499</v>
      </c>
      <c r="I42" s="20">
        <v>38236</v>
      </c>
      <c r="J42" s="20">
        <v>33568</v>
      </c>
      <c r="K42" s="143">
        <f t="shared" si="2"/>
        <v>52.957523390177585</v>
      </c>
      <c r="L42" s="8">
        <f t="shared" si="3"/>
        <v>52.789779265613561</v>
      </c>
    </row>
    <row r="44" spans="1:13">
      <c r="A44" s="5" t="s">
        <v>205</v>
      </c>
      <c r="B44" s="135" t="s">
        <v>87</v>
      </c>
      <c r="C44" s="135" t="s">
        <v>87</v>
      </c>
      <c r="D44" s="135" t="s">
        <v>87</v>
      </c>
      <c r="E44" s="135" t="s">
        <v>87</v>
      </c>
      <c r="F44" s="143">
        <f t="shared" ref="F44:J44" si="4">100*((F42/F4)^(1/38)-1)</f>
        <v>2.6259800932392885</v>
      </c>
      <c r="G44" s="135" t="s">
        <v>87</v>
      </c>
      <c r="H44" s="135" t="s">
        <v>87</v>
      </c>
      <c r="I44" s="143">
        <f t="shared" si="4"/>
        <v>4.7098105936752788</v>
      </c>
      <c r="J44" s="143">
        <f t="shared" si="4"/>
        <v>1.8226692891904817</v>
      </c>
      <c r="K44" s="135" t="s">
        <v>87</v>
      </c>
      <c r="L44" s="135"/>
    </row>
    <row r="45" spans="1:13">
      <c r="A45" s="5" t="s">
        <v>12</v>
      </c>
      <c r="B45" s="135" t="s">
        <v>87</v>
      </c>
      <c r="C45" s="135" t="s">
        <v>87</v>
      </c>
      <c r="D45" s="135" t="s">
        <v>87</v>
      </c>
      <c r="E45" s="135" t="s">
        <v>87</v>
      </c>
      <c r="F45" s="143">
        <f t="shared" ref="F45:J45" si="5">100*((F23/F4)^(1/19)-1)</f>
        <v>3.3445342531813527</v>
      </c>
      <c r="G45" s="135" t="s">
        <v>87</v>
      </c>
      <c r="H45" s="135" t="s">
        <v>87</v>
      </c>
      <c r="I45" s="143">
        <f t="shared" si="5"/>
        <v>6.2087874618408589</v>
      </c>
      <c r="J45" s="143">
        <f t="shared" si="5"/>
        <v>2.5338503005175816</v>
      </c>
      <c r="K45" s="135" t="s">
        <v>87</v>
      </c>
      <c r="L45" s="135"/>
    </row>
    <row r="46" spans="1:13">
      <c r="A46" s="5" t="s">
        <v>226</v>
      </c>
      <c r="B46" s="143">
        <f>100*((B42/B20)^(1/22)-1)</f>
        <v>0.59236800324884431</v>
      </c>
      <c r="C46" s="143">
        <f t="shared" ref="C46:K46" si="6">100*((C42/C20)^(1/22)-1)</f>
        <v>0.3589759633988665</v>
      </c>
      <c r="D46" s="143">
        <f t="shared" si="6"/>
        <v>-0.2301872186991738</v>
      </c>
      <c r="E46" s="143">
        <f t="shared" si="6"/>
        <v>3.534631677660971</v>
      </c>
      <c r="F46" s="143">
        <f t="shared" si="6"/>
        <v>1.8993496058500536</v>
      </c>
      <c r="G46" s="143">
        <f t="shared" si="6"/>
        <v>1.604801284930879</v>
      </c>
      <c r="H46" s="143">
        <f t="shared" si="6"/>
        <v>1.2413691048286379</v>
      </c>
      <c r="I46" s="143">
        <f t="shared" si="6"/>
        <v>3.626449436382595</v>
      </c>
      <c r="J46" s="143">
        <f t="shared" si="6"/>
        <v>1.4923863259385106</v>
      </c>
      <c r="K46" s="143">
        <f t="shared" si="6"/>
        <v>1.1293562450786609</v>
      </c>
      <c r="L46" s="39" t="s">
        <v>262</v>
      </c>
      <c r="M46" s="8">
        <f>L42-L20</f>
        <v>-1.0395914038017722</v>
      </c>
    </row>
    <row r="47" spans="1:13">
      <c r="A47" s="5" t="s">
        <v>11</v>
      </c>
      <c r="B47" s="143">
        <f>100*((B42/B23)^(1/19)-1)</f>
        <v>0.31689402575887371</v>
      </c>
      <c r="C47" s="143">
        <f t="shared" ref="C47:K47" si="7">100*((C42/C23)^(1/19)-1)</f>
        <v>8.8716199116745109E-2</v>
      </c>
      <c r="D47" s="143">
        <f t="shared" si="7"/>
        <v>-0.22683857388523521</v>
      </c>
      <c r="E47" s="143">
        <f t="shared" si="7"/>
        <v>3.2116439638984362</v>
      </c>
      <c r="F47" s="143">
        <f t="shared" si="7"/>
        <v>1.9124220376824486</v>
      </c>
      <c r="G47" s="143">
        <f t="shared" si="7"/>
        <v>1.2748415749903375</v>
      </c>
      <c r="H47" s="143">
        <f t="shared" si="7"/>
        <v>1.1850740232434598</v>
      </c>
      <c r="I47" s="143">
        <f t="shared" si="7"/>
        <v>3.2319895234901974</v>
      </c>
      <c r="J47" s="143">
        <f t="shared" si="7"/>
        <v>1.1164210725393753</v>
      </c>
      <c r="K47" s="143">
        <f t="shared" si="7"/>
        <v>1.0267939408655335</v>
      </c>
      <c r="L47" s="39" t="s">
        <v>24</v>
      </c>
      <c r="M47" s="8">
        <f>L42-L23</f>
        <v>-0.19806833884726416</v>
      </c>
    </row>
    <row r="51" spans="1:2">
      <c r="A51" s="5" t="s">
        <v>117</v>
      </c>
      <c r="B51" s="5" t="s">
        <v>663</v>
      </c>
    </row>
    <row r="52" spans="1:2">
      <c r="B52" s="5" t="s">
        <v>664</v>
      </c>
    </row>
    <row r="53" spans="1:2">
      <c r="B53" s="5" t="s">
        <v>665</v>
      </c>
    </row>
    <row r="54" spans="1:2">
      <c r="A54" s="38"/>
    </row>
    <row r="62" spans="1:2">
      <c r="A62" s="38"/>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35117-9C21-4A19-9D8E-F7770BE3D8E0}">
  <sheetPr codeName="Sheet43"/>
  <dimension ref="A1:H32"/>
  <sheetViews>
    <sheetView workbookViewId="0"/>
  </sheetViews>
  <sheetFormatPr baseColWidth="10" defaultColWidth="8.83203125" defaultRowHeight="16"/>
  <cols>
    <col min="1" max="1" width="19.83203125" style="5" customWidth="1"/>
    <col min="2" max="2" width="18.5" style="5" customWidth="1"/>
    <col min="3" max="3" width="20.5" style="5" customWidth="1"/>
    <col min="4" max="4" width="21.1640625" style="5" customWidth="1"/>
    <col min="5" max="5" width="21.6640625" style="5" customWidth="1"/>
    <col min="6" max="6" width="21.1640625" style="5" customWidth="1"/>
    <col min="7" max="7" width="19.33203125" style="5" customWidth="1"/>
    <col min="8" max="8" width="17.83203125" style="5" customWidth="1"/>
    <col min="9" max="16384" width="8.83203125" style="5"/>
  </cols>
  <sheetData>
    <row r="1" spans="1:8">
      <c r="A1" s="84" t="s">
        <v>666</v>
      </c>
    </row>
    <row r="4" spans="1:8" ht="80.25" customHeight="1">
      <c r="B4" s="137" t="s">
        <v>263</v>
      </c>
      <c r="C4" s="137" t="s">
        <v>264</v>
      </c>
      <c r="D4" s="137" t="s">
        <v>265</v>
      </c>
      <c r="E4" s="137" t="s">
        <v>266</v>
      </c>
      <c r="F4" s="137" t="s">
        <v>267</v>
      </c>
      <c r="G4" s="137" t="s">
        <v>268</v>
      </c>
      <c r="H4" s="137" t="s">
        <v>269</v>
      </c>
    </row>
    <row r="6" spans="1:8">
      <c r="A6" s="5">
        <v>1997</v>
      </c>
      <c r="B6" s="8">
        <v>2.2417204674830336</v>
      </c>
      <c r="C6" s="8">
        <v>2.3212599844062871</v>
      </c>
      <c r="D6" s="8">
        <v>103.50389321468299</v>
      </c>
      <c r="E6" s="8">
        <v>1.9101466856658624</v>
      </c>
      <c r="F6" s="8">
        <v>1.9212311133226085</v>
      </c>
      <c r="G6" s="143">
        <v>0.8276673557589479</v>
      </c>
      <c r="H6" s="143">
        <v>0.82876244939730048</v>
      </c>
    </row>
    <row r="7" spans="1:8">
      <c r="A7" s="5">
        <v>1998</v>
      </c>
      <c r="B7" s="8">
        <v>2.2410013512473173</v>
      </c>
      <c r="C7" s="8">
        <v>2.3158633461253153</v>
      </c>
      <c r="D7" s="8">
        <v>103.34634690462912</v>
      </c>
      <c r="E7" s="8">
        <v>1.8882374125299102</v>
      </c>
      <c r="F7" s="8">
        <v>1.9075170590299728</v>
      </c>
      <c r="G7" s="143">
        <v>0.82367427345030986</v>
      </c>
      <c r="H7" s="143">
        <v>0.82686196079910002</v>
      </c>
    </row>
    <row r="8" spans="1:8">
      <c r="A8" s="5">
        <v>1999</v>
      </c>
      <c r="B8" s="8">
        <v>2.2536084315038751</v>
      </c>
      <c r="C8" s="8">
        <v>2.3177136709161807</v>
      </c>
      <c r="D8" s="8">
        <v>102.84439486893476</v>
      </c>
      <c r="E8" s="8">
        <v>1.9095590732563612</v>
      </c>
      <c r="F8" s="8">
        <v>1.9308940056111488</v>
      </c>
      <c r="G8" s="143">
        <v>0.83310291078702381</v>
      </c>
      <c r="H8" s="143">
        <v>0.83482880903833423</v>
      </c>
    </row>
    <row r="9" spans="1:8">
      <c r="A9" s="5">
        <v>2000</v>
      </c>
      <c r="B9" s="8">
        <v>2.2397338480636391</v>
      </c>
      <c r="C9" s="8">
        <v>2.3148763149416447</v>
      </c>
      <c r="D9" s="8">
        <v>103.35758254057079</v>
      </c>
      <c r="E9" s="8">
        <v>1.8752069712450592</v>
      </c>
      <c r="F9" s="8">
        <v>1.8857595643324021</v>
      </c>
      <c r="G9" s="143">
        <v>0.81462648875041088</v>
      </c>
      <c r="H9" s="143">
        <v>0.81126847013325265</v>
      </c>
    </row>
    <row r="10" spans="1:8">
      <c r="A10" s="5">
        <v>2001</v>
      </c>
      <c r="B10" s="8">
        <v>2.1922497635238547</v>
      </c>
      <c r="C10" s="8">
        <v>2.2573273142436046</v>
      </c>
      <c r="D10" s="8">
        <v>102.98759864712514</v>
      </c>
      <c r="E10" s="8">
        <v>1.8134530024502871</v>
      </c>
      <c r="F10" s="8">
        <v>1.8367035050995746</v>
      </c>
      <c r="G10" s="143">
        <v>0.81366290723993917</v>
      </c>
      <c r="H10" s="143">
        <v>0.8323244355571785</v>
      </c>
    </row>
    <row r="11" spans="1:8">
      <c r="A11" s="5">
        <v>2002</v>
      </c>
      <c r="B11" s="8">
        <v>2.2098009635567841</v>
      </c>
      <c r="C11" s="8">
        <v>2.2927947338362613</v>
      </c>
      <c r="D11" s="8">
        <v>103.76068376068378</v>
      </c>
      <c r="E11" s="8">
        <v>1.8214282238800665</v>
      </c>
      <c r="F11" s="8">
        <v>1.8259181866340846</v>
      </c>
      <c r="G11" s="143">
        <v>0.79637228736084542</v>
      </c>
      <c r="H11" s="143">
        <v>0.83325591444694991</v>
      </c>
    </row>
    <row r="12" spans="1:8">
      <c r="A12" s="5">
        <v>2003</v>
      </c>
      <c r="B12" s="8">
        <v>2.1641994748677509</v>
      </c>
      <c r="C12" s="8">
        <v>2.2499950910194491</v>
      </c>
      <c r="D12" s="8">
        <v>103.95415472779371</v>
      </c>
      <c r="E12" s="8">
        <v>1.8412497810932036</v>
      </c>
      <c r="F12" s="8">
        <v>1.8350780333539305</v>
      </c>
      <c r="G12" s="143">
        <v>0.81559201647967849</v>
      </c>
      <c r="H12" s="143">
        <v>0.85487529371162874</v>
      </c>
    </row>
    <row r="13" spans="1:8">
      <c r="A13" s="5">
        <v>2004</v>
      </c>
      <c r="B13" s="8">
        <v>2.1614171281645569</v>
      </c>
      <c r="C13" s="8">
        <v>2.2206029909682523</v>
      </c>
      <c r="D13" s="8">
        <v>102.73504273504273</v>
      </c>
      <c r="E13" s="8">
        <v>1.8251503528795843</v>
      </c>
      <c r="F13" s="8">
        <v>1.8261611220665674</v>
      </c>
      <c r="G13" s="143">
        <v>0.822371729432961</v>
      </c>
      <c r="H13" s="143">
        <v>0.86153967970512246</v>
      </c>
    </row>
    <row r="14" spans="1:8">
      <c r="A14" s="5">
        <v>2005</v>
      </c>
      <c r="B14" s="8">
        <v>2.1282586125502183</v>
      </c>
      <c r="C14" s="8">
        <v>2.1815429168127736</v>
      </c>
      <c r="D14" s="8">
        <v>102.46418338108883</v>
      </c>
      <c r="E14" s="8">
        <v>1.7836143600784435</v>
      </c>
      <c r="F14" s="8">
        <v>1.7813518494561067</v>
      </c>
      <c r="G14" s="143">
        <v>0.81655595025316108</v>
      </c>
      <c r="H14" s="143">
        <v>0.85645828954093828</v>
      </c>
    </row>
    <row r="15" spans="1:8">
      <c r="A15" s="5">
        <v>2006</v>
      </c>
      <c r="B15" s="8">
        <v>2.1177951846145455</v>
      </c>
      <c r="C15" s="8">
        <v>2.1887266192131176</v>
      </c>
      <c r="D15" s="8">
        <v>103.38302752293578</v>
      </c>
      <c r="E15" s="8">
        <v>1.752686346873654</v>
      </c>
      <c r="F15" s="8">
        <v>1.7553978748978687</v>
      </c>
      <c r="G15" s="143">
        <v>0.80201787627957022</v>
      </c>
      <c r="H15" s="143">
        <v>0.84884990072858058</v>
      </c>
    </row>
    <row r="16" spans="1:8">
      <c r="A16" s="5">
        <v>2007</v>
      </c>
      <c r="B16" s="8">
        <v>2.1104997959076477</v>
      </c>
      <c r="C16" s="8">
        <v>2.1687917548316356</v>
      </c>
      <c r="D16" s="8">
        <v>102.75229357798166</v>
      </c>
      <c r="E16" s="8">
        <v>1.7466506293140327</v>
      </c>
      <c r="F16" s="8">
        <v>1.7541026318941368</v>
      </c>
      <c r="G16" s="143">
        <v>0.80879255833869079</v>
      </c>
      <c r="H16" s="143">
        <v>0.8471890911390012</v>
      </c>
    </row>
    <row r="17" spans="1:8">
      <c r="A17" s="5">
        <v>2008</v>
      </c>
      <c r="B17" s="8">
        <v>2.0949590175197033</v>
      </c>
      <c r="C17" s="8">
        <v>2.1582389871955843</v>
      </c>
      <c r="D17" s="8">
        <v>103.04422745548536</v>
      </c>
      <c r="E17" s="8">
        <v>1.7774386437035981</v>
      </c>
      <c r="F17" s="8">
        <v>1.7959865834775042</v>
      </c>
      <c r="G17" s="143">
        <v>0.83215371149012984</v>
      </c>
      <c r="H17" s="143">
        <v>0.84933927397579401</v>
      </c>
    </row>
    <row r="18" spans="1:8">
      <c r="A18" s="5">
        <v>2009</v>
      </c>
      <c r="B18" s="8">
        <v>2.1332020164944705</v>
      </c>
      <c r="C18" s="8">
        <v>2.2235002382402262</v>
      </c>
      <c r="D18" s="8">
        <v>104.20560747663552</v>
      </c>
      <c r="E18" s="8">
        <v>1.8339336596176599</v>
      </c>
      <c r="F18" s="8">
        <v>1.8530325021484737</v>
      </c>
      <c r="G18" s="143">
        <v>0.83338534005062359</v>
      </c>
      <c r="H18" s="143">
        <v>0.83695491152027413</v>
      </c>
    </row>
    <row r="19" spans="1:8">
      <c r="A19" s="5">
        <v>2010</v>
      </c>
      <c r="B19" s="8">
        <v>2.0822850424436785</v>
      </c>
      <c r="C19" s="8">
        <v>2.1856070468026285</v>
      </c>
      <c r="D19" s="8">
        <v>104.95626822157433</v>
      </c>
      <c r="E19" s="8">
        <v>1.8319197929445599</v>
      </c>
      <c r="F19" s="8">
        <v>1.8459426188473924</v>
      </c>
      <c r="G19" s="143">
        <v>0.84459034918827769</v>
      </c>
      <c r="H19" s="143">
        <v>0.84237133700493916</v>
      </c>
    </row>
    <row r="20" spans="1:8">
      <c r="A20" s="5">
        <v>2011</v>
      </c>
      <c r="B20" s="8">
        <v>2.0336426112047383</v>
      </c>
      <c r="C20" s="8">
        <v>2.0919195972924132</v>
      </c>
      <c r="D20" s="8">
        <v>102.8588098016336</v>
      </c>
      <c r="E20" s="8">
        <v>1.7964404893254526</v>
      </c>
      <c r="F20" s="8">
        <v>1.7993681313170948</v>
      </c>
      <c r="G20" s="143">
        <v>0.86015166818362898</v>
      </c>
      <c r="H20" s="143">
        <v>0.85554249741428678</v>
      </c>
    </row>
    <row r="21" spans="1:8">
      <c r="A21" s="5">
        <v>2012</v>
      </c>
      <c r="B21" s="8">
        <v>1.9947922282635779</v>
      </c>
      <c r="C21" s="8">
        <v>2.0684653769746149</v>
      </c>
      <c r="D21" s="8">
        <v>103.65853658536585</v>
      </c>
      <c r="E21" s="8">
        <v>1.7341011346994524</v>
      </c>
      <c r="F21" s="8">
        <v>1.7341011346994524</v>
      </c>
      <c r="G21" s="143">
        <v>0.83835154023017222</v>
      </c>
      <c r="H21" s="143">
        <v>0.84127485461408058</v>
      </c>
    </row>
    <row r="22" spans="1:8">
      <c r="A22" s="5">
        <v>2013</v>
      </c>
      <c r="B22" s="8">
        <v>1.9577555389760242</v>
      </c>
      <c r="C22" s="8">
        <v>2.0171728665366611</v>
      </c>
      <c r="D22" s="8">
        <v>103.03030303030303</v>
      </c>
      <c r="E22" s="8">
        <v>1.6798354497885564</v>
      </c>
      <c r="F22" s="8">
        <v>1.6812382023336236</v>
      </c>
      <c r="G22" s="143">
        <v>0.83346262991341302</v>
      </c>
      <c r="H22" s="143">
        <v>0.84075119242381258</v>
      </c>
    </row>
    <row r="23" spans="1:8">
      <c r="A23" s="5">
        <v>2014</v>
      </c>
      <c r="B23" s="8">
        <v>1.9407889009657933</v>
      </c>
      <c r="C23" s="8">
        <v>1.9856750920197213</v>
      </c>
      <c r="D23" s="8">
        <v>102.27936879018118</v>
      </c>
      <c r="E23" s="8">
        <v>1.6615108139996133</v>
      </c>
      <c r="F23" s="8">
        <v>1.6709450504442735</v>
      </c>
      <c r="G23" s="143">
        <v>0.84149972830886388</v>
      </c>
      <c r="H23" s="143">
        <v>0.83122754187308101</v>
      </c>
    </row>
    <row r="24" spans="1:8">
      <c r="A24" s="5">
        <v>2015</v>
      </c>
      <c r="B24" s="8">
        <v>1.9052276703092272</v>
      </c>
      <c r="C24" s="8">
        <v>1.9676220916927076</v>
      </c>
      <c r="D24" s="8">
        <v>103.27102803738318</v>
      </c>
      <c r="E24" s="8">
        <v>1.6390810723630971</v>
      </c>
      <c r="F24" s="8">
        <v>1.6588451862085702</v>
      </c>
      <c r="G24" s="143">
        <v>0.84307103137955575</v>
      </c>
      <c r="H24" s="143">
        <v>0.83879485107642326</v>
      </c>
    </row>
    <row r="25" spans="1:8">
      <c r="A25" s="5">
        <v>2016</v>
      </c>
      <c r="B25" s="8">
        <v>1.909052455072437</v>
      </c>
      <c r="C25" s="8">
        <v>1.9881962745531199</v>
      </c>
      <c r="D25" s="8">
        <v>104.16178194607268</v>
      </c>
      <c r="E25" s="8">
        <v>1.6854561051491201</v>
      </c>
      <c r="F25" s="8">
        <v>1.6922467844344959</v>
      </c>
      <c r="G25" s="143">
        <v>0.85114674345462016</v>
      </c>
      <c r="H25" s="143">
        <v>0.82854626078132432</v>
      </c>
    </row>
    <row r="26" spans="1:8">
      <c r="A26" s="5">
        <v>2017</v>
      </c>
      <c r="B26" s="8">
        <v>1.896177115409807</v>
      </c>
      <c r="C26" s="8">
        <v>1.9821109230016172</v>
      </c>
      <c r="D26" s="8">
        <v>104.54277286135694</v>
      </c>
      <c r="E26" s="8">
        <v>1.671145193868965</v>
      </c>
      <c r="F26" s="8">
        <v>1.6650496685811891</v>
      </c>
      <c r="G26" s="143">
        <v>0.84003859181589835</v>
      </c>
      <c r="H26" s="143">
        <v>0.82662699230407677</v>
      </c>
    </row>
    <row r="27" spans="1:8">
      <c r="A27" s="5">
        <v>2018</v>
      </c>
      <c r="B27" s="8">
        <v>1.8719178234867586</v>
      </c>
      <c r="C27" s="8">
        <v>1.9522951607499364</v>
      </c>
      <c r="D27" s="8">
        <v>104.27400468384076</v>
      </c>
      <c r="E27" s="8">
        <v>1.6666816919458298</v>
      </c>
      <c r="F27" s="8">
        <v>1.6633090423036825</v>
      </c>
      <c r="G27" s="143">
        <v>0.85197621535093826</v>
      </c>
      <c r="H27" s="143">
        <v>0.82336543075204072</v>
      </c>
    </row>
    <row r="28" spans="1:8">
      <c r="A28" s="5">
        <v>2019</v>
      </c>
      <c r="B28" s="8">
        <v>1.8432614456483583</v>
      </c>
      <c r="C28" s="8">
        <v>1.9286543058007259</v>
      </c>
      <c r="D28" s="8">
        <v>104.67455621301775</v>
      </c>
      <c r="E28" s="8">
        <v>1.6338340599881553</v>
      </c>
      <c r="F28" s="8">
        <v>1.6342566106667813</v>
      </c>
      <c r="G28" s="143">
        <v>0.8473559028963884</v>
      </c>
      <c r="H28" s="143">
        <v>0.8278955699588324</v>
      </c>
    </row>
    <row r="30" spans="1:8">
      <c r="A30" s="5" t="s">
        <v>262</v>
      </c>
      <c r="B30" s="143">
        <f>B28-B6</f>
        <v>-0.3984590218346753</v>
      </c>
      <c r="C30" s="143">
        <f t="shared" ref="C30:H30" si="0">C28-C6</f>
        <v>-0.39260567860556117</v>
      </c>
      <c r="D30" s="143">
        <f t="shared" si="0"/>
        <v>1.1706629983347625</v>
      </c>
      <c r="E30" s="143">
        <f t="shared" si="0"/>
        <v>-0.27631262567770709</v>
      </c>
      <c r="F30" s="143">
        <f t="shared" si="0"/>
        <v>-0.28697450265582725</v>
      </c>
      <c r="G30" s="143">
        <f t="shared" si="0"/>
        <v>1.9688547137440504E-2</v>
      </c>
      <c r="H30" s="143">
        <f t="shared" si="0"/>
        <v>-8.6687943846808224E-4</v>
      </c>
    </row>
    <row r="31" spans="1:8">
      <c r="A31" s="5" t="s">
        <v>270</v>
      </c>
      <c r="B31" s="143">
        <f>B9-B6</f>
        <v>-1.9866194193944864E-3</v>
      </c>
      <c r="C31" s="143">
        <f t="shared" ref="C31:H31" si="1">C9-C6</f>
        <v>-6.3836694646424164E-3</v>
      </c>
      <c r="D31" s="143">
        <f t="shared" si="1"/>
        <v>-0.14631067411220045</v>
      </c>
      <c r="E31" s="143">
        <f t="shared" si="1"/>
        <v>-3.4939714420803236E-2</v>
      </c>
      <c r="F31" s="143">
        <f t="shared" si="1"/>
        <v>-3.5471548990206436E-2</v>
      </c>
      <c r="G31" s="143">
        <f t="shared" si="1"/>
        <v>-1.3040867008537016E-2</v>
      </c>
      <c r="H31" s="143">
        <f t="shared" si="1"/>
        <v>-1.7493979264047832E-2</v>
      </c>
    </row>
    <row r="32" spans="1:8">
      <c r="A32" s="5" t="s">
        <v>24</v>
      </c>
      <c r="B32" s="143">
        <f>B28-B9</f>
        <v>-0.39647240241528081</v>
      </c>
      <c r="C32" s="143">
        <f t="shared" ref="C32:H32" si="2">C28-C9</f>
        <v>-0.38622200914091875</v>
      </c>
      <c r="D32" s="143">
        <f t="shared" si="2"/>
        <v>1.316973672446963</v>
      </c>
      <c r="E32" s="143">
        <f t="shared" si="2"/>
        <v>-0.24137291125690385</v>
      </c>
      <c r="F32" s="143">
        <f t="shared" si="2"/>
        <v>-0.25150295366562081</v>
      </c>
      <c r="G32" s="143">
        <f t="shared" si="2"/>
        <v>3.272941414597752E-2</v>
      </c>
      <c r="H32" s="143">
        <f t="shared" si="2"/>
        <v>1.662709982557975E-2</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307A2-EBC2-E545-9C2A-321CEC1D005C}">
  <sheetPr codeName="Sheet44"/>
  <dimension ref="A1:P106"/>
  <sheetViews>
    <sheetView zoomScale="64" zoomScaleNormal="64" workbookViewId="0">
      <selection activeCell="Q30" sqref="Q30"/>
    </sheetView>
  </sheetViews>
  <sheetFormatPr baseColWidth="10" defaultColWidth="11" defaultRowHeight="16"/>
  <cols>
    <col min="1" max="1" width="22.5" style="5" customWidth="1"/>
    <col min="2" max="2" width="16.83203125" style="5" customWidth="1"/>
    <col min="3" max="3" width="15.33203125" style="5" customWidth="1"/>
    <col min="4" max="4" width="15.1640625" style="5" customWidth="1"/>
    <col min="5" max="5" width="15" style="5" customWidth="1"/>
    <col min="6" max="6" width="19.1640625" style="5" customWidth="1"/>
    <col min="7" max="7" width="16.6640625" style="5" customWidth="1"/>
    <col min="8" max="8" width="24.5" style="5" customWidth="1"/>
    <col min="9" max="10" width="11" style="5"/>
    <col min="11" max="11" width="19.33203125" style="5" customWidth="1"/>
    <col min="12" max="12" width="11.6640625" style="5" customWidth="1"/>
    <col min="13" max="13" width="12.1640625" style="5" customWidth="1"/>
    <col min="14" max="14" width="13" style="5" customWidth="1"/>
    <col min="15" max="15" width="15.33203125" style="5" customWidth="1"/>
    <col min="16" max="16384" width="11" style="5"/>
  </cols>
  <sheetData>
    <row r="1" spans="1:16">
      <c r="A1" s="13" t="s">
        <v>667</v>
      </c>
      <c r="B1" s="13"/>
      <c r="C1" s="13"/>
      <c r="D1" s="13"/>
      <c r="E1" s="13"/>
      <c r="F1" s="13"/>
      <c r="G1" s="13"/>
      <c r="H1" s="6"/>
      <c r="I1" s="6"/>
      <c r="J1" s="6"/>
      <c r="K1" s="6"/>
      <c r="L1" s="6"/>
      <c r="M1" s="6"/>
      <c r="N1" s="6"/>
      <c r="O1" s="6"/>
    </row>
    <row r="2" spans="1:16" ht="27.75" customHeight="1">
      <c r="A2" s="6" t="s">
        <v>271</v>
      </c>
      <c r="B2" s="6"/>
      <c r="C2" s="6"/>
      <c r="D2" s="6"/>
      <c r="E2" s="6"/>
      <c r="F2" s="6"/>
      <c r="G2" s="6"/>
      <c r="H2" s="6"/>
      <c r="I2" s="6"/>
      <c r="J2" s="6"/>
      <c r="K2" s="6"/>
      <c r="L2" s="6"/>
      <c r="M2" s="6"/>
      <c r="N2" s="6"/>
      <c r="O2" s="6"/>
    </row>
    <row r="3" spans="1:16" ht="86" customHeight="1">
      <c r="A3" s="6"/>
      <c r="B3" s="116" t="s">
        <v>272</v>
      </c>
      <c r="C3" s="142" t="s">
        <v>273</v>
      </c>
      <c r="D3" s="142" t="s">
        <v>274</v>
      </c>
      <c r="E3" s="116" t="s">
        <v>275</v>
      </c>
      <c r="F3" s="142" t="s">
        <v>276</v>
      </c>
      <c r="G3" s="142" t="s">
        <v>277</v>
      </c>
      <c r="H3" s="142" t="s">
        <v>278</v>
      </c>
      <c r="I3" s="116" t="s">
        <v>279</v>
      </c>
      <c r="J3" s="142" t="s">
        <v>280</v>
      </c>
      <c r="K3" s="142" t="s">
        <v>281</v>
      </c>
      <c r="L3" s="116" t="s">
        <v>282</v>
      </c>
      <c r="M3" s="116" t="s">
        <v>283</v>
      </c>
      <c r="N3" s="116" t="s">
        <v>284</v>
      </c>
      <c r="O3" s="116" t="s">
        <v>285</v>
      </c>
    </row>
    <row r="4" spans="1:16" ht="17">
      <c r="A4" s="6"/>
      <c r="B4" s="82" t="s">
        <v>109</v>
      </c>
      <c r="C4" s="82" t="s">
        <v>110</v>
      </c>
      <c r="D4" s="82" t="s">
        <v>111</v>
      </c>
      <c r="E4" s="82" t="s">
        <v>112</v>
      </c>
      <c r="F4" s="82" t="s">
        <v>113</v>
      </c>
      <c r="G4" s="82" t="s">
        <v>114</v>
      </c>
      <c r="H4" s="82" t="s">
        <v>129</v>
      </c>
      <c r="I4" s="82" t="s">
        <v>130</v>
      </c>
      <c r="J4" s="82" t="s">
        <v>243</v>
      </c>
      <c r="K4" s="82" t="s">
        <v>261</v>
      </c>
      <c r="L4" s="82" t="s">
        <v>244</v>
      </c>
      <c r="M4" s="82" t="s">
        <v>245</v>
      </c>
      <c r="N4" s="82" t="s">
        <v>246</v>
      </c>
      <c r="O4" s="82" t="s">
        <v>247</v>
      </c>
      <c r="P4" s="26"/>
    </row>
    <row r="5" spans="1:16">
      <c r="A5" s="6">
        <v>1981</v>
      </c>
      <c r="B5" s="16">
        <v>3921</v>
      </c>
      <c r="C5" s="16">
        <v>3599</v>
      </c>
      <c r="D5" s="140">
        <v>322</v>
      </c>
      <c r="E5" s="16">
        <v>1669</v>
      </c>
      <c r="F5" s="140">
        <v>443</v>
      </c>
      <c r="G5" s="140">
        <v>890</v>
      </c>
      <c r="H5" s="140">
        <v>336</v>
      </c>
      <c r="I5" s="140">
        <v>834</v>
      </c>
      <c r="J5" s="140">
        <v>653</v>
      </c>
      <c r="K5" s="140">
        <v>181</v>
      </c>
      <c r="L5" s="140">
        <v>287</v>
      </c>
      <c r="M5" s="140">
        <v>10</v>
      </c>
      <c r="N5" s="140">
        <v>-70</v>
      </c>
      <c r="O5" s="16">
        <v>6652</v>
      </c>
    </row>
    <row r="6" spans="1:16">
      <c r="A6" s="6">
        <v>1982</v>
      </c>
      <c r="B6" s="16">
        <v>4231</v>
      </c>
      <c r="C6" s="16">
        <v>3886</v>
      </c>
      <c r="D6" s="140">
        <v>345</v>
      </c>
      <c r="E6" s="16">
        <v>1716</v>
      </c>
      <c r="F6" s="140">
        <v>359</v>
      </c>
      <c r="G6" s="140">
        <v>981</v>
      </c>
      <c r="H6" s="140">
        <v>376</v>
      </c>
      <c r="I6" s="140">
        <v>958</v>
      </c>
      <c r="J6" s="140">
        <v>758</v>
      </c>
      <c r="K6" s="140">
        <v>199</v>
      </c>
      <c r="L6" s="140">
        <v>201</v>
      </c>
      <c r="M6" s="140">
        <v>144</v>
      </c>
      <c r="N6" s="140">
        <v>38</v>
      </c>
      <c r="O6" s="16">
        <v>7287</v>
      </c>
    </row>
    <row r="7" spans="1:16">
      <c r="A7" s="6">
        <v>1983</v>
      </c>
      <c r="B7" s="16">
        <v>4535</v>
      </c>
      <c r="C7" s="16">
        <v>4143</v>
      </c>
      <c r="D7" s="140">
        <v>392</v>
      </c>
      <c r="E7" s="16">
        <v>1983</v>
      </c>
      <c r="F7" s="140">
        <v>577</v>
      </c>
      <c r="G7" s="140">
        <v>999</v>
      </c>
      <c r="H7" s="140">
        <v>407</v>
      </c>
      <c r="I7" s="16">
        <v>1036</v>
      </c>
      <c r="J7" s="140">
        <v>824</v>
      </c>
      <c r="K7" s="140">
        <v>212</v>
      </c>
      <c r="L7" s="140">
        <v>255</v>
      </c>
      <c r="M7" s="140">
        <v>552</v>
      </c>
      <c r="N7" s="140">
        <v>-38</v>
      </c>
      <c r="O7" s="16">
        <v>8323</v>
      </c>
    </row>
    <row r="8" spans="1:16">
      <c r="A8" s="6">
        <v>1984</v>
      </c>
      <c r="B8" s="16">
        <v>4888</v>
      </c>
      <c r="C8" s="16">
        <v>4416</v>
      </c>
      <c r="D8" s="140">
        <v>472</v>
      </c>
      <c r="E8" s="16">
        <v>2316</v>
      </c>
      <c r="F8" s="140">
        <v>856</v>
      </c>
      <c r="G8" s="16">
        <v>1027</v>
      </c>
      <c r="H8" s="140">
        <v>433</v>
      </c>
      <c r="I8" s="16">
        <v>1108</v>
      </c>
      <c r="J8" s="140">
        <v>873</v>
      </c>
      <c r="K8" s="140">
        <v>234</v>
      </c>
      <c r="L8" s="140">
        <v>251</v>
      </c>
      <c r="M8" s="140">
        <v>601</v>
      </c>
      <c r="N8" s="140">
        <v>50</v>
      </c>
      <c r="O8" s="16">
        <v>9214</v>
      </c>
    </row>
    <row r="9" spans="1:16">
      <c r="A9" s="6">
        <v>1985</v>
      </c>
      <c r="B9" s="16">
        <v>5160</v>
      </c>
      <c r="C9" s="16">
        <v>4673</v>
      </c>
      <c r="D9" s="140">
        <v>487</v>
      </c>
      <c r="E9" s="16">
        <v>2395</v>
      </c>
      <c r="F9" s="140">
        <v>871</v>
      </c>
      <c r="G9" s="16">
        <v>1067</v>
      </c>
      <c r="H9" s="140">
        <v>457</v>
      </c>
      <c r="I9" s="16">
        <v>1233</v>
      </c>
      <c r="J9" s="140">
        <v>976</v>
      </c>
      <c r="K9" s="140">
        <v>257</v>
      </c>
      <c r="L9" s="140">
        <v>269</v>
      </c>
      <c r="M9" s="140">
        <v>726</v>
      </c>
      <c r="N9" s="140">
        <v>13</v>
      </c>
      <c r="O9" s="16">
        <v>9796</v>
      </c>
    </row>
    <row r="10" spans="1:16">
      <c r="A10" s="6">
        <v>1986</v>
      </c>
      <c r="B10" s="16">
        <v>5523</v>
      </c>
      <c r="C10" s="16">
        <v>5013</v>
      </c>
      <c r="D10" s="140">
        <v>510</v>
      </c>
      <c r="E10" s="16">
        <v>2837</v>
      </c>
      <c r="F10" s="16">
        <v>1237</v>
      </c>
      <c r="G10" s="16">
        <v>1118</v>
      </c>
      <c r="H10" s="140">
        <v>482</v>
      </c>
      <c r="I10" s="16">
        <v>1344</v>
      </c>
      <c r="J10" s="16">
        <v>1074</v>
      </c>
      <c r="K10" s="140">
        <v>270</v>
      </c>
      <c r="L10" s="140">
        <v>298</v>
      </c>
      <c r="M10" s="140">
        <v>958</v>
      </c>
      <c r="N10" s="140">
        <v>33</v>
      </c>
      <c r="O10" s="16">
        <v>10993</v>
      </c>
    </row>
    <row r="11" spans="1:16">
      <c r="A11" s="6">
        <v>1987</v>
      </c>
      <c r="B11" s="16">
        <v>5964</v>
      </c>
      <c r="C11" s="16">
        <v>5404</v>
      </c>
      <c r="D11" s="140">
        <v>560</v>
      </c>
      <c r="E11" s="16">
        <v>3404</v>
      </c>
      <c r="F11" s="16">
        <v>1767</v>
      </c>
      <c r="G11" s="16">
        <v>1138</v>
      </c>
      <c r="H11" s="140">
        <v>499</v>
      </c>
      <c r="I11" s="16">
        <v>1443</v>
      </c>
      <c r="J11" s="16">
        <v>1153</v>
      </c>
      <c r="K11" s="140">
        <v>291</v>
      </c>
      <c r="L11" s="140">
        <v>331</v>
      </c>
      <c r="M11" s="16">
        <v>1025</v>
      </c>
      <c r="N11" s="140">
        <v>-82</v>
      </c>
      <c r="O11" s="16">
        <v>12085</v>
      </c>
    </row>
    <row r="12" spans="1:16">
      <c r="A12" s="6">
        <v>1988</v>
      </c>
      <c r="B12" s="16">
        <v>6479</v>
      </c>
      <c r="C12" s="16">
        <v>5878</v>
      </c>
      <c r="D12" s="140">
        <v>601</v>
      </c>
      <c r="E12" s="16">
        <v>3388</v>
      </c>
      <c r="F12" s="16">
        <v>1710</v>
      </c>
      <c r="G12" s="16">
        <v>1168</v>
      </c>
      <c r="H12" s="140">
        <v>510</v>
      </c>
      <c r="I12" s="16">
        <v>1564</v>
      </c>
      <c r="J12" s="16">
        <v>1251</v>
      </c>
      <c r="K12" s="140">
        <v>313</v>
      </c>
      <c r="L12" s="140">
        <v>337</v>
      </c>
      <c r="M12" s="16">
        <v>1169</v>
      </c>
      <c r="N12" s="140">
        <v>-67</v>
      </c>
      <c r="O12" s="16">
        <v>12870</v>
      </c>
    </row>
    <row r="13" spans="1:16">
      <c r="A13" s="6">
        <v>1989</v>
      </c>
      <c r="B13" s="16">
        <v>7029</v>
      </c>
      <c r="C13" s="16">
        <v>6416</v>
      </c>
      <c r="D13" s="140">
        <v>613</v>
      </c>
      <c r="E13" s="16">
        <v>3192</v>
      </c>
      <c r="F13" s="16">
        <v>1404</v>
      </c>
      <c r="G13" s="16">
        <v>1254</v>
      </c>
      <c r="H13" s="140">
        <v>534</v>
      </c>
      <c r="I13" s="16">
        <v>1675</v>
      </c>
      <c r="J13" s="16">
        <v>1340</v>
      </c>
      <c r="K13" s="140">
        <v>335</v>
      </c>
      <c r="L13" s="140">
        <v>390</v>
      </c>
      <c r="M13" s="16">
        <v>1255</v>
      </c>
      <c r="N13" s="140">
        <v>-56</v>
      </c>
      <c r="O13" s="16">
        <v>13484</v>
      </c>
    </row>
    <row r="14" spans="1:16">
      <c r="A14" s="6">
        <v>1990</v>
      </c>
      <c r="B14" s="16">
        <v>7448</v>
      </c>
      <c r="C14" s="16">
        <v>6759</v>
      </c>
      <c r="D14" s="140">
        <v>689</v>
      </c>
      <c r="E14" s="16">
        <v>3050</v>
      </c>
      <c r="F14" s="16">
        <v>1161</v>
      </c>
      <c r="G14" s="16">
        <v>1323</v>
      </c>
      <c r="H14" s="140">
        <v>566</v>
      </c>
      <c r="I14" s="16">
        <v>1720</v>
      </c>
      <c r="J14" s="16">
        <v>1365</v>
      </c>
      <c r="K14" s="140">
        <v>354</v>
      </c>
      <c r="L14" s="140">
        <v>433</v>
      </c>
      <c r="M14" s="16">
        <v>1167</v>
      </c>
      <c r="N14" s="140">
        <v>-4</v>
      </c>
      <c r="O14" s="16">
        <v>13814</v>
      </c>
    </row>
    <row r="15" spans="1:16">
      <c r="A15" s="6">
        <v>1991</v>
      </c>
      <c r="B15" s="16">
        <v>7716</v>
      </c>
      <c r="C15" s="16">
        <v>6893</v>
      </c>
      <c r="D15" s="140">
        <v>823</v>
      </c>
      <c r="E15" s="16">
        <v>2696</v>
      </c>
      <c r="F15" s="140">
        <v>825</v>
      </c>
      <c r="G15" s="16">
        <v>1299</v>
      </c>
      <c r="H15" s="140">
        <v>572</v>
      </c>
      <c r="I15" s="16">
        <v>1784</v>
      </c>
      <c r="J15" s="16">
        <v>1414</v>
      </c>
      <c r="K15" s="140">
        <v>370</v>
      </c>
      <c r="L15" s="140">
        <v>473</v>
      </c>
      <c r="M15" s="16">
        <v>1322</v>
      </c>
      <c r="N15" s="140">
        <v>-39</v>
      </c>
      <c r="O15" s="16">
        <v>13952</v>
      </c>
    </row>
    <row r="16" spans="1:16">
      <c r="A16" s="6">
        <v>1992</v>
      </c>
      <c r="B16" s="16">
        <v>7987</v>
      </c>
      <c r="C16" s="16">
        <v>7018</v>
      </c>
      <c r="D16" s="140">
        <v>969</v>
      </c>
      <c r="E16" s="16">
        <v>2781</v>
      </c>
      <c r="F16" s="140">
        <v>865</v>
      </c>
      <c r="G16" s="16">
        <v>1329</v>
      </c>
      <c r="H16" s="140">
        <v>587</v>
      </c>
      <c r="I16" s="16">
        <v>1865</v>
      </c>
      <c r="J16" s="16">
        <v>1480</v>
      </c>
      <c r="K16" s="140">
        <v>386</v>
      </c>
      <c r="L16" s="140">
        <v>494</v>
      </c>
      <c r="M16" s="16">
        <v>1307</v>
      </c>
      <c r="N16" s="140">
        <v>-12</v>
      </c>
      <c r="O16" s="16">
        <v>14422</v>
      </c>
    </row>
    <row r="17" spans="1:15">
      <c r="A17" s="6">
        <v>1993</v>
      </c>
      <c r="B17" s="16">
        <v>8145</v>
      </c>
      <c r="C17" s="16">
        <v>7142</v>
      </c>
      <c r="D17" s="16">
        <v>1003</v>
      </c>
      <c r="E17" s="16">
        <v>3251</v>
      </c>
      <c r="F17" s="16">
        <v>1292</v>
      </c>
      <c r="G17" s="16">
        <v>1345</v>
      </c>
      <c r="H17" s="140">
        <v>614</v>
      </c>
      <c r="I17" s="16">
        <v>1893</v>
      </c>
      <c r="J17" s="16">
        <v>1491</v>
      </c>
      <c r="K17" s="140">
        <v>402</v>
      </c>
      <c r="L17" s="140">
        <v>529</v>
      </c>
      <c r="M17" s="16">
        <v>1357</v>
      </c>
      <c r="N17" s="140">
        <v>-29</v>
      </c>
      <c r="O17" s="16">
        <v>15146</v>
      </c>
    </row>
    <row r="18" spans="1:15">
      <c r="A18" s="6">
        <v>1994</v>
      </c>
      <c r="B18" s="16">
        <v>8310</v>
      </c>
      <c r="C18" s="16">
        <v>7273</v>
      </c>
      <c r="D18" s="16">
        <v>1037</v>
      </c>
      <c r="E18" s="16">
        <v>3646</v>
      </c>
      <c r="F18" s="16">
        <v>1625</v>
      </c>
      <c r="G18" s="16">
        <v>1370</v>
      </c>
      <c r="H18" s="140">
        <v>651</v>
      </c>
      <c r="I18" s="16">
        <v>1991</v>
      </c>
      <c r="J18" s="16">
        <v>1570</v>
      </c>
      <c r="K18" s="140">
        <v>421</v>
      </c>
      <c r="L18" s="140">
        <v>557</v>
      </c>
      <c r="M18" s="16">
        <v>1367</v>
      </c>
      <c r="N18" s="140">
        <v>-55</v>
      </c>
      <c r="O18" s="16">
        <v>15816</v>
      </c>
    </row>
    <row r="19" spans="1:15">
      <c r="A19" s="6">
        <v>1995</v>
      </c>
      <c r="B19" s="16">
        <v>8626</v>
      </c>
      <c r="C19" s="16">
        <v>7520</v>
      </c>
      <c r="D19" s="16">
        <v>1106</v>
      </c>
      <c r="E19" s="16">
        <v>4370</v>
      </c>
      <c r="F19" s="16">
        <v>2293</v>
      </c>
      <c r="G19" s="16">
        <v>1412</v>
      </c>
      <c r="H19" s="140">
        <v>665</v>
      </c>
      <c r="I19" s="16">
        <v>2054</v>
      </c>
      <c r="J19" s="16">
        <v>1619</v>
      </c>
      <c r="K19" s="140">
        <v>435</v>
      </c>
      <c r="L19" s="140">
        <v>566</v>
      </c>
      <c r="M19" s="16">
        <v>1472</v>
      </c>
      <c r="N19" s="140">
        <v>-41</v>
      </c>
      <c r="O19" s="16">
        <v>17047</v>
      </c>
    </row>
    <row r="20" spans="1:15">
      <c r="A20" s="6">
        <v>1996</v>
      </c>
      <c r="B20" s="16">
        <v>8695</v>
      </c>
      <c r="C20" s="16">
        <v>7594</v>
      </c>
      <c r="D20" s="16">
        <v>1101</v>
      </c>
      <c r="E20" s="16">
        <v>4470</v>
      </c>
      <c r="F20" s="16">
        <v>2307</v>
      </c>
      <c r="G20" s="16">
        <v>1472</v>
      </c>
      <c r="H20" s="140">
        <v>691</v>
      </c>
      <c r="I20" s="16">
        <v>2088</v>
      </c>
      <c r="J20" s="16">
        <v>1641</v>
      </c>
      <c r="K20" s="140">
        <v>447</v>
      </c>
      <c r="L20" s="140">
        <v>565</v>
      </c>
      <c r="M20" s="16">
        <v>1472</v>
      </c>
      <c r="N20" s="140">
        <v>25</v>
      </c>
      <c r="O20" s="16">
        <v>17316</v>
      </c>
    </row>
    <row r="21" spans="1:15">
      <c r="A21" s="6">
        <v>1997</v>
      </c>
      <c r="B21" s="16">
        <v>8784</v>
      </c>
      <c r="C21" s="16">
        <v>7761</v>
      </c>
      <c r="D21" s="16">
        <v>1023</v>
      </c>
      <c r="E21" s="16">
        <v>4612</v>
      </c>
      <c r="F21" s="16">
        <v>2389</v>
      </c>
      <c r="G21" s="16">
        <v>1513</v>
      </c>
      <c r="H21" s="140">
        <v>710</v>
      </c>
      <c r="I21" s="16">
        <v>2145</v>
      </c>
      <c r="J21" s="16">
        <v>1695</v>
      </c>
      <c r="K21" s="140">
        <v>450</v>
      </c>
      <c r="L21" s="140">
        <v>574</v>
      </c>
      <c r="M21" s="16">
        <v>1432</v>
      </c>
      <c r="N21" s="140">
        <v>-85</v>
      </c>
      <c r="O21" s="16">
        <v>17463</v>
      </c>
    </row>
    <row r="22" spans="1:15">
      <c r="A22" s="6">
        <v>1998</v>
      </c>
      <c r="B22" s="16">
        <v>9204</v>
      </c>
      <c r="C22" s="16">
        <v>8152</v>
      </c>
      <c r="D22" s="16">
        <v>1052</v>
      </c>
      <c r="E22" s="16">
        <v>4690</v>
      </c>
      <c r="F22" s="16">
        <v>2322</v>
      </c>
      <c r="G22" s="16">
        <v>1644</v>
      </c>
      <c r="H22" s="140">
        <v>724</v>
      </c>
      <c r="I22" s="16">
        <v>2238</v>
      </c>
      <c r="J22" s="16">
        <v>1778</v>
      </c>
      <c r="K22" s="140">
        <v>461</v>
      </c>
      <c r="L22" s="140">
        <v>581</v>
      </c>
      <c r="M22" s="16">
        <v>1474</v>
      </c>
      <c r="N22" s="140">
        <v>43</v>
      </c>
      <c r="O22" s="16">
        <v>18231</v>
      </c>
    </row>
    <row r="23" spans="1:15">
      <c r="A23" s="6">
        <v>1999</v>
      </c>
      <c r="B23" s="16">
        <v>9849</v>
      </c>
      <c r="C23" s="16">
        <v>8748</v>
      </c>
      <c r="D23" s="16">
        <v>1101</v>
      </c>
      <c r="E23" s="16">
        <v>5405</v>
      </c>
      <c r="F23" s="16">
        <v>2892</v>
      </c>
      <c r="G23" s="16">
        <v>1761</v>
      </c>
      <c r="H23" s="140">
        <v>752</v>
      </c>
      <c r="I23" s="16">
        <v>2312</v>
      </c>
      <c r="J23" s="16">
        <v>1840</v>
      </c>
      <c r="K23" s="140">
        <v>471</v>
      </c>
      <c r="L23" s="140">
        <v>630</v>
      </c>
      <c r="M23" s="16">
        <v>1597</v>
      </c>
      <c r="N23" s="140">
        <v>-32</v>
      </c>
      <c r="O23" s="16">
        <v>19760</v>
      </c>
    </row>
    <row r="24" spans="1:15">
      <c r="A24" s="6">
        <v>2000</v>
      </c>
      <c r="B24" s="16">
        <v>10474</v>
      </c>
      <c r="C24" s="16">
        <v>9275</v>
      </c>
      <c r="D24" s="16">
        <v>1199</v>
      </c>
      <c r="E24" s="16">
        <v>5714</v>
      </c>
      <c r="F24" s="16">
        <v>3024</v>
      </c>
      <c r="G24" s="16">
        <v>1894</v>
      </c>
      <c r="H24" s="140">
        <v>796</v>
      </c>
      <c r="I24" s="16">
        <v>2342</v>
      </c>
      <c r="J24" s="16">
        <v>1851</v>
      </c>
      <c r="K24" s="140">
        <v>491</v>
      </c>
      <c r="L24" s="140">
        <v>659</v>
      </c>
      <c r="M24" s="16">
        <v>1687</v>
      </c>
      <c r="N24" s="140">
        <v>17</v>
      </c>
      <c r="O24" s="16">
        <v>20893</v>
      </c>
    </row>
    <row r="25" spans="1:15">
      <c r="A25" s="6">
        <v>2001</v>
      </c>
      <c r="B25" s="16">
        <v>10544</v>
      </c>
      <c r="C25" s="16">
        <v>9340</v>
      </c>
      <c r="D25" s="16">
        <v>1204</v>
      </c>
      <c r="E25" s="16">
        <v>5970</v>
      </c>
      <c r="F25" s="16">
        <v>3155</v>
      </c>
      <c r="G25" s="16">
        <v>2005</v>
      </c>
      <c r="H25" s="140">
        <v>810</v>
      </c>
      <c r="I25" s="16">
        <v>2450</v>
      </c>
      <c r="J25" s="16">
        <v>1932</v>
      </c>
      <c r="K25" s="140">
        <v>518</v>
      </c>
      <c r="L25" s="140">
        <v>711</v>
      </c>
      <c r="M25" s="16">
        <v>1751</v>
      </c>
      <c r="N25" s="140">
        <v>79</v>
      </c>
      <c r="O25" s="16">
        <v>21506</v>
      </c>
    </row>
    <row r="26" spans="1:15">
      <c r="A26" s="6">
        <v>2002</v>
      </c>
      <c r="B26" s="16">
        <v>10986</v>
      </c>
      <c r="C26" s="16">
        <v>9687</v>
      </c>
      <c r="D26" s="16">
        <v>1299</v>
      </c>
      <c r="E26" s="16">
        <v>5864</v>
      </c>
      <c r="F26" s="16">
        <v>2987</v>
      </c>
      <c r="G26" s="16">
        <v>2047</v>
      </c>
      <c r="H26" s="140">
        <v>830</v>
      </c>
      <c r="I26" s="16">
        <v>2478</v>
      </c>
      <c r="J26" s="16">
        <v>1931</v>
      </c>
      <c r="K26" s="140">
        <v>547</v>
      </c>
      <c r="L26" s="140">
        <v>739</v>
      </c>
      <c r="M26" s="16">
        <v>1932</v>
      </c>
      <c r="N26" s="140">
        <v>96</v>
      </c>
      <c r="O26" s="16">
        <v>22095</v>
      </c>
    </row>
    <row r="27" spans="1:15">
      <c r="A27" s="6">
        <v>2003</v>
      </c>
      <c r="B27" s="16">
        <v>11548</v>
      </c>
      <c r="C27" s="16">
        <v>10151</v>
      </c>
      <c r="D27" s="16">
        <v>1397</v>
      </c>
      <c r="E27" s="16">
        <v>6244</v>
      </c>
      <c r="F27" s="16">
        <v>3344</v>
      </c>
      <c r="G27" s="16">
        <v>2043</v>
      </c>
      <c r="H27" s="140">
        <v>857</v>
      </c>
      <c r="I27" s="16">
        <v>2495</v>
      </c>
      <c r="J27" s="16">
        <v>1936</v>
      </c>
      <c r="K27" s="140">
        <v>560</v>
      </c>
      <c r="L27" s="140">
        <v>773</v>
      </c>
      <c r="M27" s="16">
        <v>2080</v>
      </c>
      <c r="N27" s="140">
        <v>39</v>
      </c>
      <c r="O27" s="16">
        <v>23179</v>
      </c>
    </row>
    <row r="28" spans="1:15">
      <c r="A28" s="6">
        <v>2004</v>
      </c>
      <c r="B28" s="16">
        <v>12100</v>
      </c>
      <c r="C28" s="16">
        <v>10593</v>
      </c>
      <c r="D28" s="16">
        <v>1507</v>
      </c>
      <c r="E28" s="16">
        <v>6870</v>
      </c>
      <c r="F28" s="16">
        <v>3895</v>
      </c>
      <c r="G28" s="16">
        <v>2098</v>
      </c>
      <c r="H28" s="140">
        <v>877</v>
      </c>
      <c r="I28" s="16">
        <v>2607</v>
      </c>
      <c r="J28" s="16">
        <v>2020</v>
      </c>
      <c r="K28" s="140">
        <v>587</v>
      </c>
      <c r="L28" s="140">
        <v>811</v>
      </c>
      <c r="M28" s="16">
        <v>2097</v>
      </c>
      <c r="N28" s="140">
        <v>17</v>
      </c>
      <c r="O28" s="16">
        <v>24502</v>
      </c>
    </row>
    <row r="29" spans="1:15">
      <c r="A29" s="6">
        <v>2005</v>
      </c>
      <c r="B29" s="16">
        <v>12491</v>
      </c>
      <c r="C29" s="16">
        <v>10900</v>
      </c>
      <c r="D29" s="16">
        <v>1591</v>
      </c>
      <c r="E29" s="16">
        <v>7489</v>
      </c>
      <c r="F29" s="16">
        <v>4381</v>
      </c>
      <c r="G29" s="16">
        <v>2195</v>
      </c>
      <c r="H29" s="140">
        <v>913</v>
      </c>
      <c r="I29" s="16">
        <v>2678</v>
      </c>
      <c r="J29" s="16">
        <v>2051</v>
      </c>
      <c r="K29" s="140">
        <v>626</v>
      </c>
      <c r="L29" s="140">
        <v>858</v>
      </c>
      <c r="M29" s="16">
        <v>2105</v>
      </c>
      <c r="N29" s="140">
        <v>22</v>
      </c>
      <c r="O29" s="16">
        <v>25643</v>
      </c>
    </row>
    <row r="30" spans="1:15">
      <c r="A30" s="6">
        <v>2006</v>
      </c>
      <c r="B30" s="16">
        <v>13029</v>
      </c>
      <c r="C30" s="16">
        <v>11371</v>
      </c>
      <c r="D30" s="16">
        <v>1658</v>
      </c>
      <c r="E30" s="16">
        <v>8035</v>
      </c>
      <c r="F30" s="16">
        <v>4693</v>
      </c>
      <c r="G30" s="16">
        <v>2362</v>
      </c>
      <c r="H30" s="140">
        <v>980</v>
      </c>
      <c r="I30" s="16">
        <v>2790</v>
      </c>
      <c r="J30" s="16">
        <v>2133</v>
      </c>
      <c r="K30" s="140">
        <v>657</v>
      </c>
      <c r="L30" s="140">
        <v>899</v>
      </c>
      <c r="M30" s="16">
        <v>2077</v>
      </c>
      <c r="N30" s="140">
        <v>-37</v>
      </c>
      <c r="O30" s="16">
        <v>26792</v>
      </c>
    </row>
    <row r="31" spans="1:15">
      <c r="A31" s="6">
        <v>2007</v>
      </c>
      <c r="B31" s="16">
        <v>13860</v>
      </c>
      <c r="C31" s="16">
        <v>11990</v>
      </c>
      <c r="D31" s="16">
        <v>1870</v>
      </c>
      <c r="E31" s="16">
        <v>8212</v>
      </c>
      <c r="F31" s="16">
        <v>4612</v>
      </c>
      <c r="G31" s="16">
        <v>2532</v>
      </c>
      <c r="H31" s="16">
        <v>1068</v>
      </c>
      <c r="I31" s="16">
        <v>2901</v>
      </c>
      <c r="J31" s="16">
        <v>2220</v>
      </c>
      <c r="K31" s="140">
        <v>681</v>
      </c>
      <c r="L31" s="140">
        <v>946</v>
      </c>
      <c r="M31" s="16">
        <v>2409</v>
      </c>
      <c r="N31" s="140">
        <v>24</v>
      </c>
      <c r="O31" s="16">
        <v>28352</v>
      </c>
    </row>
    <row r="32" spans="1:15">
      <c r="A32" s="6">
        <v>2008</v>
      </c>
      <c r="B32" s="16">
        <v>14793</v>
      </c>
      <c r="C32" s="16">
        <v>12764</v>
      </c>
      <c r="D32" s="16">
        <v>2029</v>
      </c>
      <c r="E32" s="16">
        <v>7678</v>
      </c>
      <c r="F32" s="16">
        <v>3696</v>
      </c>
      <c r="G32" s="16">
        <v>2773</v>
      </c>
      <c r="H32" s="16">
        <v>1209</v>
      </c>
      <c r="I32" s="16">
        <v>2979</v>
      </c>
      <c r="J32" s="16">
        <v>2254</v>
      </c>
      <c r="K32" s="140">
        <v>725</v>
      </c>
      <c r="L32" s="140">
        <v>979</v>
      </c>
      <c r="M32" s="16">
        <v>2394</v>
      </c>
      <c r="N32" s="140">
        <v>19</v>
      </c>
      <c r="O32" s="16">
        <v>28842</v>
      </c>
    </row>
    <row r="33" spans="1:15">
      <c r="A33" s="6">
        <v>2009</v>
      </c>
      <c r="B33" s="16">
        <v>15133</v>
      </c>
      <c r="C33" s="16">
        <v>13108</v>
      </c>
      <c r="D33" s="16">
        <v>2025</v>
      </c>
      <c r="E33" s="16">
        <v>7315</v>
      </c>
      <c r="F33" s="16">
        <v>3168</v>
      </c>
      <c r="G33" s="16">
        <v>2930</v>
      </c>
      <c r="H33" s="16">
        <v>1217</v>
      </c>
      <c r="I33" s="16">
        <v>3066</v>
      </c>
      <c r="J33" s="16">
        <v>2279</v>
      </c>
      <c r="K33" s="140">
        <v>787</v>
      </c>
      <c r="L33" s="16">
        <v>1044</v>
      </c>
      <c r="M33" s="16">
        <v>2327</v>
      </c>
      <c r="N33" s="140">
        <v>29</v>
      </c>
      <c r="O33" s="16">
        <v>28914</v>
      </c>
    </row>
    <row r="34" spans="1:15">
      <c r="A34" s="6">
        <v>2010</v>
      </c>
      <c r="B34" s="16">
        <v>15515</v>
      </c>
      <c r="C34" s="16">
        <v>13418</v>
      </c>
      <c r="D34" s="16">
        <v>2097</v>
      </c>
      <c r="E34" s="16">
        <v>7841</v>
      </c>
      <c r="F34" s="16">
        <v>3728</v>
      </c>
      <c r="G34" s="16">
        <v>2876</v>
      </c>
      <c r="H34" s="16">
        <v>1237</v>
      </c>
      <c r="I34" s="16">
        <v>3256</v>
      </c>
      <c r="J34" s="16">
        <v>2429</v>
      </c>
      <c r="K34" s="140">
        <v>827</v>
      </c>
      <c r="L34" s="16">
        <v>1112</v>
      </c>
      <c r="M34" s="16">
        <v>2515</v>
      </c>
      <c r="N34" s="140">
        <v>30</v>
      </c>
      <c r="O34" s="16">
        <v>30269</v>
      </c>
    </row>
    <row r="35" spans="1:15">
      <c r="A35" s="6">
        <v>2011</v>
      </c>
      <c r="B35" s="16">
        <v>16038</v>
      </c>
      <c r="C35" s="16">
        <v>13880</v>
      </c>
      <c r="D35" s="16">
        <v>2158</v>
      </c>
      <c r="E35" s="16">
        <v>8243</v>
      </c>
      <c r="F35" s="16">
        <v>3970</v>
      </c>
      <c r="G35" s="16">
        <v>2930</v>
      </c>
      <c r="H35" s="16">
        <v>1343</v>
      </c>
      <c r="I35" s="16">
        <v>3464</v>
      </c>
      <c r="J35" s="16">
        <v>2620</v>
      </c>
      <c r="K35" s="140">
        <v>845</v>
      </c>
      <c r="L35" s="16">
        <v>1149</v>
      </c>
      <c r="M35" s="16">
        <v>2651</v>
      </c>
      <c r="N35" s="140">
        <v>16</v>
      </c>
      <c r="O35" s="16">
        <v>31561</v>
      </c>
    </row>
    <row r="36" spans="1:15">
      <c r="A36" s="6">
        <v>2012</v>
      </c>
      <c r="B36" s="16">
        <v>16201</v>
      </c>
      <c r="C36" s="16">
        <v>13908</v>
      </c>
      <c r="D36" s="16">
        <v>2293</v>
      </c>
      <c r="E36" s="16">
        <v>8131</v>
      </c>
      <c r="F36" s="16">
        <v>3735</v>
      </c>
      <c r="G36" s="16">
        <v>2973</v>
      </c>
      <c r="H36" s="16">
        <v>1423</v>
      </c>
      <c r="I36" s="16">
        <v>3563</v>
      </c>
      <c r="J36" s="16">
        <v>2694</v>
      </c>
      <c r="K36" s="140">
        <v>869</v>
      </c>
      <c r="L36" s="16">
        <v>1209</v>
      </c>
      <c r="M36" s="16">
        <v>2674</v>
      </c>
      <c r="N36" s="140">
        <v>19</v>
      </c>
      <c r="O36" s="16">
        <v>31797</v>
      </c>
    </row>
    <row r="37" spans="1:15">
      <c r="A37" s="6">
        <v>2013</v>
      </c>
      <c r="B37" s="16">
        <v>16351</v>
      </c>
      <c r="C37" s="16">
        <v>13963</v>
      </c>
      <c r="D37" s="16">
        <v>2388</v>
      </c>
      <c r="E37" s="16">
        <v>7903</v>
      </c>
      <c r="F37" s="16">
        <v>3472</v>
      </c>
      <c r="G37" s="16">
        <v>2972</v>
      </c>
      <c r="H37" s="16">
        <v>1459</v>
      </c>
      <c r="I37" s="16">
        <v>3684</v>
      </c>
      <c r="J37" s="16">
        <v>2717</v>
      </c>
      <c r="K37" s="140">
        <v>967</v>
      </c>
      <c r="L37" s="16">
        <v>1228</v>
      </c>
      <c r="M37" s="16">
        <v>2714</v>
      </c>
      <c r="N37" s="140">
        <v>11</v>
      </c>
      <c r="O37" s="16">
        <v>31891</v>
      </c>
    </row>
    <row r="38" spans="1:15">
      <c r="A38" s="6">
        <v>2014</v>
      </c>
      <c r="B38" s="16">
        <v>16743</v>
      </c>
      <c r="C38" s="16">
        <v>14286</v>
      </c>
      <c r="D38" s="16">
        <v>2457</v>
      </c>
      <c r="E38" s="16">
        <v>7841</v>
      </c>
      <c r="F38" s="16">
        <v>3400</v>
      </c>
      <c r="G38" s="16">
        <v>2970</v>
      </c>
      <c r="H38" s="16">
        <v>1471</v>
      </c>
      <c r="I38" s="16">
        <v>3793</v>
      </c>
      <c r="J38" s="16">
        <v>2796</v>
      </c>
      <c r="K38" s="140">
        <v>997</v>
      </c>
      <c r="L38" s="16">
        <v>1278</v>
      </c>
      <c r="M38" s="16">
        <v>2813</v>
      </c>
      <c r="N38" s="140">
        <v>-6</v>
      </c>
      <c r="O38" s="16">
        <v>32462</v>
      </c>
    </row>
    <row r="39" spans="1:15">
      <c r="A39" s="6">
        <v>2015</v>
      </c>
      <c r="B39" s="16">
        <v>17026</v>
      </c>
      <c r="C39" s="16">
        <v>14520</v>
      </c>
      <c r="D39" s="16">
        <v>2506</v>
      </c>
      <c r="E39" s="16">
        <v>8370</v>
      </c>
      <c r="F39" s="16">
        <v>3756</v>
      </c>
      <c r="G39" s="16">
        <v>3104</v>
      </c>
      <c r="H39" s="16">
        <v>1510</v>
      </c>
      <c r="I39" s="16">
        <v>3892</v>
      </c>
      <c r="J39" s="16">
        <v>2880</v>
      </c>
      <c r="K39" s="16">
        <v>1012</v>
      </c>
      <c r="L39" s="16">
        <v>1308</v>
      </c>
      <c r="M39" s="16">
        <v>2850</v>
      </c>
      <c r="N39" s="140">
        <v>7</v>
      </c>
      <c r="O39" s="16">
        <v>33453</v>
      </c>
    </row>
    <row r="40" spans="1:15">
      <c r="A40" s="6">
        <v>2016</v>
      </c>
      <c r="B40" s="16">
        <v>17537</v>
      </c>
      <c r="C40" s="16">
        <v>14927</v>
      </c>
      <c r="D40" s="16">
        <v>2610</v>
      </c>
      <c r="E40" s="16">
        <v>8373</v>
      </c>
      <c r="F40" s="16">
        <v>3747</v>
      </c>
      <c r="G40" s="16">
        <v>3104</v>
      </c>
      <c r="H40" s="16">
        <v>1522</v>
      </c>
      <c r="I40" s="16">
        <v>3999</v>
      </c>
      <c r="J40" s="16">
        <v>2974</v>
      </c>
      <c r="K40" s="16">
        <v>1025</v>
      </c>
      <c r="L40" s="16">
        <v>1344</v>
      </c>
      <c r="M40" s="16">
        <v>3109</v>
      </c>
      <c r="N40" s="140">
        <v>-32</v>
      </c>
      <c r="O40" s="16">
        <v>34330</v>
      </c>
    </row>
    <row r="41" spans="1:15">
      <c r="A41" s="6">
        <v>2017</v>
      </c>
      <c r="B41" s="16">
        <v>18116</v>
      </c>
      <c r="C41" s="16">
        <v>15467</v>
      </c>
      <c r="D41" s="16">
        <v>2649</v>
      </c>
      <c r="E41" s="16">
        <v>8801</v>
      </c>
      <c r="F41" s="16">
        <v>4186</v>
      </c>
      <c r="G41" s="16">
        <v>3072</v>
      </c>
      <c r="H41" s="16">
        <v>1543</v>
      </c>
      <c r="I41" s="16">
        <v>4144</v>
      </c>
      <c r="J41" s="16">
        <v>3063</v>
      </c>
      <c r="K41" s="16">
        <v>1081</v>
      </c>
      <c r="L41" s="16">
        <v>1393</v>
      </c>
      <c r="M41" s="16">
        <v>3371</v>
      </c>
      <c r="N41" s="140">
        <v>3</v>
      </c>
      <c r="O41" s="16">
        <v>35828</v>
      </c>
    </row>
    <row r="42" spans="1:15">
      <c r="A42" s="6">
        <v>2018</v>
      </c>
      <c r="B42" s="16">
        <v>18986</v>
      </c>
      <c r="C42" s="16">
        <v>16169</v>
      </c>
      <c r="D42" s="16">
        <v>2817</v>
      </c>
      <c r="E42" s="16">
        <v>8961</v>
      </c>
      <c r="F42" s="16">
        <v>4146</v>
      </c>
      <c r="G42" s="16">
        <v>3224</v>
      </c>
      <c r="H42" s="16">
        <v>1591</v>
      </c>
      <c r="I42" s="16">
        <v>4282</v>
      </c>
      <c r="J42" s="16">
        <v>3153</v>
      </c>
      <c r="K42" s="16">
        <v>1129</v>
      </c>
      <c r="L42" s="16">
        <v>1419</v>
      </c>
      <c r="M42" s="16">
        <v>3486</v>
      </c>
      <c r="N42" s="140">
        <v>-29</v>
      </c>
      <c r="O42" s="16">
        <v>37105</v>
      </c>
    </row>
    <row r="43" spans="1:15">
      <c r="A43" s="6">
        <v>2019</v>
      </c>
      <c r="B43" s="16">
        <v>19688</v>
      </c>
      <c r="C43" s="16">
        <v>16759</v>
      </c>
      <c r="D43" s="16">
        <v>2929</v>
      </c>
      <c r="E43" s="16">
        <v>9203</v>
      </c>
      <c r="F43" s="16">
        <v>4244</v>
      </c>
      <c r="G43" s="16">
        <v>3323</v>
      </c>
      <c r="H43" s="16">
        <v>1636</v>
      </c>
      <c r="I43" s="16">
        <v>4317</v>
      </c>
      <c r="J43" s="16">
        <v>3155</v>
      </c>
      <c r="K43" s="16">
        <v>1162</v>
      </c>
      <c r="L43" s="16">
        <v>1454</v>
      </c>
      <c r="M43" s="16">
        <v>3573</v>
      </c>
      <c r="N43" s="140">
        <v>1</v>
      </c>
      <c r="O43" s="16">
        <v>38236</v>
      </c>
    </row>
    <row r="44" spans="1:15">
      <c r="A44" s="6"/>
      <c r="B44" s="6"/>
      <c r="C44" s="6"/>
      <c r="D44" s="6"/>
      <c r="E44" s="6"/>
      <c r="F44" s="6"/>
      <c r="G44" s="6"/>
      <c r="H44" s="6"/>
      <c r="I44" s="6"/>
      <c r="J44" s="6"/>
      <c r="K44" s="6"/>
      <c r="L44" s="6"/>
      <c r="M44" s="6"/>
      <c r="N44" s="6"/>
      <c r="O44" s="6"/>
    </row>
    <row r="45" spans="1:15">
      <c r="A45" s="6" t="s">
        <v>205</v>
      </c>
      <c r="B45" s="18">
        <f>100*((B43/B5)^(1/38)-1)</f>
        <v>4.3379333985719803</v>
      </c>
      <c r="C45" s="18">
        <f t="shared" ref="C45:O45" si="0">100*((C43/C5)^(1/38)-1)</f>
        <v>4.1311562913276756</v>
      </c>
      <c r="D45" s="18">
        <f t="shared" si="0"/>
        <v>5.9822779819601601</v>
      </c>
      <c r="E45" s="18">
        <f t="shared" si="0"/>
        <v>4.5953673651586646</v>
      </c>
      <c r="F45" s="18">
        <f t="shared" si="0"/>
        <v>6.1269222797504463</v>
      </c>
      <c r="G45" s="18">
        <f t="shared" si="0"/>
        <v>3.527642522355956</v>
      </c>
      <c r="H45" s="18">
        <f t="shared" si="0"/>
        <v>4.2534971494551099</v>
      </c>
      <c r="I45" s="18">
        <f t="shared" si="0"/>
        <v>4.4214921103933102</v>
      </c>
      <c r="J45" s="18">
        <f t="shared" si="0"/>
        <v>4.232287255620415</v>
      </c>
      <c r="K45" s="18">
        <f t="shared" si="0"/>
        <v>5.0148521058138273</v>
      </c>
      <c r="L45" s="18">
        <f t="shared" si="0"/>
        <v>4.3624525428578753</v>
      </c>
      <c r="M45" s="18">
        <f t="shared" si="0"/>
        <v>16.730697179143171</v>
      </c>
      <c r="N45" s="18"/>
      <c r="O45" s="18">
        <f t="shared" si="0"/>
        <v>4.7098105936752788</v>
      </c>
    </row>
    <row r="46" spans="1:15">
      <c r="A46" s="6" t="s">
        <v>12</v>
      </c>
      <c r="B46" s="18">
        <f>100*((B24/B5)^(1/19)-1)</f>
        <v>5.3073593009614006</v>
      </c>
      <c r="C46" s="18">
        <f t="shared" ref="C46:O46" si="1">100*((C24/C5)^(1/19)-1)</f>
        <v>5.108667419996693</v>
      </c>
      <c r="D46" s="18">
        <f t="shared" si="1"/>
        <v>7.1644404324421762</v>
      </c>
      <c r="E46" s="18">
        <f t="shared" si="1"/>
        <v>6.6917236865499774</v>
      </c>
      <c r="F46" s="18">
        <f t="shared" si="1"/>
        <v>10.637947013805004</v>
      </c>
      <c r="G46" s="18">
        <f t="shared" si="1"/>
        <v>4.0549224527195671</v>
      </c>
      <c r="H46" s="18">
        <f t="shared" si="1"/>
        <v>4.6440187663794763</v>
      </c>
      <c r="I46" s="18">
        <f t="shared" si="1"/>
        <v>5.5847259057900445</v>
      </c>
      <c r="J46" s="18">
        <f t="shared" si="1"/>
        <v>5.6368478379505094</v>
      </c>
      <c r="K46" s="18">
        <f t="shared" si="1"/>
        <v>5.3927362169120752</v>
      </c>
      <c r="L46" s="18">
        <f t="shared" si="1"/>
        <v>4.4720664611079375</v>
      </c>
      <c r="M46" s="18">
        <f t="shared" si="1"/>
        <v>30.983497676764983</v>
      </c>
      <c r="N46" s="18"/>
      <c r="O46" s="18">
        <f t="shared" si="1"/>
        <v>6.2087874618408589</v>
      </c>
    </row>
    <row r="47" spans="1:15">
      <c r="A47" s="6" t="s">
        <v>11</v>
      </c>
      <c r="B47" s="18">
        <f>100*((B43/B24)^(1/19)-1)</f>
        <v>3.3774317212933447</v>
      </c>
      <c r="C47" s="18">
        <f t="shared" ref="C47:O47" si="2">100*((C43/C24)^(1/19)-1)</f>
        <v>3.1627360210067623</v>
      </c>
      <c r="D47" s="18">
        <f t="shared" si="2"/>
        <v>4.8131563130441979</v>
      </c>
      <c r="E47" s="18">
        <f t="shared" si="2"/>
        <v>2.5402017722923276</v>
      </c>
      <c r="F47" s="18">
        <f t="shared" si="2"/>
        <v>1.7998248934142369</v>
      </c>
      <c r="G47" s="18">
        <f t="shared" si="2"/>
        <v>3.0030344898556383</v>
      </c>
      <c r="H47" s="18">
        <f t="shared" si="2"/>
        <v>3.8644329224043483</v>
      </c>
      <c r="I47" s="18">
        <f t="shared" si="2"/>
        <v>3.271073737408714</v>
      </c>
      <c r="J47" s="18">
        <f t="shared" si="2"/>
        <v>2.8464018843536332</v>
      </c>
      <c r="K47" s="18">
        <f t="shared" si="2"/>
        <v>4.6383228926577535</v>
      </c>
      <c r="L47" s="18">
        <f t="shared" si="2"/>
        <v>4.2529536334468432</v>
      </c>
      <c r="M47" s="18">
        <f t="shared" si="2"/>
        <v>4.0287967996897933</v>
      </c>
      <c r="N47" s="18"/>
      <c r="O47" s="18">
        <f t="shared" si="2"/>
        <v>3.2319895234901974</v>
      </c>
    </row>
    <row r="48" spans="1:15">
      <c r="A48" s="6" t="s">
        <v>214</v>
      </c>
      <c r="B48" s="18">
        <f>100*((B13/B5)^(1/8)-1)</f>
        <v>7.5689891860921454</v>
      </c>
      <c r="C48" s="18">
        <f t="shared" ref="C48:O48" si="3">100*((C13/C5)^(1/8)-1)</f>
        <v>7.494269715139068</v>
      </c>
      <c r="D48" s="18">
        <f t="shared" si="3"/>
        <v>8.3803565327557514</v>
      </c>
      <c r="E48" s="18">
        <f t="shared" si="3"/>
        <v>8.4428238925650767</v>
      </c>
      <c r="F48" s="18">
        <f t="shared" si="3"/>
        <v>15.510223108367249</v>
      </c>
      <c r="G48" s="18">
        <f t="shared" si="3"/>
        <v>4.3790743707356139</v>
      </c>
      <c r="H48" s="18">
        <f t="shared" si="3"/>
        <v>5.9620245397201677</v>
      </c>
      <c r="I48" s="18">
        <f t="shared" si="3"/>
        <v>9.1078744006377619</v>
      </c>
      <c r="J48" s="18">
        <f t="shared" si="3"/>
        <v>9.4016701633388386</v>
      </c>
      <c r="K48" s="18">
        <f t="shared" si="3"/>
        <v>7.999259817384341</v>
      </c>
      <c r="L48" s="18">
        <f t="shared" si="3"/>
        <v>3.9077255954333978</v>
      </c>
      <c r="M48" s="18">
        <f t="shared" si="3"/>
        <v>82.949179351140387</v>
      </c>
      <c r="N48" s="18"/>
      <c r="O48" s="18">
        <f t="shared" si="3"/>
        <v>9.2341196475698606</v>
      </c>
    </row>
    <row r="49" spans="1:15">
      <c r="A49" s="6" t="s">
        <v>215</v>
      </c>
      <c r="B49" s="18">
        <f>100*((B24/B13)^(1/11)-1)</f>
        <v>3.6924615285823803</v>
      </c>
      <c r="C49" s="18">
        <f t="shared" ref="C49:O49" si="4">100*((C24/C13)^(1/11)-1)</f>
        <v>3.4070051264987189</v>
      </c>
      <c r="D49" s="18">
        <f t="shared" si="4"/>
        <v>6.2887146907276481</v>
      </c>
      <c r="E49" s="18">
        <f t="shared" si="4"/>
        <v>5.4359827338712918</v>
      </c>
      <c r="F49" s="18">
        <f t="shared" si="4"/>
        <v>7.224058998994054</v>
      </c>
      <c r="G49" s="18">
        <f t="shared" si="4"/>
        <v>3.819808065616348</v>
      </c>
      <c r="H49" s="18">
        <f t="shared" si="4"/>
        <v>3.6957778477178627</v>
      </c>
      <c r="I49" s="18">
        <f t="shared" si="4"/>
        <v>3.0941032658673873</v>
      </c>
      <c r="J49" s="18">
        <f t="shared" si="4"/>
        <v>2.9804280672137473</v>
      </c>
      <c r="K49" s="18">
        <f t="shared" si="4"/>
        <v>3.5366822138883869</v>
      </c>
      <c r="L49" s="18">
        <f t="shared" si="4"/>
        <v>4.8844203774333295</v>
      </c>
      <c r="M49" s="18">
        <f t="shared" si="4"/>
        <v>2.7257248150740931</v>
      </c>
      <c r="N49" s="6"/>
      <c r="O49" s="18">
        <f t="shared" si="4"/>
        <v>4.0613074620765355</v>
      </c>
    </row>
    <row r="50" spans="1:15">
      <c r="A50" s="6" t="s">
        <v>206</v>
      </c>
      <c r="B50" s="18">
        <f>100*((B32/B24)^(1/8)-1)</f>
        <v>4.4102080050441472</v>
      </c>
      <c r="C50" s="18">
        <f t="shared" ref="C50:O50" si="5">100*((C32/C24)^(1/8)-1)</f>
        <v>4.072050077288103</v>
      </c>
      <c r="D50" s="18">
        <f t="shared" si="5"/>
        <v>6.7967060783951316</v>
      </c>
      <c r="E50" s="18">
        <f t="shared" si="5"/>
        <v>3.762035799073149</v>
      </c>
      <c r="F50" s="18">
        <f t="shared" si="5"/>
        <v>2.5401083402636804</v>
      </c>
      <c r="G50" s="18">
        <f t="shared" si="5"/>
        <v>4.8808592870765777</v>
      </c>
      <c r="H50" s="18">
        <f t="shared" si="5"/>
        <v>5.3632489994711818</v>
      </c>
      <c r="I50" s="18">
        <f t="shared" si="5"/>
        <v>3.0529554876379317</v>
      </c>
      <c r="J50" s="18">
        <f t="shared" si="5"/>
        <v>2.4928186057824542</v>
      </c>
      <c r="K50" s="18">
        <f t="shared" si="5"/>
        <v>4.9922068440945599</v>
      </c>
      <c r="L50" s="18">
        <f t="shared" si="5"/>
        <v>5.0720388811626549</v>
      </c>
      <c r="M50" s="18">
        <f t="shared" si="5"/>
        <v>4.4722944564685729</v>
      </c>
      <c r="N50" s="6"/>
      <c r="O50" s="18">
        <f t="shared" si="5"/>
        <v>4.1125469718332752</v>
      </c>
    </row>
    <row r="51" spans="1:15">
      <c r="A51" s="6" t="s">
        <v>207</v>
      </c>
      <c r="B51" s="18">
        <f>100*((B43/B32)^(1/11)-1)</f>
        <v>2.6327439786145268</v>
      </c>
      <c r="C51" s="18">
        <f t="shared" ref="C51:O51" si="6">100*((C43/C32)^(1/11)-1)</f>
        <v>2.5064109277973312</v>
      </c>
      <c r="D51" s="18">
        <f t="shared" si="6"/>
        <v>3.3937536071809493</v>
      </c>
      <c r="E51" s="18">
        <f t="shared" si="6"/>
        <v>1.6606417071236335</v>
      </c>
      <c r="F51" s="18">
        <f t="shared" si="6"/>
        <v>1.2647959793999242</v>
      </c>
      <c r="G51" s="18">
        <f t="shared" si="6"/>
        <v>1.6584957795448219</v>
      </c>
      <c r="H51" s="18">
        <f t="shared" si="6"/>
        <v>2.7877939647253713</v>
      </c>
      <c r="I51" s="18">
        <f t="shared" si="6"/>
        <v>3.4299951051693922</v>
      </c>
      <c r="J51" s="18">
        <f t="shared" si="6"/>
        <v>3.1043192774490524</v>
      </c>
      <c r="K51" s="18">
        <f t="shared" si="6"/>
        <v>4.3817021675588208</v>
      </c>
      <c r="L51" s="18">
        <f t="shared" si="6"/>
        <v>3.6612686276301654</v>
      </c>
      <c r="M51" s="18">
        <f t="shared" si="6"/>
        <v>3.7074360296955655</v>
      </c>
      <c r="N51" s="6"/>
      <c r="O51" s="18">
        <f t="shared" si="6"/>
        <v>2.5962655009741598</v>
      </c>
    </row>
    <row r="52" spans="1:15">
      <c r="A52" s="6"/>
      <c r="B52" s="6"/>
      <c r="C52" s="6"/>
      <c r="D52" s="6"/>
      <c r="E52" s="6"/>
      <c r="F52" s="6"/>
      <c r="G52" s="6"/>
      <c r="H52" s="6"/>
      <c r="I52" s="6"/>
      <c r="J52" s="6"/>
      <c r="K52" s="6"/>
      <c r="L52" s="6"/>
      <c r="M52" s="6"/>
      <c r="N52" s="6"/>
      <c r="O52" s="6"/>
    </row>
    <row r="53" spans="1:15">
      <c r="A53" s="6" t="s">
        <v>668</v>
      </c>
      <c r="B53" s="6"/>
      <c r="C53" s="6"/>
      <c r="D53" s="6"/>
      <c r="E53" s="6"/>
      <c r="F53" s="6"/>
      <c r="G53" s="6"/>
      <c r="H53" s="6"/>
      <c r="I53" s="6"/>
      <c r="J53" s="6"/>
      <c r="K53" s="6"/>
      <c r="L53" s="6"/>
      <c r="M53" s="6"/>
      <c r="N53" s="6"/>
      <c r="O53" s="6"/>
    </row>
    <row r="54" spans="1:15">
      <c r="A54" s="6"/>
      <c r="B54" s="6"/>
      <c r="C54" s="6"/>
      <c r="D54" s="6"/>
      <c r="E54" s="6"/>
      <c r="F54" s="6"/>
      <c r="G54" s="6"/>
      <c r="H54" s="6"/>
      <c r="I54" s="6"/>
      <c r="J54" s="6"/>
      <c r="K54" s="6"/>
      <c r="L54" s="6"/>
      <c r="M54" s="6"/>
      <c r="N54" s="6"/>
      <c r="O54" s="6"/>
    </row>
    <row r="55" spans="1:15">
      <c r="A55" s="6"/>
      <c r="B55" s="6"/>
      <c r="C55" s="6"/>
      <c r="D55" s="6"/>
      <c r="E55" s="6"/>
      <c r="F55" s="6"/>
      <c r="G55" s="6"/>
      <c r="H55" s="6"/>
      <c r="I55" s="6"/>
      <c r="J55" s="6"/>
      <c r="K55" s="6"/>
      <c r="L55" s="6"/>
      <c r="M55" s="6"/>
      <c r="N55" s="6"/>
      <c r="O55" s="6"/>
    </row>
    <row r="56" spans="1:15" ht="31.5" customHeight="1">
      <c r="A56" s="6"/>
      <c r="B56" s="354" t="s">
        <v>272</v>
      </c>
      <c r="C56" s="354"/>
      <c r="D56" s="354" t="s">
        <v>275</v>
      </c>
      <c r="E56" s="354"/>
      <c r="F56" s="354" t="s">
        <v>279</v>
      </c>
      <c r="G56" s="354"/>
      <c r="H56" s="354" t="s">
        <v>282</v>
      </c>
      <c r="I56" s="354"/>
      <c r="J56" s="354" t="s">
        <v>283</v>
      </c>
      <c r="K56" s="354"/>
      <c r="L56" s="354" t="s">
        <v>285</v>
      </c>
      <c r="M56" s="354"/>
      <c r="N56" s="6"/>
      <c r="O56" s="6"/>
    </row>
    <row r="57" spans="1:15">
      <c r="A57" s="6"/>
      <c r="B57" s="140" t="s">
        <v>44</v>
      </c>
      <c r="C57" s="140" t="s">
        <v>90</v>
      </c>
      <c r="D57" s="140" t="s">
        <v>44</v>
      </c>
      <c r="E57" s="140" t="s">
        <v>90</v>
      </c>
      <c r="F57" s="140" t="s">
        <v>44</v>
      </c>
      <c r="G57" s="140" t="s">
        <v>90</v>
      </c>
      <c r="H57" s="140" t="s">
        <v>44</v>
      </c>
      <c r="I57" s="140" t="s">
        <v>90</v>
      </c>
      <c r="J57" s="140" t="s">
        <v>44</v>
      </c>
      <c r="K57" s="140" t="s">
        <v>90</v>
      </c>
      <c r="L57" s="140" t="s">
        <v>44</v>
      </c>
      <c r="M57" s="140" t="s">
        <v>90</v>
      </c>
      <c r="N57" s="6"/>
      <c r="O57" s="6"/>
    </row>
    <row r="58" spans="1:15">
      <c r="A58" s="6" t="s">
        <v>205</v>
      </c>
      <c r="B58" s="18">
        <v>4.3379333985719803</v>
      </c>
      <c r="C58" s="143">
        <v>4.8188485026130712</v>
      </c>
      <c r="D58" s="18">
        <v>4.5953673651586646</v>
      </c>
      <c r="E58" s="143">
        <v>5.232082965297713</v>
      </c>
      <c r="F58" s="18">
        <v>4.4214921103933102</v>
      </c>
      <c r="G58" s="143">
        <v>4.8175660172502965</v>
      </c>
      <c r="H58" s="18">
        <v>4.3624525428578753</v>
      </c>
      <c r="I58" s="143">
        <v>5.064715605870318</v>
      </c>
      <c r="J58" s="18">
        <v>16.730697179143171</v>
      </c>
      <c r="K58" s="143">
        <v>5.1540750183976858</v>
      </c>
      <c r="L58" s="18">
        <v>4.7098105936752788</v>
      </c>
      <c r="M58" s="143">
        <v>4.9509086477221853</v>
      </c>
      <c r="N58" s="6"/>
      <c r="O58" s="6"/>
    </row>
    <row r="59" spans="1:15">
      <c r="A59" s="6" t="s">
        <v>12</v>
      </c>
      <c r="B59" s="18">
        <v>5.3073593009614006</v>
      </c>
      <c r="C59" s="143">
        <v>5.5790368030431692</v>
      </c>
      <c r="D59" s="18">
        <v>6.6917236865499774</v>
      </c>
      <c r="E59" s="143">
        <v>6.5657044188809577</v>
      </c>
      <c r="F59" s="18">
        <v>5.5847259057900445</v>
      </c>
      <c r="G59" s="143">
        <v>5.8195639797030685</v>
      </c>
      <c r="H59" s="18">
        <v>4.4720664611079375</v>
      </c>
      <c r="I59" s="143">
        <v>6.4099526221540692</v>
      </c>
      <c r="J59" s="18">
        <v>30.983497676764983</v>
      </c>
      <c r="K59" s="143">
        <v>6.740271562068445</v>
      </c>
      <c r="L59" s="18">
        <v>6.2087874618408589</v>
      </c>
      <c r="M59" s="143">
        <v>5.9576354121672503</v>
      </c>
      <c r="N59" s="6"/>
      <c r="O59" s="6"/>
    </row>
    <row r="60" spans="1:15">
      <c r="A60" s="6" t="s">
        <v>11</v>
      </c>
      <c r="B60" s="18">
        <v>3.3774317212933447</v>
      </c>
      <c r="C60" s="143">
        <v>4.0641336964447827</v>
      </c>
      <c r="D60" s="18">
        <v>2.5402017722923276</v>
      </c>
      <c r="E60" s="143">
        <v>3.9151511792877125</v>
      </c>
      <c r="F60" s="18">
        <v>3.27107373740871</v>
      </c>
      <c r="G60" s="143">
        <v>3.8250559025924113</v>
      </c>
      <c r="H60" s="18">
        <v>4.2529536334468432</v>
      </c>
      <c r="I60" s="143">
        <v>3.736485106227061</v>
      </c>
      <c r="J60" s="18">
        <v>4.0287967996897933</v>
      </c>
      <c r="K60" s="143">
        <v>3.5914498919468185</v>
      </c>
      <c r="L60" s="18">
        <v>3.2319895234901974</v>
      </c>
      <c r="M60" s="143">
        <v>3.9537470153632182</v>
      </c>
      <c r="N60" s="6"/>
      <c r="O60" s="6"/>
    </row>
    <row r="61" spans="1:15">
      <c r="A61" s="6" t="s">
        <v>214</v>
      </c>
      <c r="B61" s="18">
        <v>7.5689891860921454</v>
      </c>
      <c r="C61" s="143">
        <v>7.4964476866113738</v>
      </c>
      <c r="D61" s="18">
        <v>8.4428238925650767</v>
      </c>
      <c r="E61" s="143">
        <v>7.4764579714128088</v>
      </c>
      <c r="F61" s="18">
        <v>9.1078744006377619</v>
      </c>
      <c r="G61" s="143">
        <v>8.1510226346284576</v>
      </c>
      <c r="H61" s="18">
        <v>3.9077255954333978</v>
      </c>
      <c r="I61" s="143">
        <v>8.4627631180556495</v>
      </c>
      <c r="J61" s="18">
        <v>82.949179351140387</v>
      </c>
      <c r="K61" s="143">
        <v>10.632704965417084</v>
      </c>
      <c r="L61" s="18">
        <v>9.2341196475698606</v>
      </c>
      <c r="M61" s="143">
        <v>7.7961810483735183</v>
      </c>
      <c r="N61" s="6"/>
      <c r="O61" s="6"/>
    </row>
    <row r="62" spans="1:15">
      <c r="A62" s="6" t="s">
        <v>215</v>
      </c>
      <c r="B62" s="18">
        <v>3.6924615285823803</v>
      </c>
      <c r="C62" s="143">
        <v>4.2060726870658982</v>
      </c>
      <c r="D62" s="18">
        <v>5.4359827338712901</v>
      </c>
      <c r="E62" s="143">
        <v>5.9081894299674032</v>
      </c>
      <c r="F62" s="18">
        <v>3.0941032658673873</v>
      </c>
      <c r="G62" s="143">
        <v>4.1555884137872257</v>
      </c>
      <c r="H62" s="18">
        <v>4.8844203774333295</v>
      </c>
      <c r="I62" s="143">
        <v>4.9414448924406829</v>
      </c>
      <c r="J62" s="18">
        <v>2.7257248150740931</v>
      </c>
      <c r="K62" s="143">
        <v>3.995706712339131</v>
      </c>
      <c r="L62" s="18">
        <v>4.0613074620765355</v>
      </c>
      <c r="M62" s="143">
        <v>4.6402378212032414</v>
      </c>
      <c r="N62" s="6"/>
      <c r="O62" s="6"/>
    </row>
    <row r="63" spans="1:15">
      <c r="A63" s="6" t="s">
        <v>206</v>
      </c>
      <c r="B63" s="18">
        <v>4.4102080050441472</v>
      </c>
      <c r="C63" s="143">
        <v>5.0664378750646444</v>
      </c>
      <c r="D63" s="18">
        <v>3.762035799073149</v>
      </c>
      <c r="E63" s="143">
        <v>6.3726858749309612</v>
      </c>
      <c r="F63" s="18">
        <v>3.0529554876379317</v>
      </c>
      <c r="G63" s="143">
        <v>4.4320081103439657</v>
      </c>
      <c r="H63" s="18">
        <v>5.0720388811626549</v>
      </c>
      <c r="I63" s="143">
        <v>3.5660039872623228</v>
      </c>
      <c r="J63" s="18">
        <v>4.4722944564685729</v>
      </c>
      <c r="K63" s="143">
        <v>3.3081811003868644</v>
      </c>
      <c r="L63" s="18">
        <v>4.1125469718332752</v>
      </c>
      <c r="M63" s="143">
        <v>5.1825707348455152</v>
      </c>
      <c r="N63" s="6"/>
      <c r="O63" s="6"/>
    </row>
    <row r="64" spans="1:15">
      <c r="A64" s="6" t="s">
        <v>207</v>
      </c>
      <c r="B64" s="18">
        <v>2.6327439786145268</v>
      </c>
      <c r="C64" s="143">
        <v>3.3411961225176645</v>
      </c>
      <c r="D64" s="18">
        <v>1.6606417071236335</v>
      </c>
      <c r="E64" s="143">
        <v>2.1635899938016623</v>
      </c>
      <c r="F64" s="18">
        <v>3.4299951051693922</v>
      </c>
      <c r="G64" s="143">
        <v>3.3858529503500767</v>
      </c>
      <c r="H64" s="18">
        <v>3.6612686276301654</v>
      </c>
      <c r="I64" s="143">
        <v>3.8606476121834321</v>
      </c>
      <c r="J64" s="18">
        <v>3.7074360296955655</v>
      </c>
      <c r="K64" s="143">
        <v>3.7979512922652114</v>
      </c>
      <c r="L64" s="18">
        <v>2.5962655009741598</v>
      </c>
      <c r="M64" s="143">
        <v>3.0690836820977729</v>
      </c>
      <c r="N64" s="6"/>
      <c r="O64" s="6"/>
    </row>
    <row r="65" spans="1:15">
      <c r="A65" s="6"/>
      <c r="B65" s="18"/>
      <c r="C65" s="6"/>
      <c r="D65" s="18"/>
      <c r="E65" s="6"/>
      <c r="F65" s="18"/>
      <c r="G65" s="6"/>
      <c r="H65" s="18"/>
      <c r="I65" s="6"/>
      <c r="J65" s="18"/>
      <c r="K65" s="6"/>
      <c r="L65" s="6"/>
      <c r="M65" s="6"/>
      <c r="N65" s="18"/>
      <c r="O65" s="6"/>
    </row>
    <row r="66" spans="1:15">
      <c r="A66" s="6"/>
      <c r="B66" s="18"/>
      <c r="C66" s="6"/>
      <c r="D66" s="18"/>
      <c r="E66" s="6"/>
      <c r="F66" s="18"/>
      <c r="G66" s="6"/>
      <c r="H66" s="18"/>
      <c r="I66" s="6"/>
      <c r="J66" s="18"/>
      <c r="K66" s="6"/>
      <c r="L66" s="6"/>
      <c r="M66" s="6"/>
      <c r="N66" s="18"/>
      <c r="O66" s="6"/>
    </row>
    <row r="67" spans="1:15">
      <c r="A67" s="6"/>
      <c r="B67" s="6"/>
      <c r="C67" s="6"/>
      <c r="D67" s="6"/>
      <c r="E67" s="6"/>
      <c r="F67" s="6"/>
      <c r="G67" s="6"/>
      <c r="H67" s="18"/>
      <c r="I67" s="6"/>
      <c r="J67" s="18"/>
      <c r="K67" s="6"/>
      <c r="L67" s="6"/>
      <c r="M67" s="6"/>
      <c r="N67" s="18"/>
      <c r="O67" s="6"/>
    </row>
    <row r="68" spans="1:15">
      <c r="A68" s="6"/>
      <c r="B68" s="6"/>
      <c r="C68" s="6"/>
      <c r="D68" s="6"/>
      <c r="E68" s="6"/>
      <c r="F68" s="6"/>
      <c r="G68" s="6"/>
      <c r="H68" s="18"/>
      <c r="I68" s="6"/>
      <c r="J68" s="18"/>
      <c r="K68" s="6"/>
      <c r="L68" s="6"/>
      <c r="M68" s="6"/>
      <c r="N68" s="18"/>
      <c r="O68" s="6"/>
    </row>
    <row r="69" spans="1:15">
      <c r="A69" s="6"/>
      <c r="B69" s="6"/>
      <c r="C69" s="6"/>
      <c r="D69" s="6"/>
      <c r="E69" s="6"/>
      <c r="F69" s="6"/>
      <c r="G69" s="6"/>
      <c r="H69" s="18"/>
      <c r="I69" s="6"/>
      <c r="J69" s="18"/>
      <c r="K69" s="6"/>
      <c r="L69" s="6"/>
      <c r="M69" s="6"/>
      <c r="N69" s="18"/>
      <c r="O69" s="6"/>
    </row>
    <row r="70" spans="1:15">
      <c r="A70" s="6"/>
      <c r="B70" s="6"/>
      <c r="C70" s="6"/>
      <c r="D70" s="6"/>
      <c r="E70" s="6"/>
      <c r="F70" s="6"/>
      <c r="G70" s="6"/>
      <c r="H70" s="18"/>
      <c r="I70" s="6"/>
      <c r="J70" s="18"/>
      <c r="K70" s="6"/>
      <c r="L70" s="6"/>
      <c r="M70" s="6"/>
      <c r="N70" s="18"/>
      <c r="O70" s="6"/>
    </row>
    <row r="71" spans="1:15">
      <c r="A71" s="6"/>
      <c r="B71" s="6"/>
      <c r="C71" s="6"/>
      <c r="D71" s="6"/>
      <c r="E71" s="6"/>
      <c r="F71" s="6"/>
      <c r="G71" s="6"/>
      <c r="H71" s="6"/>
      <c r="I71" s="6"/>
      <c r="J71" s="6"/>
      <c r="K71" s="6"/>
      <c r="L71" s="6"/>
      <c r="M71" s="6"/>
      <c r="N71" s="6"/>
      <c r="O71" s="6"/>
    </row>
    <row r="72" spans="1:15">
      <c r="A72" s="6"/>
      <c r="B72" s="6"/>
      <c r="C72" s="6"/>
      <c r="D72" s="6"/>
      <c r="E72" s="6"/>
      <c r="F72" s="6"/>
      <c r="G72" s="6"/>
      <c r="H72" s="6"/>
      <c r="I72" s="6"/>
      <c r="J72" s="6"/>
      <c r="K72" s="6"/>
      <c r="L72" s="6"/>
      <c r="M72" s="6"/>
      <c r="N72" s="6"/>
      <c r="O72" s="6"/>
    </row>
    <row r="73" spans="1:15">
      <c r="A73" s="6"/>
      <c r="B73" s="6"/>
      <c r="C73" s="6"/>
      <c r="D73" s="6"/>
      <c r="E73" s="6"/>
      <c r="F73" s="6"/>
      <c r="G73" s="6"/>
      <c r="H73" s="6"/>
      <c r="I73" s="6"/>
      <c r="J73" s="6"/>
      <c r="K73" s="6"/>
      <c r="L73" s="6"/>
      <c r="M73" s="6"/>
      <c r="N73" s="6"/>
      <c r="O73" s="6"/>
    </row>
    <row r="74" spans="1:15">
      <c r="A74" s="6"/>
      <c r="B74" s="6"/>
      <c r="C74" s="6"/>
      <c r="D74" s="6"/>
      <c r="E74" s="6"/>
      <c r="F74" s="6"/>
      <c r="G74" s="6"/>
      <c r="H74" s="6"/>
      <c r="I74" s="6"/>
      <c r="J74" s="6"/>
      <c r="K74" s="6"/>
      <c r="L74" s="6"/>
      <c r="M74" s="6"/>
      <c r="N74" s="6"/>
      <c r="O74" s="6"/>
    </row>
    <row r="75" spans="1:15">
      <c r="A75" s="6"/>
      <c r="B75" s="6"/>
      <c r="C75" s="6"/>
      <c r="D75" s="6"/>
      <c r="E75" s="6"/>
      <c r="F75" s="6"/>
      <c r="G75" s="6"/>
      <c r="H75" s="6"/>
      <c r="I75" s="6"/>
      <c r="J75" s="6"/>
      <c r="K75" s="6"/>
      <c r="L75" s="6"/>
      <c r="M75" s="6"/>
      <c r="N75" s="6"/>
      <c r="O75" s="6"/>
    </row>
    <row r="76" spans="1:15">
      <c r="A76" s="6"/>
      <c r="B76" s="6"/>
      <c r="C76" s="6"/>
      <c r="D76" s="6"/>
      <c r="E76" s="6"/>
      <c r="F76" s="6"/>
      <c r="G76" s="6"/>
      <c r="H76" s="6"/>
      <c r="I76" s="6"/>
      <c r="J76" s="6"/>
      <c r="K76" s="6"/>
      <c r="L76" s="6"/>
      <c r="M76" s="6"/>
      <c r="N76" s="6"/>
      <c r="O76" s="6"/>
    </row>
    <row r="77" spans="1:15">
      <c r="A77" s="6"/>
      <c r="B77" s="6"/>
      <c r="C77" s="6"/>
      <c r="D77" s="6"/>
      <c r="E77" s="6"/>
      <c r="F77" s="6"/>
      <c r="G77" s="6"/>
      <c r="H77" s="6"/>
      <c r="I77" s="6"/>
      <c r="J77" s="6"/>
      <c r="K77" s="6"/>
      <c r="L77" s="6"/>
      <c r="M77" s="6"/>
      <c r="N77" s="6"/>
      <c r="O77" s="6"/>
    </row>
    <row r="78" spans="1:15">
      <c r="A78" s="5" t="s">
        <v>153</v>
      </c>
    </row>
    <row r="79" spans="1:15">
      <c r="A79" s="5">
        <v>1</v>
      </c>
      <c r="B79" s="5" t="s">
        <v>286</v>
      </c>
    </row>
    <row r="81" spans="1:15">
      <c r="A81" s="5" t="s">
        <v>287</v>
      </c>
    </row>
    <row r="83" spans="1:15" ht="85">
      <c r="B83" s="116" t="s">
        <v>272</v>
      </c>
      <c r="C83" s="142" t="s">
        <v>273</v>
      </c>
      <c r="D83" s="142" t="s">
        <v>274</v>
      </c>
      <c r="E83" s="116" t="s">
        <v>275</v>
      </c>
      <c r="F83" s="142" t="s">
        <v>276</v>
      </c>
      <c r="G83" s="142" t="s">
        <v>277</v>
      </c>
      <c r="H83" s="142" t="s">
        <v>278</v>
      </c>
      <c r="I83" s="116" t="s">
        <v>279</v>
      </c>
      <c r="J83" s="116" t="s">
        <v>280</v>
      </c>
      <c r="K83" s="116" t="s">
        <v>281</v>
      </c>
      <c r="L83" s="116" t="s">
        <v>282</v>
      </c>
      <c r="M83" s="116" t="s">
        <v>283</v>
      </c>
      <c r="N83" s="116" t="s">
        <v>284</v>
      </c>
      <c r="O83" s="116" t="s">
        <v>285</v>
      </c>
    </row>
    <row r="84" spans="1:15">
      <c r="A84" s="6">
        <v>1981</v>
      </c>
      <c r="B84" s="16">
        <v>3921</v>
      </c>
      <c r="C84" s="16">
        <v>3599</v>
      </c>
      <c r="D84" s="140">
        <v>322</v>
      </c>
      <c r="E84" s="16">
        <v>1669</v>
      </c>
      <c r="F84" s="140">
        <v>443</v>
      </c>
      <c r="G84" s="140">
        <v>890</v>
      </c>
      <c r="H84" s="140">
        <v>336</v>
      </c>
      <c r="I84" s="140">
        <v>834</v>
      </c>
      <c r="J84" s="140">
        <v>653</v>
      </c>
      <c r="K84" s="140">
        <v>181</v>
      </c>
      <c r="L84" s="140">
        <v>287</v>
      </c>
      <c r="M84" s="140">
        <v>10</v>
      </c>
      <c r="N84" s="140">
        <v>-70</v>
      </c>
      <c r="O84" s="16">
        <v>6652</v>
      </c>
    </row>
    <row r="85" spans="1:15">
      <c r="A85" s="6">
        <v>1989</v>
      </c>
      <c r="B85" s="16">
        <v>7029</v>
      </c>
      <c r="C85" s="16">
        <v>6416</v>
      </c>
      <c r="D85" s="140">
        <v>613</v>
      </c>
      <c r="E85" s="16">
        <v>3192</v>
      </c>
      <c r="F85" s="16">
        <v>1404</v>
      </c>
      <c r="G85" s="16">
        <v>1254</v>
      </c>
      <c r="H85" s="140">
        <v>534</v>
      </c>
      <c r="I85" s="16">
        <v>1675</v>
      </c>
      <c r="J85" s="16">
        <v>1340</v>
      </c>
      <c r="K85" s="140">
        <v>335</v>
      </c>
      <c r="L85" s="140">
        <v>390</v>
      </c>
      <c r="M85" s="16">
        <v>1255</v>
      </c>
      <c r="N85" s="140">
        <v>-56</v>
      </c>
      <c r="O85" s="16">
        <v>13484</v>
      </c>
    </row>
    <row r="86" spans="1:15">
      <c r="A86" s="6">
        <v>2000</v>
      </c>
      <c r="B86" s="16">
        <v>10474</v>
      </c>
      <c r="C86" s="16">
        <v>9275</v>
      </c>
      <c r="D86" s="16">
        <v>1199</v>
      </c>
      <c r="E86" s="16">
        <v>5714</v>
      </c>
      <c r="F86" s="16">
        <v>3024</v>
      </c>
      <c r="G86" s="16">
        <v>1894</v>
      </c>
      <c r="H86" s="140">
        <v>796</v>
      </c>
      <c r="I86" s="16">
        <v>2342</v>
      </c>
      <c r="J86" s="16">
        <v>1851</v>
      </c>
      <c r="K86" s="140">
        <v>491</v>
      </c>
      <c r="L86" s="140">
        <v>659</v>
      </c>
      <c r="M86" s="16">
        <v>1687</v>
      </c>
      <c r="N86" s="140">
        <v>17</v>
      </c>
      <c r="O86" s="16">
        <v>20893</v>
      </c>
    </row>
    <row r="87" spans="1:15">
      <c r="A87" s="6">
        <v>2008</v>
      </c>
      <c r="B87" s="16">
        <v>14793</v>
      </c>
      <c r="C87" s="16">
        <v>12764</v>
      </c>
      <c r="D87" s="16">
        <v>2029</v>
      </c>
      <c r="E87" s="16">
        <v>7678</v>
      </c>
      <c r="F87" s="16">
        <v>3696</v>
      </c>
      <c r="G87" s="16">
        <v>2773</v>
      </c>
      <c r="H87" s="16">
        <v>1209</v>
      </c>
      <c r="I87" s="16">
        <v>2979</v>
      </c>
      <c r="J87" s="16">
        <v>2254</v>
      </c>
      <c r="K87" s="140">
        <v>725</v>
      </c>
      <c r="L87" s="140">
        <v>979</v>
      </c>
      <c r="M87" s="16">
        <v>2394</v>
      </c>
      <c r="N87" s="140">
        <v>19</v>
      </c>
      <c r="O87" s="16">
        <v>28842</v>
      </c>
    </row>
    <row r="88" spans="1:15">
      <c r="A88" s="6">
        <v>2019</v>
      </c>
      <c r="B88" s="16">
        <v>19688</v>
      </c>
      <c r="C88" s="16">
        <v>16759</v>
      </c>
      <c r="D88" s="16">
        <v>2929</v>
      </c>
      <c r="E88" s="16">
        <v>9203</v>
      </c>
      <c r="F88" s="16">
        <v>4244</v>
      </c>
      <c r="G88" s="16">
        <v>3323</v>
      </c>
      <c r="H88" s="16">
        <v>1636</v>
      </c>
      <c r="I88" s="16">
        <v>4317</v>
      </c>
      <c r="J88" s="16">
        <v>3155</v>
      </c>
      <c r="K88" s="16">
        <v>1162</v>
      </c>
      <c r="L88" s="16">
        <v>1454</v>
      </c>
      <c r="M88" s="16">
        <v>3573</v>
      </c>
      <c r="N88" s="140">
        <v>1</v>
      </c>
      <c r="O88" s="16">
        <v>38236</v>
      </c>
    </row>
    <row r="91" spans="1:15" ht="51">
      <c r="B91" s="142" t="s">
        <v>272</v>
      </c>
      <c r="C91" s="142" t="s">
        <v>275</v>
      </c>
      <c r="D91" s="142" t="s">
        <v>279</v>
      </c>
      <c r="E91" s="142" t="s">
        <v>282</v>
      </c>
      <c r="F91" s="142" t="s">
        <v>283</v>
      </c>
      <c r="G91" s="142" t="s">
        <v>284</v>
      </c>
      <c r="H91" s="142" t="s">
        <v>285</v>
      </c>
    </row>
    <row r="92" spans="1:15" ht="17">
      <c r="B92" s="142" t="s">
        <v>288</v>
      </c>
      <c r="C92" s="142"/>
      <c r="D92" s="142"/>
      <c r="E92" s="142"/>
      <c r="F92" s="142"/>
      <c r="G92" s="142"/>
      <c r="H92" s="142"/>
    </row>
    <row r="93" spans="1:15">
      <c r="A93" s="6">
        <v>1981</v>
      </c>
      <c r="B93" s="16">
        <v>3921</v>
      </c>
      <c r="C93" s="16">
        <v>1669</v>
      </c>
      <c r="D93" s="140">
        <v>834</v>
      </c>
      <c r="E93" s="140">
        <v>287</v>
      </c>
      <c r="F93" s="140">
        <v>10</v>
      </c>
      <c r="G93" s="140">
        <v>-70</v>
      </c>
      <c r="H93" s="16">
        <v>6652</v>
      </c>
    </row>
    <row r="94" spans="1:15">
      <c r="A94" s="6">
        <v>1989</v>
      </c>
      <c r="B94" s="16">
        <v>7029</v>
      </c>
      <c r="C94" s="16">
        <v>3192</v>
      </c>
      <c r="D94" s="16">
        <v>1675</v>
      </c>
      <c r="E94" s="140">
        <v>390</v>
      </c>
      <c r="F94" s="16">
        <v>1255</v>
      </c>
      <c r="G94" s="140">
        <v>-56</v>
      </c>
      <c r="H94" s="16">
        <v>13484</v>
      </c>
    </row>
    <row r="95" spans="1:15">
      <c r="A95" s="6">
        <v>2000</v>
      </c>
      <c r="B95" s="16">
        <v>10474</v>
      </c>
      <c r="C95" s="16">
        <v>5714</v>
      </c>
      <c r="D95" s="16">
        <v>2342</v>
      </c>
      <c r="E95" s="140">
        <v>659</v>
      </c>
      <c r="F95" s="16">
        <v>1687</v>
      </c>
      <c r="G95" s="140">
        <v>17</v>
      </c>
      <c r="H95" s="16">
        <v>20893</v>
      </c>
    </row>
    <row r="96" spans="1:15">
      <c r="A96" s="6">
        <v>2008</v>
      </c>
      <c r="B96" s="16">
        <v>14793</v>
      </c>
      <c r="C96" s="16">
        <v>7678</v>
      </c>
      <c r="D96" s="16">
        <v>2979</v>
      </c>
      <c r="E96" s="140">
        <v>979</v>
      </c>
      <c r="F96" s="16">
        <v>2394</v>
      </c>
      <c r="G96" s="140">
        <v>19</v>
      </c>
      <c r="H96" s="16">
        <v>28842</v>
      </c>
    </row>
    <row r="97" spans="1:14">
      <c r="A97" s="6">
        <v>2019</v>
      </c>
      <c r="B97" s="16">
        <v>19688</v>
      </c>
      <c r="C97" s="16">
        <v>9203</v>
      </c>
      <c r="D97" s="16">
        <v>4317</v>
      </c>
      <c r="E97" s="16">
        <v>1454</v>
      </c>
      <c r="F97" s="16">
        <v>3573</v>
      </c>
      <c r="G97" s="140">
        <v>1</v>
      </c>
      <c r="H97" s="16">
        <v>38236</v>
      </c>
    </row>
    <row r="100" spans="1:14" ht="31.5" customHeight="1">
      <c r="A100" s="328"/>
      <c r="B100" s="354" t="s">
        <v>272</v>
      </c>
      <c r="C100" s="354"/>
      <c r="D100" s="354" t="s">
        <v>275</v>
      </c>
      <c r="E100" s="354"/>
      <c r="F100" s="354" t="s">
        <v>279</v>
      </c>
      <c r="G100" s="354"/>
      <c r="H100" s="354" t="s">
        <v>282</v>
      </c>
      <c r="I100" s="354"/>
      <c r="J100" s="354" t="s">
        <v>283</v>
      </c>
      <c r="K100" s="354"/>
      <c r="L100" s="354" t="s">
        <v>284</v>
      </c>
      <c r="M100" s="354"/>
      <c r="N100" s="251" t="s">
        <v>285</v>
      </c>
    </row>
    <row r="101" spans="1:14" ht="34">
      <c r="A101" s="328"/>
      <c r="B101" s="142" t="s">
        <v>288</v>
      </c>
      <c r="C101" s="142" t="s">
        <v>289</v>
      </c>
      <c r="D101" s="142" t="s">
        <v>288</v>
      </c>
      <c r="E101" s="142" t="s">
        <v>289</v>
      </c>
      <c r="F101" s="142" t="s">
        <v>288</v>
      </c>
      <c r="G101" s="142" t="s">
        <v>289</v>
      </c>
      <c r="H101" s="142" t="s">
        <v>288</v>
      </c>
      <c r="I101" s="142" t="s">
        <v>289</v>
      </c>
      <c r="J101" s="142" t="s">
        <v>288</v>
      </c>
      <c r="K101" s="142" t="s">
        <v>289</v>
      </c>
      <c r="L101" s="142" t="s">
        <v>288</v>
      </c>
      <c r="M101" s="142" t="s">
        <v>289</v>
      </c>
      <c r="N101" s="252"/>
    </row>
    <row r="102" spans="1:14">
      <c r="A102" s="6">
        <v>1981</v>
      </c>
      <c r="B102" s="16">
        <v>3921</v>
      </c>
      <c r="C102" s="8">
        <v>58.944678292242934</v>
      </c>
      <c r="D102" s="16">
        <v>1669</v>
      </c>
      <c r="E102" s="8">
        <v>25.090198436560431</v>
      </c>
      <c r="F102" s="140">
        <v>834</v>
      </c>
      <c r="G102" s="8">
        <v>12.537582681900181</v>
      </c>
      <c r="H102" s="140">
        <v>287</v>
      </c>
      <c r="I102" s="8">
        <v>4.3144918821407092</v>
      </c>
      <c r="J102" s="140">
        <v>10</v>
      </c>
      <c r="K102" s="8">
        <v>0.15033072760072158</v>
      </c>
      <c r="L102" s="140">
        <v>-70</v>
      </c>
      <c r="M102" s="8">
        <v>-1.0523150932050511</v>
      </c>
      <c r="N102" s="16">
        <v>6652</v>
      </c>
    </row>
    <row r="103" spans="1:14">
      <c r="A103" s="6">
        <v>1989</v>
      </c>
      <c r="B103" s="16">
        <v>7029</v>
      </c>
      <c r="C103" s="8">
        <v>52.128448531593001</v>
      </c>
      <c r="D103" s="16">
        <v>3192</v>
      </c>
      <c r="E103" s="8">
        <v>23.672500741619697</v>
      </c>
      <c r="F103" s="16">
        <v>1675</v>
      </c>
      <c r="G103" s="8">
        <v>12.422129931770987</v>
      </c>
      <c r="H103" s="140">
        <v>390</v>
      </c>
      <c r="I103" s="8">
        <v>2.8923168199347375</v>
      </c>
      <c r="J103" s="16">
        <v>1255</v>
      </c>
      <c r="K103" s="8">
        <v>9.3073272026105016</v>
      </c>
      <c r="L103" s="140">
        <v>-56</v>
      </c>
      <c r="M103" s="8">
        <v>-0.41530703055473156</v>
      </c>
      <c r="N103" s="16">
        <v>13484</v>
      </c>
    </row>
    <row r="104" spans="1:14">
      <c r="A104" s="6">
        <v>2000</v>
      </c>
      <c r="B104" s="16">
        <v>10474</v>
      </c>
      <c r="C104" s="8">
        <v>50.131623031637389</v>
      </c>
      <c r="D104" s="16">
        <v>5714</v>
      </c>
      <c r="E104" s="8">
        <v>27.348872828219978</v>
      </c>
      <c r="F104" s="16">
        <v>2342</v>
      </c>
      <c r="G104" s="8">
        <v>11.20949600344613</v>
      </c>
      <c r="H104" s="140">
        <v>659</v>
      </c>
      <c r="I104" s="8">
        <v>3.1541664672378307</v>
      </c>
      <c r="J104" s="16">
        <v>1687</v>
      </c>
      <c r="K104" s="8">
        <v>8.074474704446466</v>
      </c>
      <c r="L104" s="140">
        <v>17</v>
      </c>
      <c r="M104" s="8">
        <v>8.1366965012205042E-2</v>
      </c>
      <c r="N104" s="16">
        <v>20893</v>
      </c>
    </row>
    <row r="105" spans="1:14">
      <c r="A105" s="6">
        <v>2008</v>
      </c>
      <c r="B105" s="16">
        <v>14793</v>
      </c>
      <c r="C105" s="8">
        <v>51.289785729144995</v>
      </c>
      <c r="D105" s="16">
        <v>7678</v>
      </c>
      <c r="E105" s="8">
        <v>26.62090007627765</v>
      </c>
      <c r="F105" s="16">
        <v>2979</v>
      </c>
      <c r="G105" s="8">
        <v>10.32868733097566</v>
      </c>
      <c r="H105" s="140">
        <v>979</v>
      </c>
      <c r="I105" s="8">
        <v>3.3943554538520213</v>
      </c>
      <c r="J105" s="16">
        <v>2394</v>
      </c>
      <c r="K105" s="8">
        <v>8.3003952569169961</v>
      </c>
      <c r="L105" s="140">
        <v>19</v>
      </c>
      <c r="M105" s="8">
        <v>6.5876152832674575E-2</v>
      </c>
      <c r="N105" s="16">
        <v>28842</v>
      </c>
    </row>
    <row r="106" spans="1:14">
      <c r="A106" s="6">
        <v>2019</v>
      </c>
      <c r="B106" s="16">
        <v>19688</v>
      </c>
      <c r="C106" s="8">
        <v>51.490741709383826</v>
      </c>
      <c r="D106" s="16">
        <v>9203</v>
      </c>
      <c r="E106" s="8">
        <v>24.068940265718172</v>
      </c>
      <c r="F106" s="16">
        <v>4317</v>
      </c>
      <c r="G106" s="8">
        <v>11.290406946333299</v>
      </c>
      <c r="H106" s="16">
        <v>1454</v>
      </c>
      <c r="I106" s="8">
        <v>3.8026990270948846</v>
      </c>
      <c r="J106" s="16">
        <v>3573</v>
      </c>
      <c r="K106" s="8">
        <v>9.3445967151375662</v>
      </c>
      <c r="L106" s="140">
        <v>1</v>
      </c>
      <c r="M106" s="8">
        <v>2.6153363322523274E-3</v>
      </c>
      <c r="N106" s="16">
        <v>38236</v>
      </c>
    </row>
  </sheetData>
  <mergeCells count="13">
    <mergeCell ref="A100:A101"/>
    <mergeCell ref="L56:M56"/>
    <mergeCell ref="B100:C100"/>
    <mergeCell ref="D100:E100"/>
    <mergeCell ref="F100:G100"/>
    <mergeCell ref="H100:I100"/>
    <mergeCell ref="J100:K100"/>
    <mergeCell ref="L100:M100"/>
    <mergeCell ref="B56:C56"/>
    <mergeCell ref="D56:E56"/>
    <mergeCell ref="F56:G56"/>
    <mergeCell ref="H56:I56"/>
    <mergeCell ref="J56:K5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B3EA-E736-7B44-9489-58F2609A04E9}">
  <sheetPr codeName="Sheet45"/>
  <dimension ref="A1:O63"/>
  <sheetViews>
    <sheetView zoomScale="75" zoomScaleNormal="88" workbookViewId="0">
      <selection activeCell="A48" sqref="A48"/>
    </sheetView>
  </sheetViews>
  <sheetFormatPr baseColWidth="10" defaultColWidth="11" defaultRowHeight="16"/>
  <cols>
    <col min="1" max="1" width="21.33203125" style="5" customWidth="1"/>
    <col min="2" max="2" width="13.83203125" style="5" customWidth="1"/>
    <col min="3" max="3" width="14.83203125" style="5" customWidth="1"/>
    <col min="4" max="4" width="13.1640625" style="5" customWidth="1"/>
    <col min="5" max="6" width="14.33203125" style="5" customWidth="1"/>
    <col min="7" max="7" width="14.1640625" style="5" customWidth="1"/>
    <col min="8" max="8" width="20.6640625" style="5" customWidth="1"/>
    <col min="9" max="9" width="14.5" style="5" customWidth="1"/>
    <col min="10" max="10" width="11" style="5"/>
    <col min="11" max="11" width="16.6640625" style="5" customWidth="1"/>
    <col min="12" max="12" width="13.6640625" style="5" customWidth="1"/>
    <col min="13" max="13" width="15.83203125" style="5" customWidth="1"/>
    <col min="14" max="14" width="11" style="5"/>
    <col min="15" max="15" width="21.83203125" style="5" hidden="1" customWidth="1"/>
    <col min="16" max="16384" width="11" style="5"/>
  </cols>
  <sheetData>
    <row r="1" spans="1:15">
      <c r="A1" s="13" t="s">
        <v>669</v>
      </c>
    </row>
    <row r="2" spans="1:15">
      <c r="A2" s="6"/>
    </row>
    <row r="3" spans="1:15" ht="101" customHeight="1">
      <c r="A3" s="6"/>
      <c r="B3" s="86" t="s">
        <v>272</v>
      </c>
      <c r="C3" s="86" t="s">
        <v>273</v>
      </c>
      <c r="D3" s="86" t="s">
        <v>274</v>
      </c>
      <c r="E3" s="86" t="s">
        <v>275</v>
      </c>
      <c r="F3" s="86" t="s">
        <v>276</v>
      </c>
      <c r="G3" s="86" t="s">
        <v>277</v>
      </c>
      <c r="H3" s="86" t="s">
        <v>278</v>
      </c>
      <c r="I3" s="86" t="s">
        <v>279</v>
      </c>
      <c r="J3" s="86" t="s">
        <v>280</v>
      </c>
      <c r="K3" s="86" t="s">
        <v>281</v>
      </c>
      <c r="L3" s="86" t="s">
        <v>282</v>
      </c>
      <c r="M3" s="86" t="s">
        <v>283</v>
      </c>
      <c r="N3" s="86" t="s">
        <v>285</v>
      </c>
      <c r="O3" s="137" t="s">
        <v>290</v>
      </c>
    </row>
    <row r="4" spans="1:15">
      <c r="A4" s="6">
        <v>1981</v>
      </c>
      <c r="B4" s="143">
        <v>1.9925805468035369</v>
      </c>
      <c r="C4" s="143">
        <v>2.002815851127175</v>
      </c>
      <c r="D4" s="143">
        <v>1.8849148276063925</v>
      </c>
      <c r="E4" s="143">
        <v>1.9121926628629042</v>
      </c>
      <c r="F4" s="143">
        <v>1.090649465754099</v>
      </c>
      <c r="G4" s="143">
        <v>2.4959335913399516</v>
      </c>
      <c r="H4" s="143">
        <v>3.0528802471379248</v>
      </c>
      <c r="I4" s="143">
        <v>1.8335715070902494</v>
      </c>
      <c r="J4" s="143">
        <v>1.895941002264677</v>
      </c>
      <c r="K4" s="143">
        <v>1.6390473603187541</v>
      </c>
      <c r="L4" s="143">
        <v>1.8310578027306366</v>
      </c>
      <c r="M4" s="143">
        <v>4.3927081045464528E-2</v>
      </c>
      <c r="N4" s="143">
        <v>1.805851915799304</v>
      </c>
      <c r="O4" s="143">
        <v>2.8462547111865613</v>
      </c>
    </row>
    <row r="5" spans="1:15">
      <c r="A5" s="6">
        <v>1982</v>
      </c>
      <c r="B5" s="143">
        <v>2.0133333967803795</v>
      </c>
      <c r="C5" s="143">
        <v>2.0274112681494003</v>
      </c>
      <c r="D5" s="143">
        <v>1.867287291621563</v>
      </c>
      <c r="E5" s="143">
        <v>1.9737750172532782</v>
      </c>
      <c r="F5" s="143">
        <v>1.0426347583643123</v>
      </c>
      <c r="G5" s="143">
        <v>2.4379939360803222</v>
      </c>
      <c r="H5" s="143">
        <v>3.0643846780766095</v>
      </c>
      <c r="I5" s="143">
        <v>1.9535471767368831</v>
      </c>
      <c r="J5" s="143">
        <v>2.0612949718543496</v>
      </c>
      <c r="K5" s="143">
        <v>1.6223707810207075</v>
      </c>
      <c r="L5" s="143">
        <v>1.1378431927540333</v>
      </c>
      <c r="M5" s="143">
        <v>0.61738981306808438</v>
      </c>
      <c r="N5" s="143">
        <v>1.877217071417715</v>
      </c>
      <c r="O5" s="143">
        <v>2.8166526004638626</v>
      </c>
    </row>
    <row r="6" spans="1:15">
      <c r="A6" s="6">
        <v>1983</v>
      </c>
      <c r="B6" s="143">
        <v>2.0581641266758042</v>
      </c>
      <c r="C6" s="143">
        <v>2.0700716505611125</v>
      </c>
      <c r="D6" s="143">
        <v>1.9402098594337756</v>
      </c>
      <c r="E6" s="143">
        <v>1.8882477289607495</v>
      </c>
      <c r="F6" s="143">
        <v>1.1496314006774258</v>
      </c>
      <c r="G6" s="143">
        <v>2.3862414905051952</v>
      </c>
      <c r="H6" s="143">
        <v>3.1397053151276708</v>
      </c>
      <c r="I6" s="143">
        <v>1.990355612764404</v>
      </c>
      <c r="J6" s="143">
        <v>2.1084414421330058</v>
      </c>
      <c r="K6" s="143">
        <v>1.6345412490362377</v>
      </c>
      <c r="L6" s="143">
        <v>1.3007549479698022</v>
      </c>
      <c r="M6" s="143">
        <v>2.3747042374704237</v>
      </c>
      <c r="N6" s="143">
        <v>1.9754768392370572</v>
      </c>
      <c r="O6" s="143">
        <v>2.8180607527635617</v>
      </c>
    </row>
    <row r="7" spans="1:15">
      <c r="A7" s="6">
        <v>1984</v>
      </c>
      <c r="B7" s="143">
        <v>2.059883267662614</v>
      </c>
      <c r="C7" s="143">
        <v>2.0507771683857099</v>
      </c>
      <c r="D7" s="143">
        <v>2.1491667425553227</v>
      </c>
      <c r="E7" s="143">
        <v>1.9066593122525086</v>
      </c>
      <c r="F7" s="143">
        <v>1.3485624261520284</v>
      </c>
      <c r="G7" s="143">
        <v>2.3294848821648104</v>
      </c>
      <c r="H7" s="143">
        <v>3.1135399439131373</v>
      </c>
      <c r="I7" s="143">
        <v>1.9369274875882807</v>
      </c>
      <c r="J7" s="143">
        <v>2.0191507077435471</v>
      </c>
      <c r="K7" s="143">
        <v>1.6752577319587629</v>
      </c>
      <c r="L7" s="143">
        <v>1.2542474515290825</v>
      </c>
      <c r="M7" s="143">
        <v>2.3665144117183807</v>
      </c>
      <c r="N7" s="143">
        <v>1.9944327317278014</v>
      </c>
      <c r="O7" s="143">
        <v>2.8136310726579898</v>
      </c>
    </row>
    <row r="8" spans="1:15">
      <c r="A8" s="6">
        <v>1985</v>
      </c>
      <c r="B8" s="143">
        <v>2.0164205409165334</v>
      </c>
      <c r="C8" s="143">
        <v>2.0150666442434981</v>
      </c>
      <c r="D8" s="143">
        <v>2.0295049174862476</v>
      </c>
      <c r="E8" s="143">
        <v>1.8036811664055912</v>
      </c>
      <c r="F8" s="143">
        <v>1.228352231059965</v>
      </c>
      <c r="G8" s="143">
        <v>2.2755870246752972</v>
      </c>
      <c r="H8" s="143">
        <v>3.0493094014812838</v>
      </c>
      <c r="I8" s="143">
        <v>1.9910539829153682</v>
      </c>
      <c r="J8" s="143">
        <v>2.0717909528964737</v>
      </c>
      <c r="K8" s="143">
        <v>1.734377108921582</v>
      </c>
      <c r="L8" s="143">
        <v>1.281196418365403</v>
      </c>
      <c r="M8" s="143">
        <v>2.5365990007337271</v>
      </c>
      <c r="N8" s="143">
        <v>1.9590942089127188</v>
      </c>
      <c r="O8" s="143">
        <v>2.7988691018955261</v>
      </c>
    </row>
    <row r="9" spans="1:15">
      <c r="A9" s="6">
        <v>1986</v>
      </c>
      <c r="B9" s="143">
        <v>2.0243078208727652</v>
      </c>
      <c r="C9" s="143">
        <v>2.0260848829736928</v>
      </c>
      <c r="D9" s="143">
        <v>2.0070048404234386</v>
      </c>
      <c r="E9" s="143">
        <v>2.2046938141125274</v>
      </c>
      <c r="F9" s="143">
        <v>1.9637726024352684</v>
      </c>
      <c r="G9" s="143">
        <v>2.2392244832558883</v>
      </c>
      <c r="H9" s="143">
        <v>3.0581815874627245</v>
      </c>
      <c r="I9" s="143">
        <v>1.9919964428634949</v>
      </c>
      <c r="J9" s="143">
        <v>2.0665768712718879</v>
      </c>
      <c r="K9" s="143">
        <v>1.7419354838709675</v>
      </c>
      <c r="L9" s="143">
        <v>1.3202782331310088</v>
      </c>
      <c r="M9" s="143">
        <v>2.7978971962616823</v>
      </c>
      <c r="N9" s="143">
        <v>2.0874238079866316</v>
      </c>
      <c r="O9" s="143">
        <v>2.7778209871940827</v>
      </c>
    </row>
    <row r="10" spans="1:15">
      <c r="A10" s="6">
        <v>1987</v>
      </c>
      <c r="B10" s="143">
        <v>2.0112025736918246</v>
      </c>
      <c r="C10" s="143">
        <v>2.0100128694384312</v>
      </c>
      <c r="D10" s="143">
        <v>2.0227560050568902</v>
      </c>
      <c r="E10" s="143">
        <v>2.3661564554920691</v>
      </c>
      <c r="F10" s="143">
        <v>2.3594290368669135</v>
      </c>
      <c r="G10" s="143">
        <v>2.1681146166742873</v>
      </c>
      <c r="H10" s="143">
        <v>3.0273615239944185</v>
      </c>
      <c r="I10" s="143">
        <v>2.0256896188671303</v>
      </c>
      <c r="J10" s="143">
        <v>2.1204597701149424</v>
      </c>
      <c r="K10" s="143">
        <v>1.7259786476868328</v>
      </c>
      <c r="L10" s="143">
        <v>1.3186200302764719</v>
      </c>
      <c r="M10" s="143">
        <v>2.652760164600533</v>
      </c>
      <c r="N10" s="143">
        <v>2.1041689881880989</v>
      </c>
      <c r="O10" s="143">
        <v>2.7518394518826823</v>
      </c>
    </row>
    <row r="11" spans="1:15">
      <c r="A11" s="6">
        <v>1988</v>
      </c>
      <c r="B11" s="143">
        <v>1.9913449185205219</v>
      </c>
      <c r="C11" s="143">
        <v>1.9928869058718626</v>
      </c>
      <c r="D11" s="143">
        <v>1.9763885691736001</v>
      </c>
      <c r="E11" s="143">
        <v>2.2270865789767758</v>
      </c>
      <c r="F11" s="143">
        <v>2.1840475126125551</v>
      </c>
      <c r="G11" s="143">
        <v>2.0744898140418808</v>
      </c>
      <c r="H11" s="143">
        <v>2.9094643162758858</v>
      </c>
      <c r="I11" s="143">
        <v>1.9882029899318623</v>
      </c>
      <c r="J11" s="143">
        <v>2.0712606377694627</v>
      </c>
      <c r="K11" s="143">
        <v>1.7135661885470272</v>
      </c>
      <c r="L11" s="143">
        <v>1.2556354558664631</v>
      </c>
      <c r="M11" s="143">
        <v>2.6015355513519531</v>
      </c>
      <c r="N11" s="143">
        <v>2.0529786534884686</v>
      </c>
      <c r="O11" s="143">
        <v>2.7260223082876975</v>
      </c>
    </row>
    <row r="12" spans="1:15">
      <c r="A12" s="6">
        <v>1989</v>
      </c>
      <c r="B12" s="143">
        <v>2.0033631647950747</v>
      </c>
      <c r="C12" s="143">
        <v>2.0123324363148223</v>
      </c>
      <c r="D12" s="143">
        <v>1.9140698182726537</v>
      </c>
      <c r="E12" s="143">
        <v>2.0541465831794223</v>
      </c>
      <c r="F12" s="143">
        <v>1.8601693231050518</v>
      </c>
      <c r="G12" s="143">
        <v>2.0513994994192606</v>
      </c>
      <c r="H12" s="143">
        <v>2.8423910150636078</v>
      </c>
      <c r="I12" s="143">
        <v>1.9674403307648938</v>
      </c>
      <c r="J12" s="143">
        <v>2.0528218640848093</v>
      </c>
      <c r="K12" s="143">
        <v>1.6868076535750252</v>
      </c>
      <c r="L12" s="143">
        <v>1.2990906365544119</v>
      </c>
      <c r="M12" s="143">
        <v>2.4564494030142883</v>
      </c>
      <c r="N12" s="143">
        <v>2.0078054852817018</v>
      </c>
      <c r="O12" s="143">
        <v>2.6950724134200441</v>
      </c>
    </row>
    <row r="13" spans="1:15">
      <c r="A13" s="6">
        <v>1990</v>
      </c>
      <c r="B13" s="143">
        <v>2.0129512113382559</v>
      </c>
      <c r="C13" s="143">
        <v>2.0261095040393293</v>
      </c>
      <c r="D13" s="143">
        <v>1.8923892444175892</v>
      </c>
      <c r="E13" s="143">
        <v>2.0217420124618855</v>
      </c>
      <c r="F13" s="143">
        <v>1.7746595130004126</v>
      </c>
      <c r="G13" s="143">
        <v>2.0254753666676875</v>
      </c>
      <c r="H13" s="143">
        <v>2.8129814621539682</v>
      </c>
      <c r="I13" s="143">
        <v>1.9137265373788621</v>
      </c>
      <c r="J13" s="143">
        <v>1.9853101592611448</v>
      </c>
      <c r="K13" s="143">
        <v>1.6759776536312849</v>
      </c>
      <c r="L13" s="143">
        <v>1.220681100586378</v>
      </c>
      <c r="M13" s="143">
        <v>2.3406474387259819</v>
      </c>
      <c r="N13" s="143">
        <v>1.986194124810748</v>
      </c>
      <c r="O13" s="143">
        <v>2.6728984558164424</v>
      </c>
    </row>
    <row r="14" spans="1:15">
      <c r="A14" s="6">
        <v>1991</v>
      </c>
      <c r="B14" s="143">
        <v>2.0273306025501907</v>
      </c>
      <c r="C14" s="143">
        <v>2.0350382030963994</v>
      </c>
      <c r="D14" s="143">
        <v>1.9649977317766161</v>
      </c>
      <c r="E14" s="143">
        <v>1.9506689144701141</v>
      </c>
      <c r="F14" s="143">
        <v>1.5692167230950662</v>
      </c>
      <c r="G14" s="143">
        <v>1.9876061510213447</v>
      </c>
      <c r="H14" s="143">
        <v>2.8205128205128207</v>
      </c>
      <c r="I14" s="143">
        <v>1.9125009380259645</v>
      </c>
      <c r="J14" s="143">
        <v>1.9811135707680667</v>
      </c>
      <c r="K14" s="143">
        <v>1.6889578673483361</v>
      </c>
      <c r="L14" s="143">
        <v>1.2608290017326405</v>
      </c>
      <c r="M14" s="143">
        <v>2.5763451756864733</v>
      </c>
      <c r="N14" s="143">
        <v>1.988107265454784</v>
      </c>
      <c r="O14" s="143">
        <v>2.6591854742697438</v>
      </c>
    </row>
    <row r="15" spans="1:15">
      <c r="A15" s="6">
        <v>1992</v>
      </c>
      <c r="B15" s="143">
        <v>2.0492255430948001</v>
      </c>
      <c r="C15" s="143">
        <v>2.0447347642786178</v>
      </c>
      <c r="D15" s="143">
        <v>2.0823483904242059</v>
      </c>
      <c r="E15" s="143">
        <v>2.0152319944347421</v>
      </c>
      <c r="F15" s="143">
        <v>1.7564521696753104</v>
      </c>
      <c r="G15" s="143">
        <v>1.9705529113473601</v>
      </c>
      <c r="H15" s="143">
        <v>2.754704584917171</v>
      </c>
      <c r="I15" s="143">
        <v>1.9274493592393551</v>
      </c>
      <c r="J15" s="143">
        <v>1.9936687546305651</v>
      </c>
      <c r="K15" s="143">
        <v>1.7136514983351832</v>
      </c>
      <c r="L15" s="143">
        <v>1.2594330002039567</v>
      </c>
      <c r="M15" s="143">
        <v>2.4489872397833947</v>
      </c>
      <c r="N15" s="143">
        <v>2.007416109437723</v>
      </c>
      <c r="O15" s="143">
        <v>2.636896967297615</v>
      </c>
    </row>
    <row r="16" spans="1:15">
      <c r="A16" s="6">
        <v>1993</v>
      </c>
      <c r="B16" s="143">
        <v>2.0536236561308674</v>
      </c>
      <c r="C16" s="143">
        <v>2.0560327951912671</v>
      </c>
      <c r="D16" s="143">
        <v>2.0366309291747888</v>
      </c>
      <c r="E16" s="143">
        <v>2.1339862416636035</v>
      </c>
      <c r="F16" s="143">
        <v>2.094342681147674</v>
      </c>
      <c r="G16" s="143">
        <v>1.9472998407412769</v>
      </c>
      <c r="H16" s="143">
        <v>2.8446997776130467</v>
      </c>
      <c r="I16" s="143">
        <v>1.8759662266619097</v>
      </c>
      <c r="J16" s="143">
        <v>1.9267050887757475</v>
      </c>
      <c r="K16" s="143">
        <v>1.70903834707933</v>
      </c>
      <c r="L16" s="143">
        <v>1.2763288054623978</v>
      </c>
      <c r="M16" s="143">
        <v>2.4503430841459011</v>
      </c>
      <c r="N16" s="143">
        <v>2.0274765506929375</v>
      </c>
      <c r="O16" s="143">
        <v>2.6104868772844005</v>
      </c>
    </row>
    <row r="17" spans="1:15">
      <c r="A17" s="6">
        <v>1994</v>
      </c>
      <c r="B17" s="143">
        <v>2.0385884430924723</v>
      </c>
      <c r="C17" s="143">
        <v>2.0426562113824791</v>
      </c>
      <c r="D17" s="143">
        <v>2.0105081525427013</v>
      </c>
      <c r="E17" s="143">
        <v>2.042531259803702</v>
      </c>
      <c r="F17" s="143">
        <v>1.9624892817893071</v>
      </c>
      <c r="G17" s="143">
        <v>1.8790547120382946</v>
      </c>
      <c r="H17" s="143">
        <v>2.8562653562653564</v>
      </c>
      <c r="I17" s="143">
        <v>1.8886896800326323</v>
      </c>
      <c r="J17" s="143">
        <v>1.9424202308634491</v>
      </c>
      <c r="K17" s="143">
        <v>1.7120780805205369</v>
      </c>
      <c r="L17" s="143">
        <v>1.2810487580496779</v>
      </c>
      <c r="M17" s="143">
        <v>2.3851482211714616</v>
      </c>
      <c r="N17" s="143">
        <v>1.9970402994045244</v>
      </c>
      <c r="O17" s="143">
        <v>2.5867856883134017</v>
      </c>
    </row>
    <row r="18" spans="1:15">
      <c r="A18" s="6">
        <v>1995</v>
      </c>
      <c r="B18" s="143">
        <v>2.048308352804848</v>
      </c>
      <c r="C18" s="143">
        <v>2.051679403266863</v>
      </c>
      <c r="D18" s="143">
        <v>2.0256781259730032</v>
      </c>
      <c r="E18" s="143">
        <v>2.2363694052383245</v>
      </c>
      <c r="F18" s="143">
        <v>2.4041687636302633</v>
      </c>
      <c r="G18" s="143">
        <v>1.846186030700034</v>
      </c>
      <c r="H18" s="143">
        <v>2.8240190249702737</v>
      </c>
      <c r="I18" s="143">
        <v>1.8684787453720129</v>
      </c>
      <c r="J18" s="143">
        <v>1.9156136116238347</v>
      </c>
      <c r="K18" s="143">
        <v>1.7117223468303622</v>
      </c>
      <c r="L18" s="143">
        <v>1.2630263539597886</v>
      </c>
      <c r="M18" s="143">
        <v>2.4391860542188639</v>
      </c>
      <c r="N18" s="143">
        <v>2.0498520359634975</v>
      </c>
      <c r="O18" s="143">
        <v>2.5627432593968442</v>
      </c>
    </row>
    <row r="19" spans="1:15">
      <c r="A19" s="6">
        <v>1996</v>
      </c>
      <c r="B19" s="143">
        <v>2.0139342477683431</v>
      </c>
      <c r="C19" s="143">
        <v>2.0204707691570909</v>
      </c>
      <c r="D19" s="143">
        <v>1.9699762028306107</v>
      </c>
      <c r="E19" s="143">
        <v>2.1677877410875799</v>
      </c>
      <c r="F19" s="143">
        <v>2.2686150336309643</v>
      </c>
      <c r="G19" s="143">
        <v>1.8338108882521489</v>
      </c>
      <c r="H19" s="143">
        <v>2.8507776723462186</v>
      </c>
      <c r="I19" s="143">
        <v>1.8292522668535636</v>
      </c>
      <c r="J19" s="143">
        <v>1.8700002279098387</v>
      </c>
      <c r="K19" s="143">
        <v>1.693759236103217</v>
      </c>
      <c r="L19" s="143">
        <v>1.2290891687876613</v>
      </c>
      <c r="M19" s="143">
        <v>2.3992306814662689</v>
      </c>
      <c r="N19" s="143">
        <v>2.0138770972071356</v>
      </c>
      <c r="O19" s="143">
        <v>2.5405689346832907</v>
      </c>
    </row>
    <row r="20" spans="1:15">
      <c r="A20" s="6">
        <v>1997</v>
      </c>
      <c r="B20" s="143">
        <v>1.9249480632182396</v>
      </c>
      <c r="C20" s="143">
        <v>1.9499706034582394</v>
      </c>
      <c r="D20" s="143">
        <v>1.7541753832435953</v>
      </c>
      <c r="E20" s="143">
        <v>2.0848872795656637</v>
      </c>
      <c r="F20" s="143">
        <v>2.1742296001019312</v>
      </c>
      <c r="G20" s="143">
        <v>1.7630950300064092</v>
      </c>
      <c r="H20" s="143">
        <v>2.7823497139274238</v>
      </c>
      <c r="I20" s="143">
        <v>1.8383455746865385</v>
      </c>
      <c r="J20" s="143">
        <v>1.8918044130941885</v>
      </c>
      <c r="K20" s="143">
        <v>1.6614975631369076</v>
      </c>
      <c r="L20" s="143">
        <v>1.2094395280235988</v>
      </c>
      <c r="M20" s="143">
        <v>2.1567889148279238</v>
      </c>
      <c r="N20" s="143">
        <v>1.9255154224269675</v>
      </c>
      <c r="O20" s="143">
        <v>2.5162586385825318</v>
      </c>
    </row>
    <row r="21" spans="1:15">
      <c r="A21" s="6">
        <v>1998</v>
      </c>
      <c r="B21" s="143">
        <v>1.9136288882281884</v>
      </c>
      <c r="C21" s="143">
        <v>1.9355788453958773</v>
      </c>
      <c r="D21" s="143">
        <v>1.7590502466348967</v>
      </c>
      <c r="E21" s="143">
        <v>2.1325839733358798</v>
      </c>
      <c r="F21" s="143">
        <v>2.311827956989247</v>
      </c>
      <c r="G21" s="143">
        <v>1.7581383411045044</v>
      </c>
      <c r="H21" s="143">
        <v>2.7875101066492127</v>
      </c>
      <c r="I21" s="143">
        <v>1.8260443864229765</v>
      </c>
      <c r="J21" s="143">
        <v>1.8896800935274738</v>
      </c>
      <c r="K21" s="143">
        <v>1.6192483315770987</v>
      </c>
      <c r="L21" s="143">
        <v>1.2128929898542857</v>
      </c>
      <c r="M21" s="143">
        <v>2.1134131478959062</v>
      </c>
      <c r="N21" s="143">
        <v>1.9383380752497479</v>
      </c>
      <c r="O21" s="143">
        <v>2.4888930333777224</v>
      </c>
    </row>
    <row r="22" spans="1:15">
      <c r="A22" s="6">
        <v>1999</v>
      </c>
      <c r="B22" s="143">
        <v>1.9421208930325007</v>
      </c>
      <c r="C22" s="143">
        <v>1.9654142804826813</v>
      </c>
      <c r="D22" s="143">
        <v>1.7749762207999484</v>
      </c>
      <c r="E22" s="143">
        <v>2.1570646361125743</v>
      </c>
      <c r="F22" s="143">
        <v>2.3178834486130366</v>
      </c>
      <c r="G22" s="143">
        <v>1.7817033934316762</v>
      </c>
      <c r="H22" s="143">
        <v>2.7888002966808827</v>
      </c>
      <c r="I22" s="143">
        <v>1.8214764043173404</v>
      </c>
      <c r="J22" s="143">
        <v>1.881236708653689</v>
      </c>
      <c r="K22" s="143">
        <v>1.6173339743149509</v>
      </c>
      <c r="L22" s="143">
        <v>1.2469321510569236</v>
      </c>
      <c r="M22" s="143">
        <v>2.1524651589077282</v>
      </c>
      <c r="N22" s="143">
        <v>1.9604594380346989</v>
      </c>
      <c r="O22" s="143">
        <v>2.4689777925841692</v>
      </c>
    </row>
    <row r="23" spans="1:15">
      <c r="A23" s="6">
        <v>2000</v>
      </c>
      <c r="B23" s="143">
        <v>1.8973847104196746</v>
      </c>
      <c r="C23" s="143">
        <v>1.9100947736511953</v>
      </c>
      <c r="D23" s="143">
        <v>1.8044999623748965</v>
      </c>
      <c r="E23" s="143">
        <v>1.9556170084604221</v>
      </c>
      <c r="F23" s="143">
        <v>1.9195490583164589</v>
      </c>
      <c r="G23" s="143">
        <v>1.7889358004401501</v>
      </c>
      <c r="H23" s="143">
        <v>2.7663863209842221</v>
      </c>
      <c r="I23" s="143">
        <v>1.7577831817226577</v>
      </c>
      <c r="J23" s="143">
        <v>1.8014247897851137</v>
      </c>
      <c r="K23" s="143">
        <v>1.6106810129904212</v>
      </c>
      <c r="L23" s="143">
        <v>1.2913466060511052</v>
      </c>
      <c r="M23" s="143">
        <v>2.1459009094956434</v>
      </c>
      <c r="N23" s="143">
        <v>1.8889384135376484</v>
      </c>
      <c r="O23" s="143">
        <v>2.4458176487898444</v>
      </c>
    </row>
    <row r="24" spans="1:15">
      <c r="A24" s="6">
        <v>2001</v>
      </c>
      <c r="B24" s="143">
        <v>1.8343931314642612</v>
      </c>
      <c r="C24" s="143">
        <v>1.8519803698012194</v>
      </c>
      <c r="D24" s="143">
        <v>1.7085284518234711</v>
      </c>
      <c r="E24" s="143">
        <v>1.9928165140064624</v>
      </c>
      <c r="F24" s="143">
        <v>2.0165671699029746</v>
      </c>
      <c r="G24" s="143">
        <v>1.7752789091553038</v>
      </c>
      <c r="H24" s="143">
        <v>2.683718772778477</v>
      </c>
      <c r="I24" s="143">
        <v>1.7487758569001699</v>
      </c>
      <c r="J24" s="143">
        <v>1.7949384964138393</v>
      </c>
      <c r="K24" s="143">
        <v>1.5957119093093461</v>
      </c>
      <c r="L24" s="143">
        <v>1.3923158265773705</v>
      </c>
      <c r="M24" s="143">
        <v>2.2194336704945878</v>
      </c>
      <c r="N24" s="143">
        <v>1.8790032353524506</v>
      </c>
      <c r="O24" s="143">
        <v>2.4171444144338547</v>
      </c>
    </row>
    <row r="25" spans="1:15">
      <c r="A25" s="6">
        <v>2002</v>
      </c>
      <c r="B25" s="143">
        <v>1.8397295165560583</v>
      </c>
      <c r="C25" s="143">
        <v>1.8599694709253767</v>
      </c>
      <c r="D25" s="143">
        <v>1.7016426943330978</v>
      </c>
      <c r="E25" s="143">
        <v>1.8843248210951835</v>
      </c>
      <c r="F25" s="143">
        <v>1.8456158128556686</v>
      </c>
      <c r="G25" s="143">
        <v>1.7390491725286301</v>
      </c>
      <c r="H25" s="143">
        <v>2.6225985844287156</v>
      </c>
      <c r="I25" s="143">
        <v>1.6987146529562982</v>
      </c>
      <c r="J25" s="143">
        <v>1.7280415231106536</v>
      </c>
      <c r="K25" s="143">
        <v>1.6026955757398185</v>
      </c>
      <c r="L25" s="143">
        <v>1.432781418434216</v>
      </c>
      <c r="M25" s="143">
        <v>2.1802670037127734</v>
      </c>
      <c r="N25" s="143">
        <v>1.8509768835229128</v>
      </c>
      <c r="O25" s="143">
        <v>2.389573061981126</v>
      </c>
    </row>
    <row r="26" spans="1:15">
      <c r="A26" s="6">
        <v>2003</v>
      </c>
      <c r="B26" s="143">
        <v>1.858958674067301</v>
      </c>
      <c r="C26" s="143">
        <v>1.8777353967273278</v>
      </c>
      <c r="D26" s="143">
        <v>1.733035603523136</v>
      </c>
      <c r="E26" s="143">
        <v>1.8322617751576527</v>
      </c>
      <c r="F26" s="143">
        <v>1.768339114984347</v>
      </c>
      <c r="G26" s="143">
        <v>1.7163019280043685</v>
      </c>
      <c r="H26" s="143">
        <v>2.6254518718215798</v>
      </c>
      <c r="I26" s="143">
        <v>1.6513992216250564</v>
      </c>
      <c r="J26" s="143">
        <v>1.661331983215055</v>
      </c>
      <c r="K26" s="143">
        <v>1.6207924517380106</v>
      </c>
      <c r="L26" s="143">
        <v>1.4511526620109634</v>
      </c>
      <c r="M26" s="143">
        <v>2.3295925453038548</v>
      </c>
      <c r="N26" s="143">
        <v>1.8473046757633214</v>
      </c>
      <c r="O26" s="143">
        <v>2.3683489345920181</v>
      </c>
    </row>
    <row r="27" spans="1:15">
      <c r="A27" s="6">
        <v>2004</v>
      </c>
      <c r="B27" s="143">
        <v>1.8423833436364687</v>
      </c>
      <c r="C27" s="143">
        <v>1.8543869476927388</v>
      </c>
      <c r="D27" s="143">
        <v>1.7622021094974158</v>
      </c>
      <c r="E27" s="143">
        <v>1.8542760361138475</v>
      </c>
      <c r="F27" s="143">
        <v>1.8301249371555302</v>
      </c>
      <c r="G27" s="143">
        <v>1.7014995579993999</v>
      </c>
      <c r="H27" s="143">
        <v>2.5520151316746689</v>
      </c>
      <c r="I27" s="143">
        <v>1.6496345746195462</v>
      </c>
      <c r="J27" s="143">
        <v>1.6516762060506951</v>
      </c>
      <c r="K27" s="143">
        <v>1.6426472645865398</v>
      </c>
      <c r="L27" s="143">
        <v>1.4302846460442311</v>
      </c>
      <c r="M27" s="143">
        <v>2.2310646764051878</v>
      </c>
      <c r="N27" s="143">
        <v>1.8343513776351676</v>
      </c>
      <c r="O27" s="143">
        <v>2.3462856350315922</v>
      </c>
    </row>
    <row r="28" spans="1:15">
      <c r="A28" s="6">
        <v>2005</v>
      </c>
      <c r="B28" s="143">
        <v>1.8013172068983916</v>
      </c>
      <c r="C28" s="143">
        <v>1.802782238790912</v>
      </c>
      <c r="D28" s="143">
        <v>1.7913439019996398</v>
      </c>
      <c r="E28" s="143">
        <v>1.8344421473432557</v>
      </c>
      <c r="F28" s="143">
        <v>1.8162446312787091</v>
      </c>
      <c r="G28" s="143">
        <v>1.6798683656679296</v>
      </c>
      <c r="H28" s="143">
        <v>2.5105177771056177</v>
      </c>
      <c r="I28" s="143">
        <v>1.6437111782180647</v>
      </c>
      <c r="J28" s="143">
        <v>1.6321431129290247</v>
      </c>
      <c r="K28" s="143">
        <v>1.6800407933227772</v>
      </c>
      <c r="L28" s="143">
        <v>1.4361034396183783</v>
      </c>
      <c r="M28" s="143">
        <v>2.1543783518238016</v>
      </c>
      <c r="N28" s="143">
        <v>1.8038252942128179</v>
      </c>
      <c r="O28" s="143">
        <v>2.3200059868961285</v>
      </c>
    </row>
    <row r="29" spans="1:15">
      <c r="A29" s="6">
        <v>2006</v>
      </c>
      <c r="B29" s="143">
        <v>1.7648182287342045</v>
      </c>
      <c r="C29" s="143">
        <v>1.7636046957080087</v>
      </c>
      <c r="D29" s="143">
        <v>1.7731861738535248</v>
      </c>
      <c r="E29" s="143">
        <v>1.8874395420345822</v>
      </c>
      <c r="F29" s="143">
        <v>1.9161202341970096</v>
      </c>
      <c r="G29" s="143">
        <v>1.6701195669850879</v>
      </c>
      <c r="H29" s="143">
        <v>2.4898373983739837</v>
      </c>
      <c r="I29" s="143">
        <v>1.645687590689773</v>
      </c>
      <c r="J29" s="143">
        <v>1.6282069876262375</v>
      </c>
      <c r="K29" s="143">
        <v>1.7051205522825776</v>
      </c>
      <c r="L29" s="143">
        <v>1.4455932721220794</v>
      </c>
      <c r="M29" s="143">
        <v>2.0627054512230245</v>
      </c>
      <c r="N29" s="143">
        <v>1.7901863151508348</v>
      </c>
      <c r="O29" s="143">
        <v>2.2892051726474456</v>
      </c>
    </row>
    <row r="30" spans="1:15">
      <c r="A30" s="6">
        <v>2007</v>
      </c>
      <c r="B30" s="143">
        <v>1.7680150013394051</v>
      </c>
      <c r="C30" s="143">
        <v>1.7504135151193974</v>
      </c>
      <c r="D30" s="143">
        <v>1.8898624543956986</v>
      </c>
      <c r="E30" s="143">
        <v>1.858221248710197</v>
      </c>
      <c r="F30" s="143">
        <v>1.8606752815017731</v>
      </c>
      <c r="G30" s="143">
        <v>1.6727224681244632</v>
      </c>
      <c r="H30" s="143">
        <v>2.5016982502166734</v>
      </c>
      <c r="I30" s="143">
        <v>1.6087530361678295</v>
      </c>
      <c r="J30" s="143">
        <v>1.5989398020771812</v>
      </c>
      <c r="K30" s="143">
        <v>1.6415967601967025</v>
      </c>
      <c r="L30" s="143">
        <v>1.4357262103505843</v>
      </c>
      <c r="M30" s="143">
        <v>2.3029271743494637</v>
      </c>
      <c r="N30" s="143">
        <v>1.7970907565059919</v>
      </c>
      <c r="O30" s="143">
        <v>2.2665098767750034</v>
      </c>
    </row>
    <row r="31" spans="1:15">
      <c r="A31" s="6">
        <v>2008</v>
      </c>
      <c r="B31" s="143">
        <v>1.8046251983892199</v>
      </c>
      <c r="C31" s="143">
        <v>1.7822608909349609</v>
      </c>
      <c r="D31" s="143">
        <v>1.9592885146487957</v>
      </c>
      <c r="E31" s="143">
        <v>1.6030633166164883</v>
      </c>
      <c r="F31" s="143">
        <v>1.3848505740235604</v>
      </c>
      <c r="G31" s="143">
        <v>1.6838819764511566</v>
      </c>
      <c r="H31" s="143">
        <v>2.5511173007533077</v>
      </c>
      <c r="I31" s="143">
        <v>1.5804468117841171</v>
      </c>
      <c r="J31" s="143">
        <v>1.5661805068199031</v>
      </c>
      <c r="K31" s="143">
        <v>1.6265087270606184</v>
      </c>
      <c r="L31" s="143">
        <v>1.4494470189360853</v>
      </c>
      <c r="M31" s="143">
        <v>2.3471508686615161</v>
      </c>
      <c r="N31" s="143">
        <v>1.7405725024305374</v>
      </c>
      <c r="O31" s="143">
        <v>2.2464413306440578</v>
      </c>
    </row>
    <row r="32" spans="1:15">
      <c r="A32" s="6">
        <v>2009</v>
      </c>
      <c r="B32" s="143">
        <v>1.8635024191174929</v>
      </c>
      <c r="C32" s="143">
        <v>1.8588372765793308</v>
      </c>
      <c r="D32" s="143">
        <v>1.8942760123852911</v>
      </c>
      <c r="E32" s="143">
        <v>1.8500720807304181</v>
      </c>
      <c r="F32" s="143">
        <v>1.8250950570342206</v>
      </c>
      <c r="G32" s="143">
        <v>1.7059183138773253</v>
      </c>
      <c r="H32" s="143">
        <v>2.4313255419039055</v>
      </c>
      <c r="I32" s="143">
        <v>1.6039843263632034</v>
      </c>
      <c r="J32" s="143">
        <v>1.5753093246699386</v>
      </c>
      <c r="K32" s="143">
        <v>1.6932378063211344</v>
      </c>
      <c r="L32" s="143">
        <v>1.4988801470165969</v>
      </c>
      <c r="M32" s="143">
        <v>2.276551616185333</v>
      </c>
      <c r="N32" s="143">
        <v>1.8400925582975993</v>
      </c>
      <c r="O32" s="143">
        <v>2.2300940902161668</v>
      </c>
    </row>
    <row r="33" spans="1:15">
      <c r="A33" s="6">
        <v>2010</v>
      </c>
      <c r="B33" s="143">
        <v>1.8521326086359635</v>
      </c>
      <c r="C33" s="143">
        <v>1.8441045826369955</v>
      </c>
      <c r="D33" s="143">
        <v>1.9052031944179455</v>
      </c>
      <c r="E33" s="143">
        <v>1.7456409069050887</v>
      </c>
      <c r="F33" s="143">
        <v>1.6365088980781557</v>
      </c>
      <c r="G33" s="143">
        <v>1.7047407916730879</v>
      </c>
      <c r="H33" s="143">
        <v>2.3486747170957698</v>
      </c>
      <c r="I33" s="143">
        <v>1.6373904341397918</v>
      </c>
      <c r="J33" s="143">
        <v>1.6072255673923113</v>
      </c>
      <c r="K33" s="143">
        <v>1.7329170420971021</v>
      </c>
      <c r="L33" s="143">
        <v>1.5451741099963872</v>
      </c>
      <c r="M33" s="143">
        <v>2.3505331925194164</v>
      </c>
      <c r="N33" s="143">
        <v>1.8168144015058389</v>
      </c>
      <c r="O33" s="143">
        <v>2.2144903928373356</v>
      </c>
    </row>
    <row r="34" spans="1:15">
      <c r="A34" s="6">
        <v>2011</v>
      </c>
      <c r="B34" s="143">
        <v>1.8162154816572202</v>
      </c>
      <c r="C34" s="143">
        <v>1.8104269111873426</v>
      </c>
      <c r="D34" s="143">
        <v>1.8543501611170785</v>
      </c>
      <c r="E34" s="143">
        <v>1.6565547760345178</v>
      </c>
      <c r="F34" s="143">
        <v>1.4893401510348476</v>
      </c>
      <c r="G34" s="143">
        <v>1.6826508930109687</v>
      </c>
      <c r="H34" s="143">
        <v>2.3599493920011247</v>
      </c>
      <c r="I34" s="143">
        <v>1.6758749479917561</v>
      </c>
      <c r="J34" s="143">
        <v>1.6616352520358202</v>
      </c>
      <c r="K34" s="143">
        <v>1.7237158826649259</v>
      </c>
      <c r="L34" s="143">
        <v>1.5531224655312248</v>
      </c>
      <c r="M34" s="143">
        <v>2.3731301864666232</v>
      </c>
      <c r="N34" s="143">
        <v>1.7790236310660894</v>
      </c>
      <c r="O34" s="143">
        <v>2.2006982780792916</v>
      </c>
    </row>
    <row r="35" spans="1:15">
      <c r="A35" s="6">
        <v>2012</v>
      </c>
      <c r="B35" s="143">
        <v>1.754469560207621</v>
      </c>
      <c r="C35" s="143">
        <v>1.7392631016858644</v>
      </c>
      <c r="D35" s="143">
        <v>1.8527196923176368</v>
      </c>
      <c r="E35" s="143">
        <v>1.6393277365140042</v>
      </c>
      <c r="F35" s="143">
        <v>1.4789619152457809</v>
      </c>
      <c r="G35" s="143">
        <v>1.6222764254260318</v>
      </c>
      <c r="H35" s="143">
        <v>2.364062266376489</v>
      </c>
      <c r="I35" s="143">
        <v>1.6681883091041037</v>
      </c>
      <c r="J35" s="143">
        <v>1.6534606673990833</v>
      </c>
      <c r="K35" s="143">
        <v>1.7155604690646347</v>
      </c>
      <c r="L35" s="143">
        <v>1.5824193083950684</v>
      </c>
      <c r="M35" s="143">
        <v>2.2899129079496117</v>
      </c>
      <c r="N35" s="143">
        <v>1.7402026378050364</v>
      </c>
      <c r="O35" s="143">
        <v>2.1846319931928764</v>
      </c>
    </row>
    <row r="36" spans="1:15">
      <c r="A36" s="6">
        <v>2013</v>
      </c>
      <c r="B36" s="143">
        <v>1.7011399541604633</v>
      </c>
      <c r="C36" s="143">
        <v>1.6848529750692922</v>
      </c>
      <c r="D36" s="143">
        <v>1.8030534120596187</v>
      </c>
      <c r="E36" s="143">
        <v>1.5248896804156931</v>
      </c>
      <c r="F36" s="143">
        <v>1.3219213548170936</v>
      </c>
      <c r="G36" s="143">
        <v>1.5417416700818076</v>
      </c>
      <c r="H36" s="143">
        <v>2.3214001591089897</v>
      </c>
      <c r="I36" s="143">
        <v>1.6664329559281859</v>
      </c>
      <c r="J36" s="143">
        <v>1.620019795604422</v>
      </c>
      <c r="K36" s="143">
        <v>1.8123207826526977</v>
      </c>
      <c r="L36" s="143">
        <v>1.5104365259959902</v>
      </c>
      <c r="M36" s="143">
        <v>2.2556703430048457</v>
      </c>
      <c r="N36" s="143">
        <v>1.676491012996735</v>
      </c>
      <c r="O36" s="143">
        <v>2.1621440429446164</v>
      </c>
    </row>
    <row r="37" spans="1:15">
      <c r="A37" s="6">
        <v>2014</v>
      </c>
      <c r="B37" s="143">
        <v>1.6768773605030933</v>
      </c>
      <c r="C37" s="143">
        <v>1.6591313194425896</v>
      </c>
      <c r="D37" s="143">
        <v>1.7880794701986755</v>
      </c>
      <c r="E37" s="143">
        <v>1.4071035309487405</v>
      </c>
      <c r="F37" s="143">
        <v>1.1759700888549165</v>
      </c>
      <c r="G37" s="143">
        <v>1.4624778412448296</v>
      </c>
      <c r="H37" s="143">
        <v>2.2616503436294026</v>
      </c>
      <c r="I37" s="143">
        <v>1.6697040930420923</v>
      </c>
      <c r="J37" s="143">
        <v>1.6248351048065133</v>
      </c>
      <c r="K37" s="143">
        <v>1.8098643963185508</v>
      </c>
      <c r="L37" s="143">
        <v>1.5156366741381151</v>
      </c>
      <c r="M37" s="143">
        <v>2.212452022903165</v>
      </c>
      <c r="N37" s="143">
        <v>1.6272511176010003</v>
      </c>
      <c r="O37" s="143">
        <v>2.1417351453343056</v>
      </c>
    </row>
    <row r="38" spans="1:15">
      <c r="A38" s="6">
        <v>2015</v>
      </c>
      <c r="B38" s="143">
        <v>1.658086996492171</v>
      </c>
      <c r="C38" s="143">
        <v>1.6417724810890877</v>
      </c>
      <c r="D38" s="143">
        <v>1.7593866719087872</v>
      </c>
      <c r="E38" s="143">
        <v>1.6568778245609868</v>
      </c>
      <c r="F38" s="143">
        <v>1.7056291210288268</v>
      </c>
      <c r="G38" s="143">
        <v>1.4285385553535679</v>
      </c>
      <c r="H38" s="143">
        <v>2.231417171567903</v>
      </c>
      <c r="I38" s="143">
        <v>1.6536018524419518</v>
      </c>
      <c r="J38" s="143">
        <v>1.6180047978336713</v>
      </c>
      <c r="K38" s="143">
        <v>1.7640496444010598</v>
      </c>
      <c r="L38" s="143">
        <v>1.4767980128711753</v>
      </c>
      <c r="M38" s="143">
        <v>2.1328025024882695</v>
      </c>
      <c r="N38" s="143">
        <v>1.6806828235551821</v>
      </c>
      <c r="O38" s="143">
        <v>2.1254347124889659</v>
      </c>
    </row>
    <row r="39" spans="1:15">
      <c r="A39" s="6">
        <v>2016</v>
      </c>
      <c r="B39" s="143">
        <v>1.7084549865901335</v>
      </c>
      <c r="C39" s="143">
        <v>1.6959840388666321</v>
      </c>
      <c r="D39" s="143">
        <v>1.7834568997915885</v>
      </c>
      <c r="E39" s="143">
        <v>1.5917524675680199</v>
      </c>
      <c r="F39" s="143">
        <v>1.6029055068595115</v>
      </c>
      <c r="G39" s="143">
        <v>1.3922154345739479</v>
      </c>
      <c r="H39" s="143">
        <v>2.1960263754021958</v>
      </c>
      <c r="I39" s="143">
        <v>1.63623196114614</v>
      </c>
      <c r="J39" s="143">
        <v>1.620028652826879</v>
      </c>
      <c r="K39" s="143">
        <v>1.6851346463683292</v>
      </c>
      <c r="L39" s="143">
        <v>1.484820363250696</v>
      </c>
      <c r="M39" s="143">
        <v>2.2298087198502463</v>
      </c>
      <c r="N39" s="143">
        <v>1.6948608639199028</v>
      </c>
      <c r="O39" s="143">
        <v>2.113987385088024</v>
      </c>
    </row>
    <row r="40" spans="1:15">
      <c r="A40" s="6">
        <v>2017</v>
      </c>
      <c r="B40" s="143">
        <v>1.6931537371630236</v>
      </c>
      <c r="C40" s="143">
        <v>1.6773796135530799</v>
      </c>
      <c r="D40" s="143">
        <v>1.791523234345306</v>
      </c>
      <c r="E40" s="143">
        <v>1.539093786614903</v>
      </c>
      <c r="F40" s="143">
        <v>1.5015532072114728</v>
      </c>
      <c r="G40" s="143">
        <v>1.3837027561449105</v>
      </c>
      <c r="H40" s="143">
        <v>2.1720463407424089</v>
      </c>
      <c r="I40" s="143">
        <v>1.6407397582442818</v>
      </c>
      <c r="J40" s="143">
        <v>1.6093608793425949</v>
      </c>
      <c r="K40" s="143">
        <v>1.7366856775644632</v>
      </c>
      <c r="L40" s="143">
        <v>1.4455005811057611</v>
      </c>
      <c r="M40" s="143">
        <v>2.2607622611646514</v>
      </c>
      <c r="N40" s="143">
        <v>1.673704278297949</v>
      </c>
      <c r="O40" s="143">
        <v>2.0977283122218604</v>
      </c>
    </row>
    <row r="41" spans="1:15">
      <c r="A41" s="6">
        <v>2018</v>
      </c>
      <c r="B41" s="143">
        <v>1.6847272456226907</v>
      </c>
      <c r="C41" s="143">
        <v>1.6636108658925304</v>
      </c>
      <c r="D41" s="143">
        <v>1.8171145485273439</v>
      </c>
      <c r="E41" s="143">
        <v>1.5102333859159487</v>
      </c>
      <c r="F41" s="143">
        <v>1.4325499111998727</v>
      </c>
      <c r="G41" s="143">
        <v>1.4046767370021653</v>
      </c>
      <c r="H41" s="143">
        <v>2.1378948924333843</v>
      </c>
      <c r="I41" s="143">
        <v>1.6440081240569604</v>
      </c>
      <c r="J41" s="143">
        <v>1.6183339321459735</v>
      </c>
      <c r="K41" s="143">
        <v>1.720223674787829</v>
      </c>
      <c r="L41" s="143">
        <v>1.4273787130455775</v>
      </c>
      <c r="M41" s="143">
        <v>2.3002916606178978</v>
      </c>
      <c r="N41" s="143">
        <v>1.6630303052033735</v>
      </c>
      <c r="O41" s="143">
        <v>2.0782336456066663</v>
      </c>
    </row>
    <row r="42" spans="1:15">
      <c r="A42" s="6">
        <v>2019</v>
      </c>
      <c r="B42" s="143">
        <v>1.6731082353501052</v>
      </c>
      <c r="C42" s="143">
        <v>1.6502095379137587</v>
      </c>
      <c r="D42" s="143">
        <v>1.8174033903353106</v>
      </c>
      <c r="E42" s="143">
        <v>1.5183587273042245</v>
      </c>
      <c r="F42" s="143">
        <v>1.458308993821773</v>
      </c>
      <c r="G42" s="143">
        <v>1.4024825164495203</v>
      </c>
      <c r="H42" s="143">
        <v>2.09324939863862</v>
      </c>
      <c r="I42" s="143">
        <v>1.5878854309580648</v>
      </c>
      <c r="J42" s="143">
        <v>1.5415510299808466</v>
      </c>
      <c r="K42" s="143">
        <v>1.7289865638995938</v>
      </c>
      <c r="L42" s="143">
        <v>1.4191319285163533</v>
      </c>
      <c r="M42" s="143">
        <v>2.3247340512053092</v>
      </c>
      <c r="N42" s="143">
        <v>1.6547280665007147</v>
      </c>
      <c r="O42" s="143">
        <v>2.066501914273001</v>
      </c>
    </row>
    <row r="43" spans="1:15">
      <c r="A43" s="6"/>
      <c r="O43" s="117"/>
    </row>
    <row r="44" spans="1:15">
      <c r="A44" s="5" t="s">
        <v>212</v>
      </c>
      <c r="B44" s="143">
        <f>B42-B4</f>
        <v>-0.31947231145343169</v>
      </c>
      <c r="C44" s="143">
        <f t="shared" ref="C44:N44" si="0">C42-C4</f>
        <v>-0.35260631321341629</v>
      </c>
      <c r="D44" s="143">
        <f t="shared" si="0"/>
        <v>-6.7511437271081887E-2</v>
      </c>
      <c r="E44" s="143">
        <f t="shared" si="0"/>
        <v>-0.39383393555867974</v>
      </c>
      <c r="F44" s="143">
        <f t="shared" si="0"/>
        <v>0.36765952806767399</v>
      </c>
      <c r="G44" s="143">
        <f t="shared" si="0"/>
        <v>-1.0934510748904314</v>
      </c>
      <c r="H44" s="143">
        <f t="shared" si="0"/>
        <v>-0.9596308484993048</v>
      </c>
      <c r="I44" s="143">
        <f t="shared" si="0"/>
        <v>-0.24568607613218463</v>
      </c>
      <c r="J44" s="143">
        <f t="shared" si="0"/>
        <v>-0.3543899722838304</v>
      </c>
      <c r="K44" s="143">
        <f t="shared" si="0"/>
        <v>8.9939203580839733E-2</v>
      </c>
      <c r="L44" s="143">
        <f t="shared" si="0"/>
        <v>-0.41192587421428328</v>
      </c>
      <c r="M44" s="143">
        <f t="shared" si="0"/>
        <v>2.2808069701598446</v>
      </c>
      <c r="N44" s="143">
        <f t="shared" si="0"/>
        <v>-0.15112384929858935</v>
      </c>
      <c r="O44" s="117"/>
    </row>
    <row r="45" spans="1:15">
      <c r="A45" s="5" t="s">
        <v>213</v>
      </c>
      <c r="B45" s="143">
        <f>B23-B4</f>
        <v>-9.5195836383862309E-2</v>
      </c>
      <c r="C45" s="143">
        <f t="shared" ref="C45:N45" si="1">C23-C4</f>
        <v>-9.2721077475979685E-2</v>
      </c>
      <c r="D45" s="143">
        <f t="shared" si="1"/>
        <v>-8.0414865231495991E-2</v>
      </c>
      <c r="E45" s="143">
        <f t="shared" si="1"/>
        <v>4.3424345597517844E-2</v>
      </c>
      <c r="F45" s="143">
        <f t="shared" si="1"/>
        <v>0.8288995925623599</v>
      </c>
      <c r="G45" s="143">
        <f t="shared" si="1"/>
        <v>-0.70699779089980153</v>
      </c>
      <c r="H45" s="143">
        <f t="shared" si="1"/>
        <v>-0.28649392615370273</v>
      </c>
      <c r="I45" s="143">
        <f t="shared" si="1"/>
        <v>-7.5788325367591725E-2</v>
      </c>
      <c r="J45" s="143">
        <f t="shared" si="1"/>
        <v>-9.4516212479563322E-2</v>
      </c>
      <c r="K45" s="143">
        <f t="shared" si="1"/>
        <v>-2.8366347328332875E-2</v>
      </c>
      <c r="L45" s="143">
        <f t="shared" si="1"/>
        <v>-0.53971119667953138</v>
      </c>
      <c r="M45" s="143">
        <f t="shared" si="1"/>
        <v>2.1019738284501788</v>
      </c>
      <c r="N45" s="143">
        <f t="shared" si="1"/>
        <v>8.3086497738344312E-2</v>
      </c>
      <c r="O45" s="117"/>
    </row>
    <row r="46" spans="1:15">
      <c r="A46" s="5" t="s">
        <v>24</v>
      </c>
      <c r="B46" s="143">
        <f>B42-B23</f>
        <v>-0.22427647506956938</v>
      </c>
      <c r="C46" s="143">
        <f t="shared" ref="C46:N46" si="2">C42-C23</f>
        <v>-0.2598852357374366</v>
      </c>
      <c r="D46" s="143">
        <f t="shared" si="2"/>
        <v>1.2903427960414104E-2</v>
      </c>
      <c r="E46" s="143">
        <f t="shared" si="2"/>
        <v>-0.43725828115619758</v>
      </c>
      <c r="F46" s="143">
        <f t="shared" si="2"/>
        <v>-0.46124006449468591</v>
      </c>
      <c r="G46" s="143">
        <f t="shared" si="2"/>
        <v>-0.38645328399062984</v>
      </c>
      <c r="H46" s="143">
        <f t="shared" si="2"/>
        <v>-0.67313692234560207</v>
      </c>
      <c r="I46" s="143">
        <f t="shared" si="2"/>
        <v>-0.1698977507645929</v>
      </c>
      <c r="J46" s="143">
        <f t="shared" si="2"/>
        <v>-0.25987375980426708</v>
      </c>
      <c r="K46" s="143">
        <f t="shared" si="2"/>
        <v>0.11830555090917261</v>
      </c>
      <c r="L46" s="143">
        <f t="shared" si="2"/>
        <v>0.1277853224652481</v>
      </c>
      <c r="M46" s="143">
        <f t="shared" si="2"/>
        <v>0.1788331417096658</v>
      </c>
      <c r="N46" s="143">
        <f t="shared" si="2"/>
        <v>-0.23421034703693366</v>
      </c>
      <c r="O46" s="117"/>
    </row>
    <row r="47" spans="1:15">
      <c r="O47" s="117"/>
    </row>
    <row r="48" spans="1:15">
      <c r="A48" s="6" t="s">
        <v>668</v>
      </c>
      <c r="O48" s="117"/>
    </row>
    <row r="49" spans="1:15">
      <c r="O49" s="117"/>
    </row>
    <row r="50" spans="1:15" ht="85">
      <c r="A50" s="6"/>
      <c r="B50" s="86" t="s">
        <v>272</v>
      </c>
      <c r="C50" s="86" t="s">
        <v>273</v>
      </c>
      <c r="D50" s="86" t="s">
        <v>274</v>
      </c>
      <c r="E50" s="86" t="s">
        <v>275</v>
      </c>
      <c r="F50" s="86" t="s">
        <v>276</v>
      </c>
      <c r="G50" s="86" t="s">
        <v>277</v>
      </c>
      <c r="H50" s="86" t="s">
        <v>278</v>
      </c>
      <c r="I50" s="86" t="s">
        <v>279</v>
      </c>
      <c r="J50" s="86" t="s">
        <v>280</v>
      </c>
      <c r="K50" s="86" t="s">
        <v>281</v>
      </c>
      <c r="L50" s="86" t="s">
        <v>282</v>
      </c>
      <c r="M50" s="86" t="s">
        <v>283</v>
      </c>
      <c r="N50" s="86" t="s">
        <v>285</v>
      </c>
      <c r="O50" s="117"/>
    </row>
    <row r="51" spans="1:15">
      <c r="A51" s="6">
        <v>1981</v>
      </c>
      <c r="B51" s="143">
        <v>1.9925805468035369</v>
      </c>
      <c r="C51" s="143">
        <v>2.002815851127175</v>
      </c>
      <c r="D51" s="143">
        <v>1.8849148276063925</v>
      </c>
      <c r="E51" s="143">
        <v>1.9121926628629042</v>
      </c>
      <c r="F51" s="143">
        <v>1.090649465754099</v>
      </c>
      <c r="G51" s="143">
        <v>2.4959335913399516</v>
      </c>
      <c r="H51" s="143">
        <v>3.0528802471379248</v>
      </c>
      <c r="I51" s="143">
        <v>1.8335715070902494</v>
      </c>
      <c r="J51" s="143">
        <v>1.895941002264677</v>
      </c>
      <c r="K51" s="143">
        <v>1.6390473603187541</v>
      </c>
      <c r="L51" s="143">
        <v>1.8310578027306366</v>
      </c>
      <c r="M51" s="143">
        <v>4.3927081045464528E-2</v>
      </c>
      <c r="N51" s="143">
        <v>1.805851915799304</v>
      </c>
      <c r="O51" s="117"/>
    </row>
    <row r="52" spans="1:15">
      <c r="A52" s="6">
        <v>1989</v>
      </c>
      <c r="B52" s="143">
        <v>2.0033631647950747</v>
      </c>
      <c r="C52" s="143">
        <v>2.0123324363148223</v>
      </c>
      <c r="D52" s="143">
        <v>1.9140698182726537</v>
      </c>
      <c r="E52" s="143">
        <v>2.0541465831794223</v>
      </c>
      <c r="F52" s="143">
        <v>1.8601693231050518</v>
      </c>
      <c r="G52" s="143">
        <v>2.0513994994192606</v>
      </c>
      <c r="H52" s="143">
        <v>2.8423910150636078</v>
      </c>
      <c r="I52" s="143">
        <v>1.9674403307648938</v>
      </c>
      <c r="J52" s="143">
        <v>2.0528218640848093</v>
      </c>
      <c r="K52" s="143">
        <v>1.6868076535750252</v>
      </c>
      <c r="L52" s="143">
        <v>1.2990906365544119</v>
      </c>
      <c r="M52" s="143">
        <v>2.4564494030142883</v>
      </c>
      <c r="N52" s="143">
        <v>2.0078054852817018</v>
      </c>
      <c r="O52" s="117"/>
    </row>
    <row r="53" spans="1:15">
      <c r="A53" s="6">
        <v>2000</v>
      </c>
      <c r="B53" s="143">
        <v>1.8973847104196746</v>
      </c>
      <c r="C53" s="143">
        <v>1.9100947736511953</v>
      </c>
      <c r="D53" s="143">
        <v>1.8044999623748965</v>
      </c>
      <c r="E53" s="143">
        <v>1.9556170084604221</v>
      </c>
      <c r="F53" s="143">
        <v>1.9195490583164589</v>
      </c>
      <c r="G53" s="143">
        <v>1.7889358004401501</v>
      </c>
      <c r="H53" s="143">
        <v>2.7663863209842221</v>
      </c>
      <c r="I53" s="143">
        <v>1.7577831817226577</v>
      </c>
      <c r="J53" s="143">
        <v>1.8014247897851137</v>
      </c>
      <c r="K53" s="143">
        <v>1.6106810129904212</v>
      </c>
      <c r="L53" s="143">
        <v>1.2913466060511052</v>
      </c>
      <c r="M53" s="143">
        <v>2.1459009094956434</v>
      </c>
      <c r="N53" s="143">
        <v>1.8889384135376484</v>
      </c>
      <c r="O53" s="117"/>
    </row>
    <row r="54" spans="1:15">
      <c r="A54" s="6">
        <v>2008</v>
      </c>
      <c r="B54" s="143">
        <v>1.8046251983892199</v>
      </c>
      <c r="C54" s="143">
        <v>1.7822608909349609</v>
      </c>
      <c r="D54" s="143">
        <v>1.9592885146487957</v>
      </c>
      <c r="E54" s="143">
        <v>1.6030633166164883</v>
      </c>
      <c r="F54" s="143">
        <v>1.3848505740235604</v>
      </c>
      <c r="G54" s="143">
        <v>1.6838819764511566</v>
      </c>
      <c r="H54" s="143">
        <v>2.5511173007533077</v>
      </c>
      <c r="I54" s="143">
        <v>1.5804468117841171</v>
      </c>
      <c r="J54" s="143">
        <v>1.5661805068199031</v>
      </c>
      <c r="K54" s="143">
        <v>1.6265087270606184</v>
      </c>
      <c r="L54" s="143">
        <v>1.4494470189360853</v>
      </c>
      <c r="M54" s="143">
        <v>2.3471508686615161</v>
      </c>
      <c r="N54" s="143">
        <v>1.7405725024305374</v>
      </c>
      <c r="O54" s="117"/>
    </row>
    <row r="55" spans="1:15">
      <c r="A55" s="6">
        <v>2019</v>
      </c>
      <c r="B55" s="143">
        <v>1.6731082353501052</v>
      </c>
      <c r="C55" s="143">
        <v>1.6502095379137587</v>
      </c>
      <c r="D55" s="143">
        <v>1.8174033903353106</v>
      </c>
      <c r="E55" s="143">
        <v>1.5183587273042245</v>
      </c>
      <c r="F55" s="143">
        <v>1.458308993821773</v>
      </c>
      <c r="G55" s="143">
        <v>1.4024825164495203</v>
      </c>
      <c r="H55" s="143">
        <v>2.09324939863862</v>
      </c>
      <c r="I55" s="143">
        <v>1.5878854309580648</v>
      </c>
      <c r="J55" s="143">
        <v>1.5415510299808466</v>
      </c>
      <c r="K55" s="143">
        <v>1.7289865638995938</v>
      </c>
      <c r="L55" s="143">
        <v>1.4191319285163533</v>
      </c>
      <c r="M55" s="143">
        <v>2.3247340512053092</v>
      </c>
      <c r="N55" s="143">
        <v>1.6547280665007147</v>
      </c>
      <c r="O55" s="117"/>
    </row>
    <row r="56" spans="1:15">
      <c r="O56" s="117"/>
    </row>
    <row r="57" spans="1:15">
      <c r="O57" s="117"/>
    </row>
    <row r="58" spans="1:15" ht="68">
      <c r="B58" s="142" t="s">
        <v>272</v>
      </c>
      <c r="C58" s="142" t="s">
        <v>275</v>
      </c>
      <c r="D58" s="142" t="s">
        <v>279</v>
      </c>
      <c r="E58" s="142" t="s">
        <v>282</v>
      </c>
      <c r="F58" s="142" t="s">
        <v>283</v>
      </c>
      <c r="G58" s="86" t="s">
        <v>285</v>
      </c>
      <c r="H58" s="142"/>
      <c r="O58" s="117"/>
    </row>
    <row r="59" spans="1:15">
      <c r="A59" s="118">
        <v>1981</v>
      </c>
      <c r="B59" s="143">
        <v>1.9925805468035369</v>
      </c>
      <c r="C59" s="143">
        <v>1.9121926628629042</v>
      </c>
      <c r="D59" s="143">
        <v>1.8335715070902494</v>
      </c>
      <c r="E59" s="143">
        <v>1.8310578027306366</v>
      </c>
      <c r="F59" s="143">
        <v>4.3927081045464528E-2</v>
      </c>
      <c r="G59" s="143">
        <v>1.805851915799304</v>
      </c>
      <c r="O59" s="117"/>
    </row>
    <row r="60" spans="1:15">
      <c r="A60" s="118">
        <v>1989</v>
      </c>
      <c r="B60" s="143">
        <v>2.0033631647950747</v>
      </c>
      <c r="C60" s="143">
        <v>2.0541465831794223</v>
      </c>
      <c r="D60" s="143">
        <v>1.9674403307648938</v>
      </c>
      <c r="E60" s="143">
        <v>1.2990906365544119</v>
      </c>
      <c r="F60" s="143">
        <v>2.4564494030142883</v>
      </c>
      <c r="G60" s="143">
        <v>2.0078054852817018</v>
      </c>
      <c r="O60" s="117"/>
    </row>
    <row r="61" spans="1:15">
      <c r="A61" s="118">
        <v>2000</v>
      </c>
      <c r="B61" s="143">
        <v>1.8973847104196746</v>
      </c>
      <c r="C61" s="143">
        <v>1.9556170084604221</v>
      </c>
      <c r="D61" s="143">
        <v>1.7577831817226577</v>
      </c>
      <c r="E61" s="143">
        <v>1.2913466060511052</v>
      </c>
      <c r="F61" s="143">
        <v>2.1459009094956434</v>
      </c>
      <c r="G61" s="143">
        <v>1.8889384135376484</v>
      </c>
    </row>
    <row r="62" spans="1:15">
      <c r="A62" s="118">
        <v>2008</v>
      </c>
      <c r="B62" s="143">
        <v>1.8046251983892199</v>
      </c>
      <c r="C62" s="143">
        <v>1.6030633166164883</v>
      </c>
      <c r="D62" s="143">
        <v>1.5804468117841171</v>
      </c>
      <c r="E62" s="143">
        <v>1.4494470189360853</v>
      </c>
      <c r="F62" s="143">
        <v>2.3471508686615161</v>
      </c>
      <c r="G62" s="143">
        <v>1.7405725024305374</v>
      </c>
    </row>
    <row r="63" spans="1:15">
      <c r="A63" s="118">
        <v>2019</v>
      </c>
      <c r="B63" s="143">
        <v>1.6731082353501052</v>
      </c>
      <c r="C63" s="143">
        <v>1.5183587273042245</v>
      </c>
      <c r="D63" s="143">
        <v>1.5878854309580599</v>
      </c>
      <c r="E63" s="143">
        <v>1.4191319285163533</v>
      </c>
      <c r="F63" s="143">
        <v>2.3247340512053092</v>
      </c>
      <c r="G63" s="143">
        <v>1.6547280665007147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4C4C-9C34-5B41-A890-98F52861F148}">
  <sheetPr codeName="Sheet5"/>
  <dimension ref="A1:G76"/>
  <sheetViews>
    <sheetView zoomScale="69" zoomScaleNormal="69" workbookViewId="0"/>
  </sheetViews>
  <sheetFormatPr baseColWidth="10" defaultColWidth="11" defaultRowHeight="16"/>
  <cols>
    <col min="1" max="1" width="21.1640625" style="5" customWidth="1"/>
    <col min="2" max="2" width="21.6640625" style="5" customWidth="1"/>
    <col min="3" max="3" width="21.5" style="5" customWidth="1"/>
    <col min="4" max="4" width="21.6640625" style="5" customWidth="1"/>
    <col min="5" max="6" width="21.33203125" style="5" customWidth="1"/>
    <col min="7" max="7" width="11" style="5" customWidth="1"/>
    <col min="8" max="16384" width="11" style="5"/>
  </cols>
  <sheetData>
    <row r="1" spans="1:6">
      <c r="A1" s="15" t="s">
        <v>33</v>
      </c>
    </row>
    <row r="2" spans="1:6">
      <c r="B2" s="38"/>
    </row>
    <row r="3" spans="1:6" ht="32" customHeight="1">
      <c r="B3" s="142" t="s">
        <v>26</v>
      </c>
      <c r="C3" s="142" t="s">
        <v>27</v>
      </c>
      <c r="D3" s="142" t="s">
        <v>28</v>
      </c>
      <c r="E3" s="142" t="s">
        <v>29</v>
      </c>
      <c r="F3" s="142" t="s">
        <v>30</v>
      </c>
    </row>
    <row r="4" spans="1:6">
      <c r="A4" s="5">
        <v>1976</v>
      </c>
      <c r="B4" s="8">
        <v>77.319587628865989</v>
      </c>
      <c r="C4" s="8">
        <v>195.83333333333331</v>
      </c>
      <c r="D4" s="8">
        <v>87.539936102236425</v>
      </c>
      <c r="E4" s="8">
        <v>63.768115942028977</v>
      </c>
      <c r="F4" s="8">
        <v>86.764705882352942</v>
      </c>
    </row>
    <row r="5" spans="1:6">
      <c r="A5" s="5">
        <v>1977</v>
      </c>
      <c r="B5" s="8">
        <v>75.300171526586624</v>
      </c>
      <c r="C5" s="8">
        <v>211.53846153846155</v>
      </c>
      <c r="D5" s="8">
        <v>82.670906200317958</v>
      </c>
      <c r="E5" s="8">
        <v>56.521739130434781</v>
      </c>
      <c r="F5" s="8">
        <v>85.714285714285708</v>
      </c>
    </row>
    <row r="6" spans="1:6">
      <c r="A6" s="5">
        <v>1978</v>
      </c>
      <c r="B6" s="8">
        <v>76.80412371134021</v>
      </c>
      <c r="C6" s="8">
        <v>231.99999999999997</v>
      </c>
      <c r="D6" s="8">
        <v>88.132911392405063</v>
      </c>
      <c r="E6" s="8">
        <v>58.461538461538467</v>
      </c>
      <c r="F6" s="8">
        <v>90.974729241877256</v>
      </c>
    </row>
    <row r="7" spans="1:6">
      <c r="A7" s="5">
        <v>1979</v>
      </c>
      <c r="B7" s="8">
        <v>79.280821917808225</v>
      </c>
      <c r="C7" s="8">
        <v>305.55555555555554</v>
      </c>
      <c r="D7" s="8">
        <v>86.486486486486484</v>
      </c>
      <c r="E7" s="8">
        <v>60.810810810810814</v>
      </c>
      <c r="F7" s="8">
        <v>89.031078610603288</v>
      </c>
    </row>
    <row r="8" spans="1:6">
      <c r="A8" s="5">
        <v>1980</v>
      </c>
      <c r="B8" s="8">
        <v>73.232323232323239</v>
      </c>
      <c r="C8" s="8">
        <v>218.5185185185185</v>
      </c>
      <c r="D8" s="8">
        <v>82.534775888717164</v>
      </c>
      <c r="E8" s="8">
        <v>60.526315789473685</v>
      </c>
      <c r="F8" s="8">
        <v>84.848484848484844</v>
      </c>
    </row>
    <row r="9" spans="1:6">
      <c r="A9" s="5">
        <v>1981</v>
      </c>
      <c r="B9" s="8">
        <v>70.984455958549219</v>
      </c>
      <c r="C9" s="8">
        <v>234.61538461538461</v>
      </c>
      <c r="D9" s="8">
        <v>80.507131537242472</v>
      </c>
      <c r="E9" s="8">
        <v>53.94736842105263</v>
      </c>
      <c r="F9" s="8">
        <v>83.882783882783883</v>
      </c>
    </row>
    <row r="10" spans="1:6">
      <c r="A10" s="5">
        <v>1982</v>
      </c>
      <c r="B10" s="8">
        <v>70.848708487084863</v>
      </c>
      <c r="C10" s="8">
        <v>225.71428571428572</v>
      </c>
      <c r="D10" s="8">
        <v>80.889621087314666</v>
      </c>
      <c r="E10" s="8">
        <v>59.154929577464785</v>
      </c>
      <c r="F10" s="8">
        <v>84.339622641509436</v>
      </c>
    </row>
    <row r="11" spans="1:6">
      <c r="A11" s="5">
        <v>1983</v>
      </c>
      <c r="B11" s="8">
        <v>66.924564796905216</v>
      </c>
      <c r="C11" s="8">
        <v>214.28571428571428</v>
      </c>
      <c r="D11" s="8">
        <v>79.658119658119659</v>
      </c>
      <c r="E11" s="8">
        <v>49.253731343283583</v>
      </c>
      <c r="F11" s="8">
        <v>80.980392156862749</v>
      </c>
    </row>
    <row r="12" spans="1:6">
      <c r="A12" s="5">
        <v>1984</v>
      </c>
      <c r="B12" s="8">
        <v>75.47892720306514</v>
      </c>
      <c r="C12" s="8">
        <v>235.29411764705884</v>
      </c>
      <c r="D12" s="8">
        <v>87.436332767402376</v>
      </c>
      <c r="E12" s="8">
        <v>67.64705882352942</v>
      </c>
      <c r="F12" s="8">
        <v>88.932038834951456</v>
      </c>
    </row>
    <row r="13" spans="1:6">
      <c r="A13" s="5">
        <v>1985</v>
      </c>
      <c r="B13" s="8">
        <v>74.764595103578159</v>
      </c>
      <c r="C13" s="8">
        <v>242.42424242424244</v>
      </c>
      <c r="D13" s="8">
        <v>85.929648241206024</v>
      </c>
      <c r="E13" s="8">
        <v>67.123287671232873</v>
      </c>
      <c r="F13" s="8">
        <v>88.974854932301739</v>
      </c>
    </row>
    <row r="14" spans="1:6">
      <c r="A14" s="5">
        <v>1986</v>
      </c>
      <c r="B14" s="8">
        <v>77.137546468401482</v>
      </c>
      <c r="C14" s="8">
        <v>267.74193548387098</v>
      </c>
      <c r="D14" s="8">
        <v>89.10891089108911</v>
      </c>
      <c r="E14" s="8">
        <v>73.170731707317074</v>
      </c>
      <c r="F14" s="8">
        <v>92.023346303501938</v>
      </c>
    </row>
    <row r="15" spans="1:6">
      <c r="A15" s="5">
        <v>1987</v>
      </c>
      <c r="B15" s="8">
        <v>72.490706319702596</v>
      </c>
      <c r="C15" s="8">
        <v>290</v>
      </c>
      <c r="D15" s="8">
        <v>83.333333333333343</v>
      </c>
      <c r="E15" s="8">
        <v>67.777777777777786</v>
      </c>
      <c r="F15" s="8">
        <v>86.5234375</v>
      </c>
    </row>
    <row r="16" spans="1:6">
      <c r="A16" s="5">
        <v>1988</v>
      </c>
      <c r="B16" s="8">
        <v>72.202166064981952</v>
      </c>
      <c r="C16" s="8">
        <v>310</v>
      </c>
      <c r="D16" s="8">
        <v>85.55194805194806</v>
      </c>
      <c r="E16" s="8">
        <v>70</v>
      </c>
      <c r="F16" s="8">
        <v>88.19047619047619</v>
      </c>
    </row>
    <row r="17" spans="1:6">
      <c r="A17" s="5">
        <v>1989</v>
      </c>
      <c r="B17" s="8">
        <v>76.59574468085107</v>
      </c>
      <c r="C17" s="8">
        <v>229.41176470588235</v>
      </c>
      <c r="D17" s="8">
        <v>85.84905660377359</v>
      </c>
      <c r="E17" s="8">
        <v>72.916666666666657</v>
      </c>
      <c r="F17" s="8">
        <v>88.367729831144473</v>
      </c>
    </row>
    <row r="18" spans="1:6">
      <c r="A18" s="5">
        <v>1990</v>
      </c>
      <c r="B18" s="8">
        <v>79.846449136276391</v>
      </c>
      <c r="C18" s="8">
        <v>209.52380952380955</v>
      </c>
      <c r="D18" s="8">
        <v>87.973640856672148</v>
      </c>
      <c r="E18" s="8">
        <v>76.666666666666671</v>
      </c>
      <c r="F18" s="8">
        <v>89.453125</v>
      </c>
    </row>
    <row r="19" spans="1:6">
      <c r="A19" s="5">
        <v>1991</v>
      </c>
      <c r="B19" s="8">
        <v>74.639175257731964</v>
      </c>
      <c r="C19" s="8">
        <v>178.84615384615387</v>
      </c>
      <c r="D19" s="8">
        <v>87.085514834205938</v>
      </c>
      <c r="E19" s="8">
        <v>72.61904761904762</v>
      </c>
      <c r="F19" s="8">
        <v>89.669421487603302</v>
      </c>
    </row>
    <row r="20" spans="1:6">
      <c r="A20" s="5">
        <v>1992</v>
      </c>
      <c r="B20" s="8">
        <v>76.433121019108285</v>
      </c>
      <c r="C20" s="8">
        <v>182.14285714285714</v>
      </c>
      <c r="D20" s="8">
        <v>87.915936952714532</v>
      </c>
      <c r="E20" s="8">
        <v>74.683544303797461</v>
      </c>
      <c r="F20" s="8">
        <v>89.97955010224949</v>
      </c>
    </row>
    <row r="21" spans="1:6">
      <c r="A21" s="5">
        <v>1993</v>
      </c>
      <c r="B21" s="8">
        <v>79.257641921397379</v>
      </c>
      <c r="C21" s="8">
        <v>179.66101694915255</v>
      </c>
      <c r="D21" s="8">
        <v>90.143369175627242</v>
      </c>
      <c r="E21" s="8">
        <v>80.519480519480524</v>
      </c>
      <c r="F21" s="8">
        <v>92.243186582809216</v>
      </c>
    </row>
    <row r="22" spans="1:6">
      <c r="A22" s="5">
        <v>1994</v>
      </c>
      <c r="B22" s="8">
        <v>78.232758620689651</v>
      </c>
      <c r="C22" s="8">
        <v>171.92982456140351</v>
      </c>
      <c r="D22" s="8">
        <v>90.40852575488455</v>
      </c>
      <c r="E22" s="8">
        <v>80.769230769230774</v>
      </c>
      <c r="F22" s="8">
        <v>92.291666666666671</v>
      </c>
    </row>
    <row r="23" spans="1:6">
      <c r="A23" s="5">
        <v>1995</v>
      </c>
      <c r="B23" s="8">
        <v>77.253218884120173</v>
      </c>
      <c r="C23" s="8">
        <v>192.15686274509804</v>
      </c>
      <c r="D23" s="8">
        <v>88.454706927175835</v>
      </c>
      <c r="E23" s="8">
        <v>78.48101265822784</v>
      </c>
      <c r="F23" s="8">
        <v>90.396659707724424</v>
      </c>
    </row>
    <row r="24" spans="1:6">
      <c r="A24" s="5">
        <v>1996</v>
      </c>
      <c r="B24" s="8">
        <v>78.993435448577671</v>
      </c>
      <c r="C24" s="8">
        <v>177.77777777777777</v>
      </c>
      <c r="D24" s="8">
        <v>87.884267631103071</v>
      </c>
      <c r="E24" s="8">
        <v>77.922077922077932</v>
      </c>
      <c r="F24" s="8">
        <v>90.021231422505309</v>
      </c>
    </row>
    <row r="25" spans="1:6">
      <c r="A25" s="5">
        <v>1997</v>
      </c>
      <c r="B25" s="8">
        <v>78.649237472766885</v>
      </c>
      <c r="C25" s="8">
        <v>189.36170212765958</v>
      </c>
      <c r="D25" s="8">
        <v>88.949275362318829</v>
      </c>
      <c r="E25" s="8">
        <v>80</v>
      </c>
      <c r="F25" s="8">
        <v>90.212765957446805</v>
      </c>
    </row>
    <row r="26" spans="1:6">
      <c r="A26" s="5">
        <v>1998</v>
      </c>
      <c r="B26" s="8">
        <v>80.597014925373131</v>
      </c>
      <c r="C26" s="8">
        <v>174</v>
      </c>
      <c r="D26" s="8">
        <v>86.643233743409482</v>
      </c>
      <c r="E26" s="8">
        <v>78.205128205128204</v>
      </c>
      <c r="F26" s="8">
        <v>89.626556016597519</v>
      </c>
    </row>
    <row r="27" spans="1:6">
      <c r="A27" s="5">
        <v>1999</v>
      </c>
      <c r="B27" s="8">
        <v>82.364729458917836</v>
      </c>
      <c r="C27" s="8">
        <v>197.5</v>
      </c>
      <c r="D27" s="8">
        <v>88.566552901023883</v>
      </c>
      <c r="E27" s="8">
        <v>79.487179487179489</v>
      </c>
      <c r="F27" s="8">
        <v>89.285714285714292</v>
      </c>
    </row>
    <row r="28" spans="1:6">
      <c r="A28" s="19">
        <v>2000</v>
      </c>
      <c r="B28" s="108">
        <v>80.392156862745097</v>
      </c>
      <c r="C28" s="108">
        <v>208.10810810810813</v>
      </c>
      <c r="D28" s="108">
        <v>87.205387205387211</v>
      </c>
      <c r="E28" s="108">
        <v>74.074074074074076</v>
      </c>
      <c r="F28" s="108">
        <v>90.335305719921095</v>
      </c>
    </row>
    <row r="29" spans="1:6">
      <c r="A29" s="5">
        <v>2001</v>
      </c>
      <c r="B29" s="8">
        <v>78.446601941747574</v>
      </c>
      <c r="C29" s="8">
        <v>200</v>
      </c>
      <c r="D29" s="8">
        <v>87.335526315789465</v>
      </c>
      <c r="E29" s="8">
        <v>77.631578947368425</v>
      </c>
      <c r="F29" s="8">
        <v>88.63636363636364</v>
      </c>
    </row>
    <row r="30" spans="1:6">
      <c r="A30" s="5">
        <v>2002</v>
      </c>
      <c r="B30" s="8">
        <v>75.533980582524279</v>
      </c>
      <c r="C30" s="8">
        <v>209.30232558139537</v>
      </c>
      <c r="D30" s="8">
        <v>85.785123966942152</v>
      </c>
      <c r="E30" s="8">
        <v>74.324324324324323</v>
      </c>
      <c r="F30" s="8">
        <v>86.717267552182165</v>
      </c>
    </row>
    <row r="31" spans="1:6">
      <c r="A31" s="5">
        <v>2003</v>
      </c>
      <c r="B31" s="8">
        <v>76.459143968871587</v>
      </c>
      <c r="C31" s="8">
        <v>209.52380952380955</v>
      </c>
      <c r="D31" s="8">
        <v>86.092715231788077</v>
      </c>
      <c r="E31" s="8">
        <v>79.729729729729726</v>
      </c>
      <c r="F31" s="8">
        <v>87.452471482889734</v>
      </c>
    </row>
    <row r="32" spans="1:6">
      <c r="A32" s="5">
        <v>2004</v>
      </c>
      <c r="B32" s="8">
        <v>76.254826254826256</v>
      </c>
      <c r="C32" s="8">
        <v>204.76190476190476</v>
      </c>
      <c r="D32" s="8">
        <v>85.947712418300654</v>
      </c>
      <c r="E32" s="8">
        <v>79.729729729729726</v>
      </c>
      <c r="F32" s="8">
        <v>87.169811320754718</v>
      </c>
    </row>
    <row r="33" spans="1:6">
      <c r="A33" s="5">
        <v>2005</v>
      </c>
      <c r="B33" s="8">
        <v>76.48183556405354</v>
      </c>
      <c r="C33" s="8">
        <v>194.87179487179486</v>
      </c>
      <c r="D33" s="8">
        <v>85.967741935483872</v>
      </c>
      <c r="E33" s="8">
        <v>73.611111111111114</v>
      </c>
      <c r="F33" s="8">
        <v>87.084870848708491</v>
      </c>
    </row>
    <row r="34" spans="1:6">
      <c r="A34" s="5">
        <v>2006</v>
      </c>
      <c r="B34" s="8">
        <v>77.094972067039109</v>
      </c>
      <c r="C34" s="8">
        <v>177.27272727272728</v>
      </c>
      <c r="D34" s="8">
        <v>84.276729559748432</v>
      </c>
      <c r="E34" s="8">
        <v>74.666666666666671</v>
      </c>
      <c r="F34" s="8">
        <v>84.476534296028888</v>
      </c>
    </row>
    <row r="35" spans="1:6">
      <c r="A35" s="5">
        <v>2007</v>
      </c>
      <c r="B35" s="8">
        <v>77.777777777777786</v>
      </c>
      <c r="C35" s="8">
        <v>182.60869565217391</v>
      </c>
      <c r="D35" s="8">
        <v>85.625965996908818</v>
      </c>
      <c r="E35" s="8">
        <v>74.285714285714292</v>
      </c>
      <c r="F35" s="8">
        <v>87.346221441124783</v>
      </c>
    </row>
    <row r="36" spans="1:6">
      <c r="A36" s="5">
        <v>2008</v>
      </c>
      <c r="B36" s="8">
        <v>78.853046594982075</v>
      </c>
      <c r="C36" s="8">
        <v>170.21276595744681</v>
      </c>
      <c r="D36" s="8">
        <v>85.213414634146346</v>
      </c>
      <c r="E36" s="8">
        <v>81.944444444444443</v>
      </c>
      <c r="F36" s="8">
        <v>86.655112651646448</v>
      </c>
    </row>
    <row r="37" spans="1:6">
      <c r="A37" s="5">
        <v>2009</v>
      </c>
      <c r="B37" s="8">
        <v>79.702048417132218</v>
      </c>
      <c r="C37" s="8">
        <v>147.54098360655738</v>
      </c>
      <c r="D37" s="8">
        <v>86.024844720496901</v>
      </c>
      <c r="E37" s="8">
        <v>80.952380952380949</v>
      </c>
      <c r="F37" s="8">
        <v>88.194444444444443</v>
      </c>
    </row>
    <row r="38" spans="1:6">
      <c r="A38" s="5">
        <v>2010</v>
      </c>
      <c r="B38" s="8">
        <v>80.979284369114879</v>
      </c>
      <c r="C38" s="8">
        <v>144.44444444444443</v>
      </c>
      <c r="D38" s="8">
        <v>87.519500780031194</v>
      </c>
      <c r="E38" s="8">
        <v>83.07692307692308</v>
      </c>
      <c r="F38" s="8">
        <v>89.492119089316986</v>
      </c>
    </row>
    <row r="39" spans="1:6">
      <c r="A39" s="5">
        <v>2011</v>
      </c>
      <c r="B39" s="8">
        <v>83.146067415730343</v>
      </c>
      <c r="C39" s="8">
        <v>170.68965517241378</v>
      </c>
      <c r="D39" s="8">
        <v>88.75</v>
      </c>
      <c r="E39" s="8">
        <v>84.848484848484844</v>
      </c>
      <c r="F39" s="8">
        <v>90.140845070422543</v>
      </c>
    </row>
    <row r="40" spans="1:6">
      <c r="A40" s="5">
        <v>2012</v>
      </c>
      <c r="B40" s="8">
        <v>78.44202898550725</v>
      </c>
      <c r="C40" s="8">
        <v>149.12280701754386</v>
      </c>
      <c r="D40" s="8">
        <v>86.949924127465863</v>
      </c>
      <c r="E40" s="8">
        <v>76.470588235294116</v>
      </c>
      <c r="F40" s="8">
        <v>88.717948717948715</v>
      </c>
    </row>
    <row r="41" spans="1:6">
      <c r="A41" s="5">
        <v>2013</v>
      </c>
      <c r="B41" s="8">
        <v>80</v>
      </c>
      <c r="C41" s="8">
        <v>164.91228070175438</v>
      </c>
      <c r="D41" s="8">
        <v>86.144578313253021</v>
      </c>
      <c r="E41" s="8">
        <v>83.098591549295776</v>
      </c>
      <c r="F41" s="8">
        <v>88.265306122448976</v>
      </c>
    </row>
    <row r="42" spans="1:6">
      <c r="A42" s="5">
        <v>2014</v>
      </c>
      <c r="B42" s="8">
        <v>80.565371024734972</v>
      </c>
      <c r="C42" s="8">
        <v>162.29508196721312</v>
      </c>
      <c r="D42" s="8">
        <v>87.153284671532845</v>
      </c>
      <c r="E42" s="8">
        <v>79.729729729729726</v>
      </c>
      <c r="F42" s="8">
        <v>87.913907284768214</v>
      </c>
    </row>
    <row r="43" spans="1:6">
      <c r="A43" s="5">
        <v>2015</v>
      </c>
      <c r="B43" s="8">
        <v>83.75</v>
      </c>
      <c r="C43" s="8">
        <v>140</v>
      </c>
      <c r="D43" s="8">
        <v>89.867841409691636</v>
      </c>
      <c r="E43" s="8">
        <v>89.041095890410958</v>
      </c>
      <c r="F43" s="8">
        <v>90.697674418604649</v>
      </c>
    </row>
    <row r="44" spans="1:6">
      <c r="A44" s="5">
        <v>2016</v>
      </c>
      <c r="B44" s="8">
        <v>80.505415162454881</v>
      </c>
      <c r="C44" s="8">
        <v>133.33333333333331</v>
      </c>
      <c r="D44" s="8">
        <v>88.330871491875925</v>
      </c>
      <c r="E44" s="8">
        <v>84.285714285714292</v>
      </c>
      <c r="F44" s="8">
        <v>89.238410596026483</v>
      </c>
    </row>
    <row r="45" spans="1:6">
      <c r="A45" s="5">
        <v>2017</v>
      </c>
      <c r="B45" s="8">
        <v>80.952380952380949</v>
      </c>
      <c r="C45" s="8">
        <v>151.25</v>
      </c>
      <c r="D45" s="8">
        <v>87.428571428571431</v>
      </c>
      <c r="E45" s="8">
        <v>87.837837837837839</v>
      </c>
      <c r="F45" s="8">
        <v>89.049919484702087</v>
      </c>
    </row>
    <row r="46" spans="1:6">
      <c r="A46" s="5">
        <v>2018</v>
      </c>
      <c r="B46" s="8">
        <v>80.412371134020617</v>
      </c>
      <c r="C46" s="8">
        <v>143.42105263157893</v>
      </c>
      <c r="D46" s="8">
        <v>88.716502115655842</v>
      </c>
      <c r="E46" s="8">
        <v>81.818181818181827</v>
      </c>
      <c r="F46" s="8">
        <v>89.456869009584665</v>
      </c>
    </row>
    <row r="47" spans="1:6">
      <c r="A47" s="5">
        <v>2019</v>
      </c>
      <c r="B47" s="8">
        <v>80.617495711835332</v>
      </c>
      <c r="C47" s="8">
        <v>148.78048780487805</v>
      </c>
      <c r="D47" s="8">
        <v>89.466292134831463</v>
      </c>
      <c r="E47" s="8">
        <v>89.473684210526315</v>
      </c>
      <c r="F47" s="8">
        <v>89.666136724960253</v>
      </c>
    </row>
    <row r="49" spans="1:7">
      <c r="A49" s="39" t="s">
        <v>22</v>
      </c>
      <c r="B49" s="8">
        <f>B47-B4</f>
        <v>3.297908082969343</v>
      </c>
      <c r="C49" s="8">
        <f t="shared" ref="C49:F49" si="0">C47-C4</f>
        <v>-47.052845528455265</v>
      </c>
      <c r="D49" s="8">
        <f t="shared" si="0"/>
        <v>1.926356032595038</v>
      </c>
      <c r="E49" s="8">
        <f t="shared" si="0"/>
        <v>25.705568268497338</v>
      </c>
      <c r="F49" s="8">
        <f t="shared" si="0"/>
        <v>2.9014308426073114</v>
      </c>
    </row>
    <row r="50" spans="1:7">
      <c r="A50" s="39" t="s">
        <v>23</v>
      </c>
      <c r="B50" s="8">
        <f>B28-B4</f>
        <v>3.0725692338791077</v>
      </c>
      <c r="C50" s="8">
        <f t="shared" ref="C50:F50" si="1">C28-C4</f>
        <v>12.274774774774812</v>
      </c>
      <c r="D50" s="8">
        <f t="shared" si="1"/>
        <v>-0.33454889684921341</v>
      </c>
      <c r="E50" s="8">
        <f t="shared" si="1"/>
        <v>10.305958132045099</v>
      </c>
      <c r="F50" s="8">
        <f t="shared" si="1"/>
        <v>3.5705998375681531</v>
      </c>
    </row>
    <row r="51" spans="1:7">
      <c r="A51" s="39" t="s">
        <v>24</v>
      </c>
      <c r="B51" s="8">
        <f>B47-B28</f>
        <v>0.22533884909023527</v>
      </c>
      <c r="C51" s="8">
        <f t="shared" ref="C51:F51" si="2">C47-C28</f>
        <v>-59.327620303230077</v>
      </c>
      <c r="D51" s="8">
        <f t="shared" si="2"/>
        <v>2.2609049294442514</v>
      </c>
      <c r="E51" s="8">
        <f t="shared" si="2"/>
        <v>15.399610136452239</v>
      </c>
      <c r="F51" s="8">
        <f t="shared" si="2"/>
        <v>-0.6691689949608417</v>
      </c>
    </row>
    <row r="54" spans="1:7" ht="51">
      <c r="A54" s="32" t="s">
        <v>31</v>
      </c>
      <c r="B54" s="33">
        <v>1976</v>
      </c>
      <c r="C54" s="34" t="s">
        <v>32</v>
      </c>
      <c r="D54" s="33">
        <v>2000</v>
      </c>
      <c r="E54" s="34" t="s">
        <v>32</v>
      </c>
      <c r="F54" s="33">
        <v>2019</v>
      </c>
      <c r="G54" s="34" t="s">
        <v>32</v>
      </c>
    </row>
    <row r="55" spans="1:7" ht="17">
      <c r="A55" s="35" t="s">
        <v>15</v>
      </c>
      <c r="B55" s="36">
        <v>45000</v>
      </c>
      <c r="C55" s="37">
        <v>95.33898305084746</v>
      </c>
      <c r="D55" s="36">
        <v>41000</v>
      </c>
      <c r="E55" s="37">
        <v>89.519650655021834</v>
      </c>
      <c r="F55" s="36">
        <v>47000</v>
      </c>
      <c r="G55" s="37">
        <v>83.333333333333329</v>
      </c>
    </row>
    <row r="56" spans="1:7" ht="17">
      <c r="A56" s="35" t="s">
        <v>16</v>
      </c>
      <c r="B56" s="36">
        <v>4700</v>
      </c>
      <c r="C56" s="37">
        <v>9.9576271186440675</v>
      </c>
      <c r="D56" s="36">
        <v>7700</v>
      </c>
      <c r="E56" s="37">
        <v>16.812227074235807</v>
      </c>
      <c r="F56" s="36">
        <v>12200</v>
      </c>
      <c r="G56" s="37">
        <v>21.631205673758867</v>
      </c>
    </row>
    <row r="57" spans="1:7" ht="17">
      <c r="A57" s="35" t="s">
        <v>17</v>
      </c>
      <c r="B57" s="36">
        <v>54800</v>
      </c>
      <c r="C57" s="37">
        <v>116.10169491525424</v>
      </c>
      <c r="D57" s="36">
        <v>51800</v>
      </c>
      <c r="E57" s="37">
        <v>113.1004366812227</v>
      </c>
      <c r="F57" s="36">
        <v>63700</v>
      </c>
      <c r="G57" s="37">
        <v>112.94326241134752</v>
      </c>
    </row>
    <row r="58" spans="1:7" ht="17">
      <c r="A58" s="35" t="s">
        <v>18</v>
      </c>
      <c r="B58" s="36">
        <v>4400</v>
      </c>
      <c r="C58" s="37">
        <v>9.3220338983050848</v>
      </c>
      <c r="D58" s="36">
        <v>6000</v>
      </c>
      <c r="E58" s="37">
        <v>13.100436681222707</v>
      </c>
      <c r="F58" s="36">
        <v>6800</v>
      </c>
      <c r="G58" s="37">
        <v>12.056737588652481</v>
      </c>
    </row>
    <row r="59" spans="1:7" ht="17">
      <c r="A59" s="35" t="s">
        <v>19</v>
      </c>
      <c r="B59" s="36">
        <v>47200</v>
      </c>
      <c r="C59" s="37">
        <v>100</v>
      </c>
      <c r="D59" s="36">
        <v>45800</v>
      </c>
      <c r="E59" s="37">
        <v>100</v>
      </c>
      <c r="F59" s="36">
        <v>56400</v>
      </c>
      <c r="G59" s="37">
        <v>100</v>
      </c>
    </row>
    <row r="61" spans="1:7" ht="51">
      <c r="A61" s="32" t="s">
        <v>537</v>
      </c>
      <c r="B61" s="179">
        <v>1976</v>
      </c>
      <c r="C61" s="32" t="s">
        <v>14</v>
      </c>
      <c r="D61" s="179">
        <v>2000</v>
      </c>
      <c r="E61" s="32" t="s">
        <v>14</v>
      </c>
      <c r="F61" s="179">
        <v>2019</v>
      </c>
      <c r="G61" s="32" t="s">
        <v>14</v>
      </c>
    </row>
    <row r="62" spans="1:7" ht="17">
      <c r="A62" s="32" t="s">
        <v>15</v>
      </c>
      <c r="B62" s="180">
        <v>58200</v>
      </c>
      <c r="C62" s="181">
        <v>106.98529411764706</v>
      </c>
      <c r="D62" s="180">
        <v>51000</v>
      </c>
      <c r="E62" s="181">
        <v>100.59171597633136</v>
      </c>
      <c r="F62" s="180">
        <v>58300</v>
      </c>
      <c r="G62" s="181">
        <v>92.686804451510326</v>
      </c>
    </row>
    <row r="63" spans="1:7" ht="17">
      <c r="A63" s="32" t="s">
        <v>16</v>
      </c>
      <c r="B63" s="180">
        <v>2400</v>
      </c>
      <c r="C63" s="181">
        <v>4.4117647058823533</v>
      </c>
      <c r="D63" s="180">
        <v>3700</v>
      </c>
      <c r="E63" s="181">
        <v>7.2978303747534516</v>
      </c>
      <c r="F63" s="180">
        <v>8200</v>
      </c>
      <c r="G63" s="181">
        <v>13.036565977742448</v>
      </c>
    </row>
    <row r="64" spans="1:7" ht="17">
      <c r="A64" s="32" t="s">
        <v>17</v>
      </c>
      <c r="B64" s="180">
        <v>62600</v>
      </c>
      <c r="C64" s="181">
        <v>115.0735294117647</v>
      </c>
      <c r="D64" s="180">
        <v>59400</v>
      </c>
      <c r="E64" s="181">
        <v>117.15976331360946</v>
      </c>
      <c r="F64" s="180">
        <v>71200</v>
      </c>
      <c r="G64" s="181">
        <v>113.19554848966614</v>
      </c>
    </row>
    <row r="65" spans="1:7" ht="17">
      <c r="A65" s="32" t="s">
        <v>18</v>
      </c>
      <c r="B65" s="180">
        <v>6900</v>
      </c>
      <c r="C65" s="181">
        <v>12.683823529411764</v>
      </c>
      <c r="D65" s="180">
        <v>8100</v>
      </c>
      <c r="E65" s="181">
        <v>15.976331360946746</v>
      </c>
      <c r="F65" s="180">
        <v>7600</v>
      </c>
      <c r="G65" s="181">
        <v>12.082670906200319</v>
      </c>
    </row>
    <row r="66" spans="1:7" ht="17">
      <c r="A66" s="32" t="s">
        <v>19</v>
      </c>
      <c r="B66" s="180">
        <v>54400</v>
      </c>
      <c r="C66" s="181">
        <v>100</v>
      </c>
      <c r="D66" s="180">
        <v>50700</v>
      </c>
      <c r="E66" s="181">
        <v>100</v>
      </c>
      <c r="F66" s="180">
        <v>62900</v>
      </c>
      <c r="G66" s="181">
        <v>100</v>
      </c>
    </row>
    <row r="68" spans="1:7" ht="51">
      <c r="A68" s="32" t="s">
        <v>31</v>
      </c>
      <c r="B68" s="33">
        <v>1976</v>
      </c>
      <c r="C68" s="34" t="s">
        <v>32</v>
      </c>
      <c r="D68" s="33">
        <v>2000</v>
      </c>
      <c r="E68" s="34" t="s">
        <v>32</v>
      </c>
      <c r="F68" s="33">
        <v>2019</v>
      </c>
      <c r="G68" s="32" t="s">
        <v>14</v>
      </c>
    </row>
    <row r="69" spans="1:7" ht="17">
      <c r="A69" s="35" t="s">
        <v>15</v>
      </c>
      <c r="B69" s="182">
        <f>100*B55/B62</f>
        <v>77.319587628865975</v>
      </c>
      <c r="C69" s="182">
        <f t="shared" ref="C69:F69" si="3">100*C55/C62</f>
        <v>89.114100995981133</v>
      </c>
      <c r="D69" s="182">
        <f t="shared" si="3"/>
        <v>80.392156862745097</v>
      </c>
      <c r="E69" s="182">
        <f t="shared" si="3"/>
        <v>88.993064474698173</v>
      </c>
      <c r="F69" s="182">
        <f t="shared" si="3"/>
        <v>80.617495711835332</v>
      </c>
      <c r="G69" s="183">
        <f>100*G55/G62</f>
        <v>89.90851915380216</v>
      </c>
    </row>
    <row r="70" spans="1:7" ht="17">
      <c r="A70" s="35" t="s">
        <v>16</v>
      </c>
      <c r="B70" s="182">
        <f t="shared" ref="B70:F70" si="4">100*B56/B63</f>
        <v>195.83333333333334</v>
      </c>
      <c r="C70" s="182">
        <f t="shared" si="4"/>
        <v>225.70621468926549</v>
      </c>
      <c r="D70" s="182">
        <f t="shared" si="4"/>
        <v>208.1081081081081</v>
      </c>
      <c r="E70" s="182">
        <f t="shared" si="4"/>
        <v>230.37294936858254</v>
      </c>
      <c r="F70" s="182">
        <f t="shared" si="4"/>
        <v>148.78048780487805</v>
      </c>
      <c r="G70" s="183">
        <f t="shared" ref="G70" si="5">100*G56/G63</f>
        <v>165.92717522919912</v>
      </c>
    </row>
    <row r="71" spans="1:7" ht="17">
      <c r="A71" s="35" t="s">
        <v>17</v>
      </c>
      <c r="B71" s="182">
        <f t="shared" ref="B71:F71" si="6">100*B57/B64</f>
        <v>87.539936102236425</v>
      </c>
      <c r="C71" s="182">
        <f t="shared" si="6"/>
        <v>100.89348567715386</v>
      </c>
      <c r="D71" s="182">
        <f t="shared" si="6"/>
        <v>87.205387205387211</v>
      </c>
      <c r="E71" s="182">
        <f t="shared" si="6"/>
        <v>96.535221207710293</v>
      </c>
      <c r="F71" s="182">
        <f t="shared" si="6"/>
        <v>89.466292134831463</v>
      </c>
      <c r="G71" s="183">
        <f t="shared" ref="G71" si="7">100*G57/G64</f>
        <v>99.777123675193238</v>
      </c>
    </row>
    <row r="72" spans="1:7" ht="17">
      <c r="A72" s="35" t="s">
        <v>18</v>
      </c>
      <c r="B72" s="182">
        <f t="shared" ref="B72:F72" si="8">100*B58/B65</f>
        <v>63.768115942028984</v>
      </c>
      <c r="C72" s="182">
        <f t="shared" si="8"/>
        <v>73.495455661999515</v>
      </c>
      <c r="D72" s="182">
        <f t="shared" si="8"/>
        <v>74.074074074074076</v>
      </c>
      <c r="E72" s="182">
        <f t="shared" si="8"/>
        <v>81.99902959728287</v>
      </c>
      <c r="F72" s="182">
        <f t="shared" si="8"/>
        <v>89.473684210526315</v>
      </c>
      <c r="G72" s="183">
        <f t="shared" ref="G72" si="9">100*G58/G65</f>
        <v>99.785367674505395</v>
      </c>
    </row>
    <row r="73" spans="1:7" ht="17">
      <c r="A73" s="35" t="s">
        <v>19</v>
      </c>
      <c r="B73" s="182">
        <f t="shared" ref="B73:E73" si="10">100*B59/B66</f>
        <v>86.764705882352942</v>
      </c>
      <c r="C73" s="182">
        <f t="shared" si="10"/>
        <v>100</v>
      </c>
      <c r="D73" s="182">
        <f t="shared" si="10"/>
        <v>90.335305719921109</v>
      </c>
      <c r="E73" s="182">
        <f t="shared" si="10"/>
        <v>100</v>
      </c>
      <c r="F73" s="182">
        <f>100*F59/F66</f>
        <v>89.666136724960253</v>
      </c>
      <c r="G73" s="183">
        <f>100*G59/G66</f>
        <v>100</v>
      </c>
    </row>
    <row r="76" spans="1:7">
      <c r="A76" s="6" t="s">
        <v>607</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78C3-0988-5B48-A760-7764F3E439C8}">
  <sheetPr codeName="Sheet46"/>
  <dimension ref="A1:P49"/>
  <sheetViews>
    <sheetView zoomScale="77" zoomScaleNormal="77" workbookViewId="0"/>
  </sheetViews>
  <sheetFormatPr baseColWidth="10" defaultColWidth="10.83203125" defaultRowHeight="16"/>
  <cols>
    <col min="1" max="1" width="20.33203125" style="5" customWidth="1"/>
    <col min="2" max="14" width="14.83203125" style="5" customWidth="1"/>
    <col min="15" max="16384" width="10.83203125" style="5"/>
  </cols>
  <sheetData>
    <row r="1" spans="1:16">
      <c r="A1" s="13" t="s">
        <v>670</v>
      </c>
    </row>
    <row r="2" spans="1:16">
      <c r="A2" s="7"/>
    </row>
    <row r="3" spans="1:16" ht="136">
      <c r="A3" s="88"/>
      <c r="B3" s="142" t="s">
        <v>272</v>
      </c>
      <c r="C3" s="142" t="s">
        <v>273</v>
      </c>
      <c r="D3" s="142" t="s">
        <v>274</v>
      </c>
      <c r="E3" s="142" t="s">
        <v>275</v>
      </c>
      <c r="F3" s="142" t="s">
        <v>276</v>
      </c>
      <c r="G3" s="142" t="s">
        <v>277</v>
      </c>
      <c r="H3" s="142" t="s">
        <v>278</v>
      </c>
      <c r="I3" s="142" t="s">
        <v>279</v>
      </c>
      <c r="J3" s="142" t="s">
        <v>280</v>
      </c>
      <c r="K3" s="142" t="s">
        <v>281</v>
      </c>
      <c r="L3" s="142" t="s">
        <v>282</v>
      </c>
      <c r="M3" s="142" t="s">
        <v>283</v>
      </c>
      <c r="N3" s="142" t="s">
        <v>284</v>
      </c>
    </row>
    <row r="4" spans="1:16" ht="17">
      <c r="A4" s="88"/>
      <c r="B4" s="82" t="s">
        <v>109</v>
      </c>
      <c r="C4" s="82" t="s">
        <v>110</v>
      </c>
      <c r="D4" s="82" t="s">
        <v>111</v>
      </c>
      <c r="E4" s="82" t="s">
        <v>112</v>
      </c>
      <c r="F4" s="82" t="s">
        <v>113</v>
      </c>
      <c r="G4" s="82" t="s">
        <v>114</v>
      </c>
      <c r="H4" s="82" t="s">
        <v>129</v>
      </c>
      <c r="I4" s="82" t="s">
        <v>130</v>
      </c>
      <c r="J4" s="82" t="s">
        <v>243</v>
      </c>
      <c r="K4" s="82" t="s">
        <v>261</v>
      </c>
      <c r="L4" s="82" t="s">
        <v>244</v>
      </c>
      <c r="M4" s="82" t="s">
        <v>245</v>
      </c>
      <c r="N4" s="82" t="s">
        <v>246</v>
      </c>
      <c r="P4" s="27"/>
    </row>
    <row r="5" spans="1:16">
      <c r="A5" s="7">
        <v>1981</v>
      </c>
      <c r="B5" s="143">
        <v>58.944678292242934</v>
      </c>
      <c r="C5" s="143">
        <v>54.1040288634997</v>
      </c>
      <c r="D5" s="143">
        <v>4.8406494287432356</v>
      </c>
      <c r="E5" s="143">
        <v>25.090198436560431</v>
      </c>
      <c r="F5" s="143">
        <v>6.6596512327119664</v>
      </c>
      <c r="G5" s="143">
        <v>13.379434756464221</v>
      </c>
      <c r="H5" s="143">
        <v>5.051112447384245</v>
      </c>
      <c r="I5" s="143">
        <v>12.537582681900181</v>
      </c>
      <c r="J5" s="143">
        <v>9.8165965123271199</v>
      </c>
      <c r="K5" s="143">
        <v>2.7209861695730608</v>
      </c>
      <c r="L5" s="143">
        <v>4.3144918821407101</v>
      </c>
      <c r="M5" s="143">
        <v>0.15033072760072158</v>
      </c>
      <c r="N5" s="143">
        <v>-1.0523150932050511</v>
      </c>
      <c r="P5" s="27"/>
    </row>
    <row r="6" spans="1:16">
      <c r="A6" s="7">
        <v>1982</v>
      </c>
      <c r="B6" s="143">
        <v>58.062302730890629</v>
      </c>
      <c r="C6" s="143">
        <v>53.327844105942091</v>
      </c>
      <c r="D6" s="143">
        <v>4.7344586249485383</v>
      </c>
      <c r="E6" s="143">
        <v>23.548785508439686</v>
      </c>
      <c r="F6" s="143">
        <v>4.9265815836421023</v>
      </c>
      <c r="G6" s="143">
        <v>13.462330177027583</v>
      </c>
      <c r="H6" s="143">
        <v>5.1598737477700016</v>
      </c>
      <c r="I6" s="143">
        <v>13.146699602031013</v>
      </c>
      <c r="J6" s="143">
        <v>10.402085906408672</v>
      </c>
      <c r="K6" s="143">
        <v>2.7308906271442295</v>
      </c>
      <c r="L6" s="143">
        <v>2.758336764100453</v>
      </c>
      <c r="M6" s="143">
        <v>1.9761218608480857</v>
      </c>
      <c r="N6" s="143">
        <v>0.52147660216824487</v>
      </c>
      <c r="P6" s="27"/>
    </row>
    <row r="7" spans="1:16">
      <c r="A7" s="7">
        <v>1983</v>
      </c>
      <c r="B7" s="143">
        <v>54.487564580079301</v>
      </c>
      <c r="C7" s="143">
        <v>49.777724378229003</v>
      </c>
      <c r="D7" s="143">
        <v>4.7098402018502945</v>
      </c>
      <c r="E7" s="143">
        <v>23.825543674155952</v>
      </c>
      <c r="F7" s="143">
        <v>6.9325964195602543</v>
      </c>
      <c r="G7" s="143">
        <v>12.002883575633787</v>
      </c>
      <c r="H7" s="143">
        <v>4.890063678961913</v>
      </c>
      <c r="I7" s="143">
        <v>12.447434819175777</v>
      </c>
      <c r="J7" s="143">
        <v>9.9002763426649043</v>
      </c>
      <c r="K7" s="143">
        <v>2.5471584765108735</v>
      </c>
      <c r="L7" s="143">
        <v>3.0637991108975129</v>
      </c>
      <c r="M7" s="143">
        <v>6.6322239577075575</v>
      </c>
      <c r="N7" s="143">
        <v>-0.45656614201609996</v>
      </c>
      <c r="P7" s="27"/>
    </row>
    <row r="8" spans="1:16">
      <c r="A8" s="7">
        <v>1984</v>
      </c>
      <c r="B8" s="143">
        <v>53.049706967657912</v>
      </c>
      <c r="C8" s="143">
        <v>47.927067505969177</v>
      </c>
      <c r="D8" s="143">
        <v>5.1226394616887347</v>
      </c>
      <c r="E8" s="143">
        <v>25.135663121337096</v>
      </c>
      <c r="F8" s="143">
        <v>9.2902105491643159</v>
      </c>
      <c r="G8" s="143">
        <v>11.146082049055785</v>
      </c>
      <c r="H8" s="143">
        <v>4.699370523116996</v>
      </c>
      <c r="I8" s="143">
        <v>12.025179075320166</v>
      </c>
      <c r="J8" s="143">
        <v>9.4747123941827649</v>
      </c>
      <c r="K8" s="143">
        <v>2.5396136314304321</v>
      </c>
      <c r="L8" s="143">
        <v>2.724115476448882</v>
      </c>
      <c r="M8" s="143">
        <v>6.5226828738875628</v>
      </c>
      <c r="N8" s="143">
        <v>0.54265248534838284</v>
      </c>
      <c r="P8" s="27"/>
    </row>
    <row r="9" spans="1:16">
      <c r="A9" s="7">
        <v>1985</v>
      </c>
      <c r="B9" s="143">
        <v>52.674561045324623</v>
      </c>
      <c r="C9" s="143">
        <v>47.703144140465497</v>
      </c>
      <c r="D9" s="143">
        <v>4.9714169048591259</v>
      </c>
      <c r="E9" s="143">
        <v>24.448754593711719</v>
      </c>
      <c r="F9" s="143">
        <v>8.8913842384646795</v>
      </c>
      <c r="G9" s="143">
        <v>10.892200898325846</v>
      </c>
      <c r="H9" s="143">
        <v>4.6651694569211921</v>
      </c>
      <c r="I9" s="143">
        <v>12.586770110249081</v>
      </c>
      <c r="J9" s="143">
        <v>9.9632503062474473</v>
      </c>
      <c r="K9" s="143">
        <v>2.6235198040016332</v>
      </c>
      <c r="L9" s="143">
        <v>2.7460187831768068</v>
      </c>
      <c r="M9" s="143">
        <v>7.4111882400979994</v>
      </c>
      <c r="N9" s="143">
        <v>0.13270722743977134</v>
      </c>
      <c r="P9" s="27"/>
    </row>
    <row r="10" spans="1:16">
      <c r="A10" s="7">
        <v>1986</v>
      </c>
      <c r="B10" s="143">
        <v>50.241062494314562</v>
      </c>
      <c r="C10" s="143">
        <v>45.601746565996542</v>
      </c>
      <c r="D10" s="143">
        <v>4.6393159283180205</v>
      </c>
      <c r="E10" s="143">
        <v>25.807331938506323</v>
      </c>
      <c r="F10" s="143">
        <v>11.252615300645866</v>
      </c>
      <c r="G10" s="143">
        <v>10.170108250704994</v>
      </c>
      <c r="H10" s="143">
        <v>4.3846083871554624</v>
      </c>
      <c r="I10" s="143">
        <v>12.225961975802784</v>
      </c>
      <c r="J10" s="143">
        <v>9.7698535431638316</v>
      </c>
      <c r="K10" s="143">
        <v>2.4561084326389522</v>
      </c>
      <c r="L10" s="143">
        <v>2.7108159738015098</v>
      </c>
      <c r="M10" s="143">
        <v>8.7146365869189477</v>
      </c>
      <c r="N10" s="143">
        <v>0.30019103065587194</v>
      </c>
      <c r="P10" s="27"/>
    </row>
    <row r="11" spans="1:16">
      <c r="A11" s="7">
        <v>1987</v>
      </c>
      <c r="B11" s="143">
        <v>49.350434422838227</v>
      </c>
      <c r="C11" s="143">
        <v>44.716590815059995</v>
      </c>
      <c r="D11" s="143">
        <v>4.6338436077782372</v>
      </c>
      <c r="E11" s="143">
        <v>28.167149358709143</v>
      </c>
      <c r="F11" s="143">
        <v>14.621431526685974</v>
      </c>
      <c r="G11" s="143">
        <v>9.4166321886636322</v>
      </c>
      <c r="H11" s="143">
        <v>4.1290856433595362</v>
      </c>
      <c r="I11" s="143">
        <v>11.940422010757137</v>
      </c>
      <c r="J11" s="143">
        <v>9.5407529995862639</v>
      </c>
      <c r="K11" s="143">
        <v>2.4079437318990484</v>
      </c>
      <c r="L11" s="143">
        <v>2.7389325610260653</v>
      </c>
      <c r="M11" s="143">
        <v>8.4815887463798099</v>
      </c>
      <c r="N11" s="143">
        <v>-0.67852709971038483</v>
      </c>
      <c r="P11" s="27"/>
    </row>
    <row r="12" spans="1:16">
      <c r="A12" s="7">
        <v>1988</v>
      </c>
      <c r="B12" s="143">
        <v>50.341880341880341</v>
      </c>
      <c r="C12" s="143">
        <v>45.672105672105673</v>
      </c>
      <c r="D12" s="143">
        <v>4.6697746697746698</v>
      </c>
      <c r="E12" s="143">
        <v>26.324786324786324</v>
      </c>
      <c r="F12" s="143">
        <v>13.286713286713287</v>
      </c>
      <c r="G12" s="143">
        <v>9.0753690753690748</v>
      </c>
      <c r="H12" s="143">
        <v>3.9627039627039626</v>
      </c>
      <c r="I12" s="143">
        <v>12.152292152292151</v>
      </c>
      <c r="J12" s="143">
        <v>9.72027972027972</v>
      </c>
      <c r="K12" s="143">
        <v>2.4320124320124319</v>
      </c>
      <c r="L12" s="143">
        <v>2.6184926184926183</v>
      </c>
      <c r="M12" s="143">
        <v>9.0831390831390824</v>
      </c>
      <c r="N12" s="143">
        <v>-0.52059052059052058</v>
      </c>
      <c r="P12" s="27"/>
    </row>
    <row r="13" spans="1:16">
      <c r="A13" s="7">
        <v>1989</v>
      </c>
      <c r="B13" s="143">
        <v>52.128448531593001</v>
      </c>
      <c r="C13" s="143">
        <v>47.582319786413528</v>
      </c>
      <c r="D13" s="143">
        <v>4.5461287451794723</v>
      </c>
      <c r="E13" s="143">
        <v>23.672500741619697</v>
      </c>
      <c r="F13" s="143">
        <v>10.412340551765055</v>
      </c>
      <c r="G13" s="143">
        <v>9.299911005636309</v>
      </c>
      <c r="H13" s="143">
        <v>3.9602491842183327</v>
      </c>
      <c r="I13" s="143">
        <v>12.422129931770987</v>
      </c>
      <c r="J13" s="143">
        <v>9.937703945416791</v>
      </c>
      <c r="K13" s="143">
        <v>2.4844259863541978</v>
      </c>
      <c r="L13" s="143">
        <v>2.8923168199347375</v>
      </c>
      <c r="M13" s="143">
        <v>9.3073272026105016</v>
      </c>
      <c r="N13" s="143">
        <v>-0.41530703055473156</v>
      </c>
      <c r="P13" s="27"/>
    </row>
    <row r="14" spans="1:16">
      <c r="A14" s="7">
        <v>1990</v>
      </c>
      <c r="B14" s="143">
        <v>53.916316780078184</v>
      </c>
      <c r="C14" s="143">
        <v>48.928623135949039</v>
      </c>
      <c r="D14" s="143">
        <v>4.987693644129144</v>
      </c>
      <c r="E14" s="143">
        <v>22.079050238888083</v>
      </c>
      <c r="F14" s="143">
        <v>8.4045171565078913</v>
      </c>
      <c r="G14" s="143">
        <v>9.577240480671783</v>
      </c>
      <c r="H14" s="143">
        <v>4.0972926017084115</v>
      </c>
      <c r="I14" s="143">
        <v>12.451136528159838</v>
      </c>
      <c r="J14" s="143">
        <v>9.8812798610105688</v>
      </c>
      <c r="K14" s="143">
        <v>2.5626176342840599</v>
      </c>
      <c r="L14" s="143">
        <v>3.1345012306355873</v>
      </c>
      <c r="M14" s="143">
        <v>8.4479513536991462</v>
      </c>
      <c r="N14" s="143">
        <v>-2.8956131460836834E-2</v>
      </c>
      <c r="P14" s="27"/>
    </row>
    <row r="15" spans="1:16">
      <c r="A15" s="7">
        <v>1991</v>
      </c>
      <c r="B15" s="143">
        <v>55.303899082568805</v>
      </c>
      <c r="C15" s="143">
        <v>49.405103211009177</v>
      </c>
      <c r="D15" s="143">
        <v>5.8987958715596331</v>
      </c>
      <c r="E15" s="143">
        <v>19.323394495412845</v>
      </c>
      <c r="F15" s="143">
        <v>5.9131307339449544</v>
      </c>
      <c r="G15" s="143">
        <v>9.3104931192660558</v>
      </c>
      <c r="H15" s="143">
        <v>4.0997706422018352</v>
      </c>
      <c r="I15" s="143">
        <v>12.786697247706423</v>
      </c>
      <c r="J15" s="143">
        <v>10.134747706422019</v>
      </c>
      <c r="K15" s="143">
        <v>2.6519495412844036</v>
      </c>
      <c r="L15" s="143">
        <v>3.3901949541284404</v>
      </c>
      <c r="M15" s="143">
        <v>9.4753440366972477</v>
      </c>
      <c r="N15" s="143">
        <v>-0.27952981651376146</v>
      </c>
      <c r="P15" s="27"/>
    </row>
    <row r="16" spans="1:16">
      <c r="A16" s="7">
        <v>1992</v>
      </c>
      <c r="B16" s="143">
        <v>55.38066842324227</v>
      </c>
      <c r="C16" s="143">
        <v>48.661766745250311</v>
      </c>
      <c r="D16" s="143">
        <v>6.7189016779919566</v>
      </c>
      <c r="E16" s="143">
        <v>19.28303980030509</v>
      </c>
      <c r="F16" s="143">
        <v>5.9977811676605191</v>
      </c>
      <c r="G16" s="143">
        <v>9.2150880599084726</v>
      </c>
      <c r="H16" s="143">
        <v>4.0701705727360977</v>
      </c>
      <c r="I16" s="143">
        <v>12.931632228539732</v>
      </c>
      <c r="J16" s="143">
        <v>10.262099570101235</v>
      </c>
      <c r="K16" s="143">
        <v>2.676466509499376</v>
      </c>
      <c r="L16" s="143">
        <v>3.4253224240743307</v>
      </c>
      <c r="M16" s="143">
        <v>9.0625433365691297</v>
      </c>
      <c r="N16" s="143">
        <v>-8.3206212730550552E-2</v>
      </c>
      <c r="P16" s="27"/>
    </row>
    <row r="17" spans="1:16">
      <c r="A17" s="7">
        <v>1993</v>
      </c>
      <c r="B17" s="143">
        <v>53.776574673181038</v>
      </c>
      <c r="C17" s="143">
        <v>47.154364188564635</v>
      </c>
      <c r="D17" s="143">
        <v>6.6222104846164003</v>
      </c>
      <c r="E17" s="143">
        <v>21.46441304634887</v>
      </c>
      <c r="F17" s="143">
        <v>8.5303050310312951</v>
      </c>
      <c r="G17" s="143">
        <v>8.8802324045952723</v>
      </c>
      <c r="H17" s="143">
        <v>4.0538756107223026</v>
      </c>
      <c r="I17" s="143">
        <v>12.498349399181302</v>
      </c>
      <c r="J17" s="143">
        <v>9.8441832827149085</v>
      </c>
      <c r="K17" s="143">
        <v>2.6541661164663939</v>
      </c>
      <c r="L17" s="143">
        <v>3.492671332364981</v>
      </c>
      <c r="M17" s="143">
        <v>8.9594612438927772</v>
      </c>
      <c r="N17" s="143">
        <v>-0.19146969496896871</v>
      </c>
      <c r="P17" s="27"/>
    </row>
    <row r="18" spans="1:16">
      <c r="A18" s="7">
        <v>1994</v>
      </c>
      <c r="B18" s="143">
        <v>52.541729893778452</v>
      </c>
      <c r="C18" s="143">
        <v>45.985078401618615</v>
      </c>
      <c r="D18" s="143">
        <v>6.5566514921598378</v>
      </c>
      <c r="E18" s="143">
        <v>23.052604957005563</v>
      </c>
      <c r="F18" s="143">
        <v>10.274405665149215</v>
      </c>
      <c r="G18" s="143">
        <v>8.6621143146181083</v>
      </c>
      <c r="H18" s="143">
        <v>4.1160849772382395</v>
      </c>
      <c r="I18" s="143">
        <v>12.588517956499746</v>
      </c>
      <c r="J18" s="143">
        <v>9.9266565503287811</v>
      </c>
      <c r="K18" s="143">
        <v>2.6618614061709662</v>
      </c>
      <c r="L18" s="143">
        <v>3.5217501264542235</v>
      </c>
      <c r="M18" s="143">
        <v>8.6431461810824484</v>
      </c>
      <c r="N18" s="143">
        <v>-0.34774911482043502</v>
      </c>
      <c r="P18" s="27"/>
    </row>
    <row r="19" spans="1:16">
      <c r="A19" s="7">
        <v>1995</v>
      </c>
      <c r="B19" s="143">
        <v>50.601278817387225</v>
      </c>
      <c r="C19" s="143">
        <v>44.113333724408989</v>
      </c>
      <c r="D19" s="143">
        <v>6.4879450929782365</v>
      </c>
      <c r="E19" s="143">
        <v>25.635009092508945</v>
      </c>
      <c r="F19" s="143">
        <v>13.451047105062475</v>
      </c>
      <c r="G19" s="143">
        <v>8.2829823429342415</v>
      </c>
      <c r="H19" s="143">
        <v>3.9009796445122307</v>
      </c>
      <c r="I19" s="143">
        <v>12.049040886959583</v>
      </c>
      <c r="J19" s="143">
        <v>9.4972722473162428</v>
      </c>
      <c r="K19" s="143">
        <v>2.5517686396433392</v>
      </c>
      <c r="L19" s="143">
        <v>3.3202322989382296</v>
      </c>
      <c r="M19" s="143">
        <v>8.6349504311609078</v>
      </c>
      <c r="N19" s="143">
        <v>-0.24051152695488942</v>
      </c>
      <c r="P19" s="27"/>
    </row>
    <row r="20" spans="1:16">
      <c r="A20" s="7">
        <v>1996</v>
      </c>
      <c r="B20" s="143">
        <v>50.213675213675216</v>
      </c>
      <c r="C20" s="143">
        <v>43.855393855393856</v>
      </c>
      <c r="D20" s="143">
        <v>6.3582813582813582</v>
      </c>
      <c r="E20" s="143">
        <v>25.814275814275813</v>
      </c>
      <c r="F20" s="143">
        <v>13.322938322938324</v>
      </c>
      <c r="G20" s="143">
        <v>8.5008085008085015</v>
      </c>
      <c r="H20" s="143">
        <v>3.9905289905289907</v>
      </c>
      <c r="I20" s="143">
        <v>12.058212058212058</v>
      </c>
      <c r="J20" s="143">
        <v>9.4767844767844771</v>
      </c>
      <c r="K20" s="143">
        <v>2.5814275814275813</v>
      </c>
      <c r="L20" s="143">
        <v>3.2628782628782629</v>
      </c>
      <c r="M20" s="143">
        <v>8.5008085008085015</v>
      </c>
      <c r="N20" s="143">
        <v>0.14437514437514437</v>
      </c>
      <c r="P20" s="27"/>
    </row>
    <row r="21" spans="1:16">
      <c r="A21" s="7">
        <v>1997</v>
      </c>
      <c r="B21" s="143">
        <v>50.300635629616906</v>
      </c>
      <c r="C21" s="143">
        <v>44.442535646796081</v>
      </c>
      <c r="D21" s="143">
        <v>5.8580999828208213</v>
      </c>
      <c r="E21" s="143">
        <v>26.410124262726907</v>
      </c>
      <c r="F21" s="143">
        <v>13.680352745805417</v>
      </c>
      <c r="G21" s="143">
        <v>8.664032525911928</v>
      </c>
      <c r="H21" s="143">
        <v>4.0657389910095629</v>
      </c>
      <c r="I21" s="143">
        <v>12.283112867204947</v>
      </c>
      <c r="J21" s="143">
        <v>9.7062360419171956</v>
      </c>
      <c r="K21" s="143">
        <v>2.5768768252877514</v>
      </c>
      <c r="L21" s="143">
        <v>3.2869495504781536</v>
      </c>
      <c r="M21" s="143">
        <v>8.2001946973601321</v>
      </c>
      <c r="N21" s="143">
        <v>-0.48674340033213082</v>
      </c>
      <c r="P21" s="27"/>
    </row>
    <row r="22" spans="1:16">
      <c r="A22" s="7">
        <v>1998</v>
      </c>
      <c r="B22" s="143">
        <v>50.485436893203882</v>
      </c>
      <c r="C22" s="143">
        <v>44.715045801108005</v>
      </c>
      <c r="D22" s="143">
        <v>5.7703910920958803</v>
      </c>
      <c r="E22" s="143">
        <v>25.725412758488289</v>
      </c>
      <c r="F22" s="143">
        <v>12.736547638637486</v>
      </c>
      <c r="G22" s="143">
        <v>9.0176073720585812</v>
      </c>
      <c r="H22" s="143">
        <v>3.971257747792222</v>
      </c>
      <c r="I22" s="143">
        <v>12.275793977291427</v>
      </c>
      <c r="J22" s="143">
        <v>9.7526191651582472</v>
      </c>
      <c r="K22" s="143">
        <v>2.5286599747682517</v>
      </c>
      <c r="L22" s="143">
        <v>3.1868794909769074</v>
      </c>
      <c r="M22" s="143">
        <v>8.0851297240963191</v>
      </c>
      <c r="N22" s="143">
        <v>0.23586199330810159</v>
      </c>
      <c r="P22" s="27"/>
    </row>
    <row r="23" spans="1:16">
      <c r="A23" s="7">
        <v>1999</v>
      </c>
      <c r="B23" s="143">
        <v>49.843117408906885</v>
      </c>
      <c r="C23" s="143">
        <v>44.271255060728748</v>
      </c>
      <c r="D23" s="143">
        <v>5.5718623481781373</v>
      </c>
      <c r="E23" s="143">
        <v>27.353238866396762</v>
      </c>
      <c r="F23" s="143">
        <v>14.635627530364372</v>
      </c>
      <c r="G23" s="143">
        <v>8.9119433198380573</v>
      </c>
      <c r="H23" s="143">
        <v>3.8056680161943319</v>
      </c>
      <c r="I23" s="143">
        <v>11.700404858299596</v>
      </c>
      <c r="J23" s="143">
        <v>9.3117408906882595</v>
      </c>
      <c r="K23" s="143">
        <v>2.3836032388663968</v>
      </c>
      <c r="L23" s="143">
        <v>3.1882591093117409</v>
      </c>
      <c r="M23" s="143">
        <v>8.0819838056680169</v>
      </c>
      <c r="N23" s="143">
        <v>-0.16194331983805668</v>
      </c>
      <c r="P23" s="27"/>
    </row>
    <row r="24" spans="1:16">
      <c r="A24" s="7">
        <v>2000</v>
      </c>
      <c r="B24" s="143">
        <v>50.131623031637389</v>
      </c>
      <c r="C24" s="143">
        <v>44.392858852247166</v>
      </c>
      <c r="D24" s="143">
        <v>5.738764179390226</v>
      </c>
      <c r="E24" s="143">
        <v>27.348872828219978</v>
      </c>
      <c r="F24" s="143">
        <v>14.473747188053416</v>
      </c>
      <c r="G24" s="143">
        <v>9.0652371607715505</v>
      </c>
      <c r="H24" s="143">
        <v>3.8098884793950125</v>
      </c>
      <c r="I24" s="143">
        <v>11.20949600344613</v>
      </c>
      <c r="J24" s="143">
        <v>8.8594266022112667</v>
      </c>
      <c r="K24" s="143">
        <v>2.3500694012348635</v>
      </c>
      <c r="L24" s="143">
        <v>3.1541664672378307</v>
      </c>
      <c r="M24" s="143">
        <v>8.074474704446466</v>
      </c>
      <c r="N24" s="143">
        <v>8.1366965012205042E-2</v>
      </c>
      <c r="P24" s="27"/>
    </row>
    <row r="25" spans="1:16">
      <c r="A25" s="7">
        <v>2001</v>
      </c>
      <c r="B25" s="143">
        <v>49.028178182832697</v>
      </c>
      <c r="C25" s="143">
        <v>43.42974053752441</v>
      </c>
      <c r="D25" s="143">
        <v>5.5984376453082865</v>
      </c>
      <c r="E25" s="143">
        <v>27.759694968845903</v>
      </c>
      <c r="F25" s="143">
        <v>14.670324560587742</v>
      </c>
      <c r="G25" s="143">
        <v>9.3229796335906254</v>
      </c>
      <c r="H25" s="143">
        <v>3.7663907746675345</v>
      </c>
      <c r="I25" s="143">
        <v>11.392169627080815</v>
      </c>
      <c r="J25" s="143">
        <v>8.9835394773551567</v>
      </c>
      <c r="K25" s="143">
        <v>2.4086301497256581</v>
      </c>
      <c r="L25" s="143">
        <v>3.3060541244303914</v>
      </c>
      <c r="M25" s="143">
        <v>8.1419138844973489</v>
      </c>
      <c r="N25" s="143">
        <v>0.36733934715893241</v>
      </c>
      <c r="P25" s="27"/>
    </row>
    <row r="26" spans="1:16">
      <c r="A26" s="7">
        <v>2002</v>
      </c>
      <c r="B26" s="143">
        <v>49.721656483367276</v>
      </c>
      <c r="C26" s="143">
        <v>43.842498302783433</v>
      </c>
      <c r="D26" s="143">
        <v>5.8791581805838424</v>
      </c>
      <c r="E26" s="143">
        <v>26.539941163159085</v>
      </c>
      <c r="F26" s="143">
        <v>13.518895677755149</v>
      </c>
      <c r="G26" s="143">
        <v>9.2645394885720744</v>
      </c>
      <c r="H26" s="143">
        <v>3.7565059968318626</v>
      </c>
      <c r="I26" s="143">
        <v>11.21520706042091</v>
      </c>
      <c r="J26" s="143">
        <v>8.7395338311835253</v>
      </c>
      <c r="K26" s="143">
        <v>2.4756732292373842</v>
      </c>
      <c r="L26" s="143">
        <v>3.3446481104322245</v>
      </c>
      <c r="M26" s="143">
        <v>8.744059742023083</v>
      </c>
      <c r="N26" s="143">
        <v>0.43448744059742023</v>
      </c>
      <c r="P26" s="27"/>
    </row>
    <row r="27" spans="1:16">
      <c r="A27" s="7">
        <v>2003</v>
      </c>
      <c r="B27" s="143">
        <v>49.820958626342808</v>
      </c>
      <c r="C27" s="143">
        <v>43.793951421545366</v>
      </c>
      <c r="D27" s="143">
        <v>6.0270072047974459</v>
      </c>
      <c r="E27" s="143">
        <v>26.938176797963674</v>
      </c>
      <c r="F27" s="143">
        <v>14.426851891798611</v>
      </c>
      <c r="G27" s="143">
        <v>8.8140126838949051</v>
      </c>
      <c r="H27" s="143">
        <v>3.6973122222701584</v>
      </c>
      <c r="I27" s="143">
        <v>10.764053669269597</v>
      </c>
      <c r="J27" s="143">
        <v>8.35238793735709</v>
      </c>
      <c r="K27" s="143">
        <v>2.4159799818801502</v>
      </c>
      <c r="L27" s="143">
        <v>3.3349152249881358</v>
      </c>
      <c r="M27" s="143">
        <v>8.9736399326977008</v>
      </c>
      <c r="N27" s="143">
        <v>0.16825574873808188</v>
      </c>
      <c r="P27" s="27"/>
    </row>
    <row r="28" spans="1:16">
      <c r="A28" s="7">
        <v>2004</v>
      </c>
      <c r="B28" s="143">
        <v>49.383723777650808</v>
      </c>
      <c r="C28" s="143">
        <v>43.233205452616112</v>
      </c>
      <c r="D28" s="143">
        <v>6.1505183250346906</v>
      </c>
      <c r="E28" s="143">
        <v>28.038527467145538</v>
      </c>
      <c r="F28" s="143">
        <v>15.896661497020652</v>
      </c>
      <c r="G28" s="143">
        <v>8.562566321116643</v>
      </c>
      <c r="H28" s="143">
        <v>3.5792996490082443</v>
      </c>
      <c r="I28" s="143">
        <v>10.639947759366581</v>
      </c>
      <c r="J28" s="143">
        <v>8.2442249612276548</v>
      </c>
      <c r="K28" s="143">
        <v>2.3957227981389275</v>
      </c>
      <c r="L28" s="143">
        <v>3.3099338829483309</v>
      </c>
      <c r="M28" s="143">
        <v>8.5584850216308865</v>
      </c>
      <c r="N28" s="143">
        <v>6.9382091257856507E-2</v>
      </c>
      <c r="P28" s="27"/>
    </row>
    <row r="29" spans="1:16">
      <c r="A29" s="7">
        <v>2005</v>
      </c>
      <c r="B29" s="143">
        <v>48.711149241508402</v>
      </c>
      <c r="C29" s="143">
        <v>42.506726982022386</v>
      </c>
      <c r="D29" s="143">
        <v>6.2044222594860194</v>
      </c>
      <c r="E29" s="143">
        <v>29.204851226455563</v>
      </c>
      <c r="F29" s="143">
        <v>17.084584486994501</v>
      </c>
      <c r="G29" s="143">
        <v>8.5598408922512963</v>
      </c>
      <c r="H29" s="143">
        <v>3.560425847209765</v>
      </c>
      <c r="I29" s="143">
        <v>10.443395858518894</v>
      </c>
      <c r="J29" s="143">
        <v>7.9982841321218263</v>
      </c>
      <c r="K29" s="143">
        <v>2.4412120266739463</v>
      </c>
      <c r="L29" s="143">
        <v>3.3459423624380924</v>
      </c>
      <c r="M29" s="143">
        <v>8.2088679171703784</v>
      </c>
      <c r="N29" s="143">
        <v>8.5793393908669038E-2</v>
      </c>
      <c r="P29" s="27"/>
    </row>
    <row r="30" spans="1:16">
      <c r="A30" s="7">
        <v>2006</v>
      </c>
      <c r="B30" s="143">
        <v>48.630188115855482</v>
      </c>
      <c r="C30" s="143">
        <v>42.441773663780232</v>
      </c>
      <c r="D30" s="143">
        <v>6.1884144520752464</v>
      </c>
      <c r="E30" s="143">
        <v>29.990295610630039</v>
      </c>
      <c r="F30" s="143">
        <v>17.516422812779933</v>
      </c>
      <c r="G30" s="143">
        <v>8.816064496864735</v>
      </c>
      <c r="H30" s="143">
        <v>3.6578083009853688</v>
      </c>
      <c r="I30" s="143">
        <v>10.413556285458347</v>
      </c>
      <c r="J30" s="143">
        <v>7.9613317408181548</v>
      </c>
      <c r="K30" s="143">
        <v>2.4522245446401909</v>
      </c>
      <c r="L30" s="143">
        <v>3.3554792475365782</v>
      </c>
      <c r="M30" s="143">
        <v>7.7523141236189907</v>
      </c>
      <c r="N30" s="143">
        <v>-0.13810092564944759</v>
      </c>
      <c r="P30" s="27"/>
    </row>
    <row r="31" spans="1:16">
      <c r="A31" s="7">
        <v>2007</v>
      </c>
      <c r="B31" s="143">
        <v>48.885440180586905</v>
      </c>
      <c r="C31" s="143">
        <v>42.289785553047402</v>
      </c>
      <c r="D31" s="143">
        <v>6.5956546275395036</v>
      </c>
      <c r="E31" s="143">
        <v>28.964446952595935</v>
      </c>
      <c r="F31" s="143">
        <v>16.266930022573362</v>
      </c>
      <c r="G31" s="143">
        <v>8.9305869074492108</v>
      </c>
      <c r="H31" s="143">
        <v>3.7669300225733635</v>
      </c>
      <c r="I31" s="143">
        <v>10.232082392776524</v>
      </c>
      <c r="J31" s="143">
        <v>7.8301354401805865</v>
      </c>
      <c r="K31" s="143">
        <v>2.4019469525959369</v>
      </c>
      <c r="L31" s="143">
        <v>3.3366252821670428</v>
      </c>
      <c r="M31" s="143">
        <v>8.4967550790067712</v>
      </c>
      <c r="N31" s="143">
        <v>8.4650112866817159E-2</v>
      </c>
      <c r="P31" s="27"/>
    </row>
    <row r="32" spans="1:16">
      <c r="A32" s="7">
        <v>2008</v>
      </c>
      <c r="B32" s="143">
        <v>51.289785729144995</v>
      </c>
      <c r="C32" s="143">
        <v>44.254906039803068</v>
      </c>
      <c r="D32" s="143">
        <v>7.0348796893419321</v>
      </c>
      <c r="E32" s="143">
        <v>26.62090007627765</v>
      </c>
      <c r="F32" s="143">
        <v>12.814645308924485</v>
      </c>
      <c r="G32" s="143">
        <v>9.6144511476319252</v>
      </c>
      <c r="H32" s="143">
        <v>4.1918036197212398</v>
      </c>
      <c r="I32" s="143">
        <v>10.32868733097566</v>
      </c>
      <c r="J32" s="143">
        <v>7.8149920255183414</v>
      </c>
      <c r="K32" s="143">
        <v>2.5136953054573192</v>
      </c>
      <c r="L32" s="143">
        <v>3.3943554538520213</v>
      </c>
      <c r="M32" s="143">
        <v>8.3003952569169961</v>
      </c>
      <c r="N32" s="143">
        <v>6.5876152832674575E-2</v>
      </c>
      <c r="P32" s="27"/>
    </row>
    <row r="33" spans="1:16">
      <c r="A33" s="7">
        <v>2009</v>
      </c>
      <c r="B33" s="143">
        <v>52.337967766479906</v>
      </c>
      <c r="C33" s="143">
        <v>45.33444006363699</v>
      </c>
      <c r="D33" s="143">
        <v>7.0035277028429137</v>
      </c>
      <c r="E33" s="143">
        <v>25.299163035207858</v>
      </c>
      <c r="F33" s="143">
        <v>10.956630006225359</v>
      </c>
      <c r="G33" s="143">
        <v>10.133499342878881</v>
      </c>
      <c r="H33" s="143">
        <v>4.2090336861036173</v>
      </c>
      <c r="I33" s="143">
        <v>10.603859721934011</v>
      </c>
      <c r="J33" s="143">
        <v>7.8819948813723455</v>
      </c>
      <c r="K33" s="143">
        <v>2.7218648405616657</v>
      </c>
      <c r="L33" s="143">
        <v>3.6107076156879021</v>
      </c>
      <c r="M33" s="143">
        <v>8.0480044269212154</v>
      </c>
      <c r="N33" s="143">
        <v>0.10029743376910839</v>
      </c>
      <c r="P33" s="27"/>
    </row>
    <row r="34" spans="1:16">
      <c r="A34" s="7">
        <v>2010</v>
      </c>
      <c r="B34" s="143">
        <v>51.257061680266936</v>
      </c>
      <c r="C34" s="143">
        <v>44.329181671016549</v>
      </c>
      <c r="D34" s="143">
        <v>6.927880009250388</v>
      </c>
      <c r="E34" s="143">
        <v>25.90439063067825</v>
      </c>
      <c r="F34" s="143">
        <v>12.316231127556245</v>
      </c>
      <c r="G34" s="143">
        <v>9.5014701509795501</v>
      </c>
      <c r="H34" s="143">
        <v>4.0866893521424563</v>
      </c>
      <c r="I34" s="143">
        <v>10.756879976213288</v>
      </c>
      <c r="J34" s="143">
        <v>8.0247117512967066</v>
      </c>
      <c r="K34" s="143">
        <v>2.7321682249165815</v>
      </c>
      <c r="L34" s="143">
        <v>3.6737255938418842</v>
      </c>
      <c r="M34" s="143">
        <v>8.3088308170075003</v>
      </c>
      <c r="N34" s="143">
        <v>9.9111301992137177E-2</v>
      </c>
      <c r="P34" s="27"/>
    </row>
    <row r="35" spans="1:16">
      <c r="A35" s="7">
        <v>2011</v>
      </c>
      <c r="B35" s="143">
        <v>50.815880358670512</v>
      </c>
      <c r="C35" s="143">
        <v>43.978327682899781</v>
      </c>
      <c r="D35" s="143">
        <v>6.8375526757707297</v>
      </c>
      <c r="E35" s="143">
        <v>26.117676879693292</v>
      </c>
      <c r="F35" s="143">
        <v>12.578815626881278</v>
      </c>
      <c r="G35" s="143">
        <v>9.2836095180761067</v>
      </c>
      <c r="H35" s="143">
        <v>4.255251734735908</v>
      </c>
      <c r="I35" s="143">
        <v>10.97557111625107</v>
      </c>
      <c r="J35" s="143">
        <v>8.3013846202591814</v>
      </c>
      <c r="K35" s="143">
        <v>2.6773549634042015</v>
      </c>
      <c r="L35" s="143">
        <v>3.6405690567472515</v>
      </c>
      <c r="M35" s="143">
        <v>8.3996071100408738</v>
      </c>
      <c r="N35" s="143">
        <v>5.069547859700263E-2</v>
      </c>
      <c r="P35" s="27"/>
    </row>
    <row r="36" spans="1:16">
      <c r="A36" s="7">
        <v>2012</v>
      </c>
      <c r="B36" s="143">
        <v>50.951347611409879</v>
      </c>
      <c r="C36" s="143">
        <v>43.739975469383907</v>
      </c>
      <c r="D36" s="143">
        <v>7.2113721420259775</v>
      </c>
      <c r="E36" s="143">
        <v>25.571594804541309</v>
      </c>
      <c r="F36" s="143">
        <v>11.746391168978205</v>
      </c>
      <c r="G36" s="143">
        <v>9.3499386734597607</v>
      </c>
      <c r="H36" s="143">
        <v>4.4752649621033429</v>
      </c>
      <c r="I36" s="143">
        <v>11.205459634556719</v>
      </c>
      <c r="J36" s="143">
        <v>8.4724974054156057</v>
      </c>
      <c r="K36" s="143">
        <v>2.7329622291411138</v>
      </c>
      <c r="L36" s="143">
        <v>3.8022454948580053</v>
      </c>
      <c r="M36" s="143">
        <v>8.4095983897852005</v>
      </c>
      <c r="N36" s="143">
        <v>5.9754064848885118E-2</v>
      </c>
      <c r="P36" s="27"/>
    </row>
    <row r="37" spans="1:16">
      <c r="A37" s="7">
        <v>2013</v>
      </c>
      <c r="B37" s="143">
        <v>51.27151861026622</v>
      </c>
      <c r="C37" s="143">
        <v>43.783512589758864</v>
      </c>
      <c r="D37" s="143">
        <v>7.4880060205073535</v>
      </c>
      <c r="E37" s="143">
        <v>24.781286256310558</v>
      </c>
      <c r="F37" s="143">
        <v>10.887084130318899</v>
      </c>
      <c r="G37" s="143">
        <v>9.3192436737637578</v>
      </c>
      <c r="H37" s="143">
        <v>4.574958452227901</v>
      </c>
      <c r="I37" s="143">
        <v>11.551848483898279</v>
      </c>
      <c r="J37" s="143">
        <v>8.5196450409206363</v>
      </c>
      <c r="K37" s="143">
        <v>3.0322034429776425</v>
      </c>
      <c r="L37" s="143">
        <v>3.8506161612994263</v>
      </c>
      <c r="M37" s="143">
        <v>8.5102379981813048</v>
      </c>
      <c r="N37" s="143">
        <v>3.4492490044213099E-2</v>
      </c>
      <c r="P37" s="27"/>
    </row>
    <row r="38" spans="1:16">
      <c r="A38" s="7">
        <v>2014</v>
      </c>
      <c r="B38" s="143">
        <v>51.577228759780667</v>
      </c>
      <c r="C38" s="143">
        <v>44.008379027786333</v>
      </c>
      <c r="D38" s="143">
        <v>7.568849731994332</v>
      </c>
      <c r="E38" s="143">
        <v>24.154395909062906</v>
      </c>
      <c r="F38" s="143">
        <v>10.473784732918489</v>
      </c>
      <c r="G38" s="143">
        <v>9.1491590166964443</v>
      </c>
      <c r="H38" s="143">
        <v>4.5314521594479702</v>
      </c>
      <c r="I38" s="143">
        <v>11.684431027047008</v>
      </c>
      <c r="J38" s="143">
        <v>8.6131476803647349</v>
      </c>
      <c r="K38" s="143">
        <v>3.0712833466822747</v>
      </c>
      <c r="L38" s="143">
        <v>3.9369108496087732</v>
      </c>
      <c r="M38" s="143">
        <v>8.6655166040293263</v>
      </c>
      <c r="N38" s="143">
        <v>-1.8483149528679688E-2</v>
      </c>
      <c r="P38" s="27"/>
    </row>
    <row r="39" spans="1:16">
      <c r="A39" s="7">
        <v>2015</v>
      </c>
      <c r="B39" s="143">
        <v>50.895285923534509</v>
      </c>
      <c r="C39" s="143">
        <v>43.404178997399335</v>
      </c>
      <c r="D39" s="143">
        <v>7.491106926135175</v>
      </c>
      <c r="E39" s="143">
        <v>25.020177562550444</v>
      </c>
      <c r="F39" s="143">
        <v>11.227692583624787</v>
      </c>
      <c r="G39" s="143">
        <v>9.278689504678205</v>
      </c>
      <c r="H39" s="143">
        <v>4.513795474247452</v>
      </c>
      <c r="I39" s="143">
        <v>11.634233103159657</v>
      </c>
      <c r="J39" s="143">
        <v>8.609093354856066</v>
      </c>
      <c r="K39" s="143">
        <v>3.02513974830359</v>
      </c>
      <c r="L39" s="143">
        <v>3.9099632319971303</v>
      </c>
      <c r="M39" s="143">
        <v>8.5194152990763161</v>
      </c>
      <c r="N39" s="143">
        <v>2.092487968194183E-2</v>
      </c>
      <c r="P39" s="27"/>
    </row>
    <row r="40" spans="1:16">
      <c r="A40" s="7">
        <v>2016</v>
      </c>
      <c r="B40" s="143">
        <v>51.083600349548497</v>
      </c>
      <c r="C40" s="143">
        <v>43.480920477716282</v>
      </c>
      <c r="D40" s="143">
        <v>7.6026798718322164</v>
      </c>
      <c r="E40" s="143">
        <v>24.389746577337604</v>
      </c>
      <c r="F40" s="143">
        <v>10.914651907952228</v>
      </c>
      <c r="G40" s="143">
        <v>9.041654529565978</v>
      </c>
      <c r="H40" s="143">
        <v>4.4334401398193997</v>
      </c>
      <c r="I40" s="143">
        <v>11.648703757646373</v>
      </c>
      <c r="J40" s="143">
        <v>8.6629769880570926</v>
      </c>
      <c r="K40" s="143">
        <v>2.9857267695892804</v>
      </c>
      <c r="L40" s="143">
        <v>3.9149431983687735</v>
      </c>
      <c r="M40" s="143">
        <v>9.056219050393242</v>
      </c>
      <c r="N40" s="143">
        <v>-9.3212933294494607E-2</v>
      </c>
      <c r="P40" s="27"/>
    </row>
    <row r="41" spans="1:16">
      <c r="A41" s="7">
        <v>2017</v>
      </c>
      <c r="B41" s="143">
        <v>50.563804845372331</v>
      </c>
      <c r="C41" s="143">
        <v>43.170146254326227</v>
      </c>
      <c r="D41" s="143">
        <v>7.3936585910461092</v>
      </c>
      <c r="E41" s="143">
        <v>24.564586357039186</v>
      </c>
      <c r="F41" s="143">
        <v>11.683599419448477</v>
      </c>
      <c r="G41" s="143">
        <v>8.5742994306129283</v>
      </c>
      <c r="H41" s="143">
        <v>4.3066875069777826</v>
      </c>
      <c r="I41" s="143">
        <v>11.566372669420565</v>
      </c>
      <c r="J41" s="143">
        <v>8.5491794127498046</v>
      </c>
      <c r="K41" s="143">
        <v>3.0171932566707604</v>
      </c>
      <c r="L41" s="143">
        <v>3.8880205425923857</v>
      </c>
      <c r="M41" s="143">
        <v>9.4088422462878203</v>
      </c>
      <c r="N41" s="143">
        <v>8.3733392877079378E-3</v>
      </c>
      <c r="P41" s="27"/>
    </row>
    <row r="42" spans="1:16">
      <c r="A42" s="7">
        <v>2018</v>
      </c>
      <c r="B42" s="143">
        <v>51.168306158199705</v>
      </c>
      <c r="C42" s="143">
        <v>43.576337420832772</v>
      </c>
      <c r="D42" s="143">
        <v>7.5919687373669316</v>
      </c>
      <c r="E42" s="143">
        <v>24.150384045276915</v>
      </c>
      <c r="F42" s="143">
        <v>11.173696267349413</v>
      </c>
      <c r="G42" s="143">
        <v>8.6888559493329733</v>
      </c>
      <c r="H42" s="143">
        <v>4.2878318285945287</v>
      </c>
      <c r="I42" s="143">
        <v>11.540223689529713</v>
      </c>
      <c r="J42" s="143">
        <v>8.4975070745182588</v>
      </c>
      <c r="K42" s="143">
        <v>3.0427166150114542</v>
      </c>
      <c r="L42" s="143">
        <v>3.8242824417194448</v>
      </c>
      <c r="M42" s="143">
        <v>9.3949602479450203</v>
      </c>
      <c r="N42" s="143">
        <v>-7.8156582670799085E-2</v>
      </c>
      <c r="P42" s="27"/>
    </row>
    <row r="43" spans="1:16">
      <c r="A43" s="7">
        <v>2019</v>
      </c>
      <c r="B43" s="143">
        <v>51.490741709383826</v>
      </c>
      <c r="C43" s="143">
        <v>43.830421592216759</v>
      </c>
      <c r="D43" s="143">
        <v>7.6603201171670676</v>
      </c>
      <c r="E43" s="143">
        <v>24.068940265718172</v>
      </c>
      <c r="F43" s="143">
        <v>11.099487394078878</v>
      </c>
      <c r="G43" s="143">
        <v>8.6907626320744846</v>
      </c>
      <c r="H43" s="143">
        <v>4.2786902395648081</v>
      </c>
      <c r="I43" s="143">
        <v>11.290406946333299</v>
      </c>
      <c r="J43" s="143">
        <v>8.2513861282560939</v>
      </c>
      <c r="K43" s="143">
        <v>3.0390208180772049</v>
      </c>
      <c r="L43" s="143">
        <v>3.8026990270948846</v>
      </c>
      <c r="M43" s="143">
        <v>9.3445967151375662</v>
      </c>
      <c r="N43" s="143">
        <v>2.6153363322523274E-3</v>
      </c>
      <c r="P43" s="27"/>
    </row>
    <row r="45" spans="1:16">
      <c r="A45" s="5" t="s">
        <v>212</v>
      </c>
      <c r="B45" s="143">
        <f>B43-B5</f>
        <v>-7.4539365828591073</v>
      </c>
      <c r="C45" s="143">
        <f t="shared" ref="C45:N45" si="0">C43-C5</f>
        <v>-10.273607271282941</v>
      </c>
      <c r="D45" s="143">
        <f t="shared" si="0"/>
        <v>2.8196706884238321</v>
      </c>
      <c r="E45" s="143">
        <f t="shared" si="0"/>
        <v>-1.021258170842259</v>
      </c>
      <c r="F45" s="143">
        <f t="shared" si="0"/>
        <v>4.4398361613669115</v>
      </c>
      <c r="G45" s="143">
        <f t="shared" si="0"/>
        <v>-4.6886721243897362</v>
      </c>
      <c r="H45" s="143">
        <f t="shared" si="0"/>
        <v>-0.77242220781943693</v>
      </c>
      <c r="I45" s="143">
        <f t="shared" si="0"/>
        <v>-1.2471757355668824</v>
      </c>
      <c r="J45" s="143">
        <f t="shared" si="0"/>
        <v>-1.5652103840710261</v>
      </c>
      <c r="K45" s="143">
        <f t="shared" si="0"/>
        <v>0.31803464850414409</v>
      </c>
      <c r="L45" s="143">
        <f t="shared" si="0"/>
        <v>-0.5117928550458255</v>
      </c>
      <c r="M45" s="143">
        <f t="shared" si="0"/>
        <v>9.1942659875368449</v>
      </c>
      <c r="N45" s="143">
        <f t="shared" si="0"/>
        <v>1.0549304295373034</v>
      </c>
    </row>
    <row r="46" spans="1:16">
      <c r="A46" s="5" t="s">
        <v>213</v>
      </c>
      <c r="B46" s="143">
        <f>B24-B5</f>
        <v>-8.8130552606055446</v>
      </c>
      <c r="C46" s="143">
        <f t="shared" ref="C46:N46" si="1">C24-C5</f>
        <v>-9.7111700112525341</v>
      </c>
      <c r="D46" s="143">
        <f t="shared" si="1"/>
        <v>0.89811475064699042</v>
      </c>
      <c r="E46" s="143">
        <f t="shared" si="1"/>
        <v>2.2586743916595466</v>
      </c>
      <c r="F46" s="143">
        <f t="shared" si="1"/>
        <v>7.8140959553414495</v>
      </c>
      <c r="G46" s="143">
        <f t="shared" si="1"/>
        <v>-4.3141975956926704</v>
      </c>
      <c r="H46" s="143">
        <f t="shared" si="1"/>
        <v>-1.2412239679892325</v>
      </c>
      <c r="I46" s="143">
        <f t="shared" si="1"/>
        <v>-1.328086678454051</v>
      </c>
      <c r="J46" s="143">
        <f t="shared" si="1"/>
        <v>-0.95716991011585328</v>
      </c>
      <c r="K46" s="143">
        <f t="shared" si="1"/>
        <v>-0.37091676833819731</v>
      </c>
      <c r="L46" s="143">
        <f t="shared" si="1"/>
        <v>-1.1603254149028794</v>
      </c>
      <c r="M46" s="143">
        <f t="shared" si="1"/>
        <v>7.9241439768457447</v>
      </c>
      <c r="N46" s="143">
        <f t="shared" si="1"/>
        <v>1.1336820582172562</v>
      </c>
    </row>
    <row r="47" spans="1:16">
      <c r="A47" s="5" t="s">
        <v>24</v>
      </c>
      <c r="B47" s="143">
        <f>B43-B24</f>
        <v>1.3591186777464372</v>
      </c>
      <c r="C47" s="143">
        <f t="shared" ref="C47:N47" si="2">C43-C24</f>
        <v>-0.56243726003040706</v>
      </c>
      <c r="D47" s="143">
        <f t="shared" si="2"/>
        <v>1.9215559377768416</v>
      </c>
      <c r="E47" s="143">
        <f t="shared" si="2"/>
        <v>-3.2799325625018056</v>
      </c>
      <c r="F47" s="143">
        <f t="shared" si="2"/>
        <v>-3.374259793974538</v>
      </c>
      <c r="G47" s="143">
        <f t="shared" si="2"/>
        <v>-0.37447452869706588</v>
      </c>
      <c r="H47" s="143">
        <f t="shared" si="2"/>
        <v>0.46880176016979558</v>
      </c>
      <c r="I47" s="143">
        <f t="shared" si="2"/>
        <v>8.0910942887168602E-2</v>
      </c>
      <c r="J47" s="143">
        <f t="shared" si="2"/>
        <v>-0.6080404739551728</v>
      </c>
      <c r="K47" s="143">
        <f t="shared" si="2"/>
        <v>0.6889514168423414</v>
      </c>
      <c r="L47" s="143">
        <f t="shared" si="2"/>
        <v>0.64853255985705394</v>
      </c>
      <c r="M47" s="143">
        <f t="shared" si="2"/>
        <v>1.2701220106911002</v>
      </c>
      <c r="N47" s="143">
        <f t="shared" si="2"/>
        <v>-7.8751628679952709E-2</v>
      </c>
    </row>
    <row r="49" spans="1:1">
      <c r="A49" s="6" t="s">
        <v>668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C2C7F-8E2B-234B-8EE2-C6E64921AAE1}">
  <sheetPr codeName="Sheet47"/>
  <dimension ref="A1:I74"/>
  <sheetViews>
    <sheetView zoomScale="75" zoomScaleNormal="48" workbookViewId="0"/>
  </sheetViews>
  <sheetFormatPr baseColWidth="10" defaultColWidth="11" defaultRowHeight="16"/>
  <cols>
    <col min="1" max="1" width="21" style="5" customWidth="1"/>
    <col min="2" max="9" width="16.83203125" style="5" customWidth="1"/>
    <col min="10" max="16384" width="11" style="5"/>
  </cols>
  <sheetData>
    <row r="1" spans="1:9">
      <c r="A1" s="3" t="s">
        <v>671</v>
      </c>
    </row>
    <row r="2" spans="1:9" ht="118" customHeight="1">
      <c r="B2" s="85" t="s">
        <v>291</v>
      </c>
      <c r="C2" s="85" t="s">
        <v>292</v>
      </c>
      <c r="D2" s="85" t="s">
        <v>293</v>
      </c>
      <c r="E2" s="85" t="s">
        <v>294</v>
      </c>
      <c r="F2" s="85" t="s">
        <v>295</v>
      </c>
      <c r="G2" s="85" t="s">
        <v>296</v>
      </c>
      <c r="H2" s="85" t="s">
        <v>297</v>
      </c>
      <c r="I2" s="85" t="s">
        <v>298</v>
      </c>
    </row>
    <row r="3" spans="1:9">
      <c r="B3" s="135" t="s">
        <v>109</v>
      </c>
      <c r="C3" s="135" t="s">
        <v>110</v>
      </c>
      <c r="D3" s="135" t="s">
        <v>111</v>
      </c>
      <c r="E3" s="135" t="s">
        <v>112</v>
      </c>
      <c r="F3" s="135" t="s">
        <v>113</v>
      </c>
      <c r="G3" s="135" t="s">
        <v>114</v>
      </c>
      <c r="H3" s="135" t="s">
        <v>129</v>
      </c>
      <c r="I3" s="135" t="s">
        <v>130</v>
      </c>
    </row>
    <row r="4" spans="1:9">
      <c r="A4" s="5">
        <v>1979</v>
      </c>
      <c r="B4" s="135" t="s">
        <v>87</v>
      </c>
      <c r="C4" s="135" t="s">
        <v>87</v>
      </c>
      <c r="D4" s="135" t="s">
        <v>87</v>
      </c>
      <c r="E4" s="135" t="s">
        <v>87</v>
      </c>
      <c r="F4" s="135" t="s">
        <v>87</v>
      </c>
      <c r="G4" s="135" t="s">
        <v>87</v>
      </c>
      <c r="H4" s="135" t="s">
        <v>87</v>
      </c>
      <c r="I4" s="143">
        <v>7.9426724137931037</v>
      </c>
    </row>
    <row r="5" spans="1:9">
      <c r="A5" s="5">
        <v>1980</v>
      </c>
      <c r="B5" s="135" t="s">
        <v>87</v>
      </c>
      <c r="C5" s="135" t="s">
        <v>87</v>
      </c>
      <c r="D5" s="135" t="s">
        <v>87</v>
      </c>
      <c r="E5" s="135" t="s">
        <v>87</v>
      </c>
      <c r="F5" s="135" t="s">
        <v>87</v>
      </c>
      <c r="G5" s="135" t="s">
        <v>87</v>
      </c>
      <c r="H5" s="135" t="s">
        <v>87</v>
      </c>
      <c r="I5" s="143">
        <v>11.477870563674321</v>
      </c>
    </row>
    <row r="6" spans="1:9">
      <c r="A6" s="5">
        <v>1981</v>
      </c>
      <c r="B6" s="135" t="s">
        <v>87</v>
      </c>
      <c r="C6" s="135" t="s">
        <v>87</v>
      </c>
      <c r="D6" s="135" t="s">
        <v>87</v>
      </c>
      <c r="E6" s="135" t="s">
        <v>87</v>
      </c>
      <c r="F6" s="135" t="s">
        <v>87</v>
      </c>
      <c r="G6" s="135" t="s">
        <v>87</v>
      </c>
      <c r="H6" s="135" t="s">
        <v>87</v>
      </c>
      <c r="I6" s="135" t="s">
        <v>87</v>
      </c>
    </row>
    <row r="7" spans="1:9">
      <c r="A7" s="5">
        <v>1982</v>
      </c>
      <c r="B7" s="135" t="s">
        <v>87</v>
      </c>
      <c r="C7" s="135" t="s">
        <v>87</v>
      </c>
      <c r="D7" s="135" t="s">
        <v>87</v>
      </c>
      <c r="E7" s="135" t="s">
        <v>87</v>
      </c>
      <c r="F7" s="135" t="s">
        <v>87</v>
      </c>
      <c r="G7" s="135" t="s">
        <v>87</v>
      </c>
      <c r="H7" s="135" t="s">
        <v>87</v>
      </c>
      <c r="I7" s="135" t="s">
        <v>87</v>
      </c>
    </row>
    <row r="8" spans="1:9">
      <c r="A8" s="5">
        <v>1983</v>
      </c>
      <c r="B8" s="135" t="s">
        <v>87</v>
      </c>
      <c r="C8" s="135" t="s">
        <v>87</v>
      </c>
      <c r="D8" s="135" t="s">
        <v>87</v>
      </c>
      <c r="E8" s="135" t="s">
        <v>87</v>
      </c>
      <c r="F8" s="135" t="s">
        <v>87</v>
      </c>
      <c r="G8" s="135" t="s">
        <v>87</v>
      </c>
      <c r="H8" s="135" t="s">
        <v>87</v>
      </c>
      <c r="I8" s="135" t="s">
        <v>87</v>
      </c>
    </row>
    <row r="9" spans="1:9">
      <c r="A9" s="5">
        <v>1984</v>
      </c>
      <c r="B9" s="135" t="s">
        <v>87</v>
      </c>
      <c r="C9" s="135" t="s">
        <v>87</v>
      </c>
      <c r="D9" s="135" t="s">
        <v>87</v>
      </c>
      <c r="E9" s="135" t="s">
        <v>87</v>
      </c>
      <c r="F9" s="135" t="s">
        <v>87</v>
      </c>
      <c r="G9" s="135" t="s">
        <v>87</v>
      </c>
      <c r="H9" s="135" t="s">
        <v>87</v>
      </c>
      <c r="I9" s="143">
        <v>2.484083728278041</v>
      </c>
    </row>
    <row r="10" spans="1:9">
      <c r="A10" s="5">
        <v>1985</v>
      </c>
      <c r="B10" s="135" t="s">
        <v>87</v>
      </c>
      <c r="C10" s="135" t="s">
        <v>87</v>
      </c>
      <c r="D10" s="135" t="s">
        <v>87</v>
      </c>
      <c r="E10" s="135" t="s">
        <v>87</v>
      </c>
      <c r="F10" s="135" t="s">
        <v>87</v>
      </c>
      <c r="G10" s="135" t="s">
        <v>87</v>
      </c>
      <c r="H10" s="135" t="s">
        <v>87</v>
      </c>
      <c r="I10" s="143">
        <v>2.5163659793814435</v>
      </c>
    </row>
    <row r="11" spans="1:9">
      <c r="A11" s="5">
        <v>1986</v>
      </c>
      <c r="B11" s="135" t="s">
        <v>87</v>
      </c>
      <c r="C11" s="135" t="s">
        <v>87</v>
      </c>
      <c r="D11" s="135" t="s">
        <v>87</v>
      </c>
      <c r="E11" s="135" t="s">
        <v>87</v>
      </c>
      <c r="F11" s="135" t="s">
        <v>87</v>
      </c>
      <c r="G11" s="135" t="s">
        <v>87</v>
      </c>
      <c r="H11" s="135" t="s">
        <v>87</v>
      </c>
      <c r="I11" s="143">
        <v>3.2170643528561098</v>
      </c>
    </row>
    <row r="12" spans="1:9">
      <c r="A12" s="5">
        <v>1987</v>
      </c>
      <c r="B12" s="135" t="s">
        <v>87</v>
      </c>
      <c r="C12" s="135" t="s">
        <v>87</v>
      </c>
      <c r="D12" s="135" t="s">
        <v>87</v>
      </c>
      <c r="E12" s="135" t="s">
        <v>87</v>
      </c>
      <c r="F12" s="135" t="s">
        <v>87</v>
      </c>
      <c r="G12" s="135" t="s">
        <v>87</v>
      </c>
      <c r="H12" s="135" t="s">
        <v>87</v>
      </c>
      <c r="I12" s="143">
        <v>3.6617934224049331</v>
      </c>
    </row>
    <row r="13" spans="1:9">
      <c r="A13" s="5">
        <v>1988</v>
      </c>
      <c r="B13" s="135" t="s">
        <v>87</v>
      </c>
      <c r="C13" s="135" t="s">
        <v>87</v>
      </c>
      <c r="D13" s="135" t="s">
        <v>87</v>
      </c>
      <c r="E13" s="135" t="s">
        <v>87</v>
      </c>
      <c r="F13" s="135" t="s">
        <v>87</v>
      </c>
      <c r="G13" s="135" t="s">
        <v>87</v>
      </c>
      <c r="H13" s="135" t="s">
        <v>87</v>
      </c>
      <c r="I13" s="143">
        <v>4.0911055095426718</v>
      </c>
    </row>
    <row r="14" spans="1:9">
      <c r="A14" s="5">
        <v>1989</v>
      </c>
      <c r="B14" s="135" t="s">
        <v>87</v>
      </c>
      <c r="C14" s="135" t="s">
        <v>87</v>
      </c>
      <c r="D14" s="135" t="s">
        <v>87</v>
      </c>
      <c r="E14" s="135" t="s">
        <v>87</v>
      </c>
      <c r="F14" s="135" t="s">
        <v>87</v>
      </c>
      <c r="G14" s="135" t="s">
        <v>87</v>
      </c>
      <c r="H14" s="135" t="s">
        <v>87</v>
      </c>
      <c r="I14" s="135" t="s">
        <v>87</v>
      </c>
    </row>
    <row r="15" spans="1:9">
      <c r="A15" s="5">
        <v>1990</v>
      </c>
      <c r="B15" s="135" t="s">
        <v>87</v>
      </c>
      <c r="C15" s="135" t="s">
        <v>87</v>
      </c>
      <c r="D15" s="135" t="s">
        <v>87</v>
      </c>
      <c r="E15" s="135" t="s">
        <v>87</v>
      </c>
      <c r="F15" s="135" t="s">
        <v>87</v>
      </c>
      <c r="G15" s="135" t="s">
        <v>87</v>
      </c>
      <c r="H15" s="135" t="s">
        <v>87</v>
      </c>
      <c r="I15" s="143">
        <v>6.208136528184796</v>
      </c>
    </row>
    <row r="16" spans="1:9">
      <c r="A16" s="5">
        <v>1991</v>
      </c>
      <c r="B16" s="135" t="s">
        <v>87</v>
      </c>
      <c r="C16" s="135" t="s">
        <v>87</v>
      </c>
      <c r="D16" s="135" t="s">
        <v>87</v>
      </c>
      <c r="E16" s="135" t="s">
        <v>87</v>
      </c>
      <c r="F16" s="135" t="s">
        <v>87</v>
      </c>
      <c r="G16" s="135" t="s">
        <v>87</v>
      </c>
      <c r="H16" s="135" t="s">
        <v>87</v>
      </c>
      <c r="I16" s="135" t="s">
        <v>87</v>
      </c>
    </row>
    <row r="17" spans="1:9">
      <c r="A17" s="5">
        <v>1992</v>
      </c>
      <c r="B17" s="135" t="s">
        <v>87</v>
      </c>
      <c r="C17" s="135" t="s">
        <v>87</v>
      </c>
      <c r="D17" s="135" t="s">
        <v>87</v>
      </c>
      <c r="E17" s="135" t="s">
        <v>87</v>
      </c>
      <c r="F17" s="135" t="s">
        <v>87</v>
      </c>
      <c r="G17" s="135" t="s">
        <v>87</v>
      </c>
      <c r="H17" s="135" t="s">
        <v>87</v>
      </c>
      <c r="I17" s="135" t="s">
        <v>87</v>
      </c>
    </row>
    <row r="18" spans="1:9">
      <c r="A18" s="5">
        <v>1993</v>
      </c>
      <c r="B18" s="135" t="s">
        <v>87</v>
      </c>
      <c r="C18" s="135" t="s">
        <v>87</v>
      </c>
      <c r="D18" s="135" t="s">
        <v>87</v>
      </c>
      <c r="E18" s="135" t="s">
        <v>87</v>
      </c>
      <c r="F18" s="135" t="s">
        <v>87</v>
      </c>
      <c r="G18" s="135" t="s">
        <v>87</v>
      </c>
      <c r="H18" s="135" t="s">
        <v>87</v>
      </c>
      <c r="I18" s="135" t="s">
        <v>87</v>
      </c>
    </row>
    <row r="19" spans="1:9">
      <c r="A19" s="5">
        <v>1994</v>
      </c>
      <c r="B19" s="135" t="s">
        <v>87</v>
      </c>
      <c r="C19" s="135" t="s">
        <v>87</v>
      </c>
      <c r="D19" s="135" t="s">
        <v>87</v>
      </c>
      <c r="E19" s="135" t="s">
        <v>87</v>
      </c>
      <c r="F19" s="135" t="s">
        <v>87</v>
      </c>
      <c r="G19" s="135" t="s">
        <v>87</v>
      </c>
      <c r="H19" s="135" t="s">
        <v>87</v>
      </c>
      <c r="I19" s="143">
        <v>1.0161508434406803</v>
      </c>
    </row>
    <row r="20" spans="1:9">
      <c r="A20" s="5">
        <v>1995</v>
      </c>
      <c r="B20" s="135" t="s">
        <v>87</v>
      </c>
      <c r="C20" s="135" t="s">
        <v>87</v>
      </c>
      <c r="D20" s="135" t="s">
        <v>87</v>
      </c>
      <c r="E20" s="135" t="s">
        <v>87</v>
      </c>
      <c r="F20" s="135" t="s">
        <v>87</v>
      </c>
      <c r="G20" s="135" t="s">
        <v>87</v>
      </c>
      <c r="H20" s="135" t="s">
        <v>87</v>
      </c>
      <c r="I20" s="135" t="s">
        <v>87</v>
      </c>
    </row>
    <row r="21" spans="1:9">
      <c r="A21" s="5">
        <v>1996</v>
      </c>
      <c r="B21" s="135" t="s">
        <v>87</v>
      </c>
      <c r="C21" s="135" t="s">
        <v>87</v>
      </c>
      <c r="D21" s="135" t="s">
        <v>87</v>
      </c>
      <c r="E21" s="135" t="s">
        <v>87</v>
      </c>
      <c r="F21" s="135" t="s">
        <v>87</v>
      </c>
      <c r="G21" s="135" t="s">
        <v>87</v>
      </c>
      <c r="H21" s="135" t="s">
        <v>87</v>
      </c>
      <c r="I21" s="135" t="s">
        <v>87</v>
      </c>
    </row>
    <row r="22" spans="1:9">
      <c r="A22" s="5">
        <v>1997</v>
      </c>
      <c r="B22" s="20">
        <v>9400.223</v>
      </c>
      <c r="C22" s="143">
        <v>585.81560000000002</v>
      </c>
      <c r="D22" s="143">
        <f t="shared" ref="D22:D44" si="0">B22/C22</f>
        <v>16.046385586181042</v>
      </c>
      <c r="E22" s="135" t="s">
        <v>87</v>
      </c>
      <c r="F22" s="135" t="s">
        <v>87</v>
      </c>
      <c r="G22" s="143">
        <v>12.92</v>
      </c>
      <c r="H22" s="143">
        <v>11.54</v>
      </c>
      <c r="I22" s="135" t="s">
        <v>87</v>
      </c>
    </row>
    <row r="23" spans="1:9">
      <c r="A23" s="5">
        <v>1998</v>
      </c>
      <c r="B23" s="20">
        <v>9796.6219999999994</v>
      </c>
      <c r="C23" s="143">
        <v>596.13530000000003</v>
      </c>
      <c r="D23" s="143">
        <f t="shared" si="0"/>
        <v>16.433554597421086</v>
      </c>
      <c r="E23" s="135" t="s">
        <v>87</v>
      </c>
      <c r="F23" s="135" t="s">
        <v>87</v>
      </c>
      <c r="G23" s="143">
        <v>13.14</v>
      </c>
      <c r="H23" s="143">
        <v>12</v>
      </c>
      <c r="I23" s="143">
        <v>1.5993208150219735</v>
      </c>
    </row>
    <row r="24" spans="1:9">
      <c r="A24" s="5">
        <v>1999</v>
      </c>
      <c r="B24" s="20">
        <v>10420.218999999999</v>
      </c>
      <c r="C24" s="143">
        <v>611.95240000000001</v>
      </c>
      <c r="D24" s="143">
        <f t="shared" si="0"/>
        <v>17.027826020455183</v>
      </c>
      <c r="E24" s="135" t="s">
        <v>87</v>
      </c>
      <c r="F24" s="135" t="s">
        <v>87</v>
      </c>
      <c r="G24" s="143">
        <v>13.35</v>
      </c>
      <c r="H24" s="143">
        <v>12</v>
      </c>
      <c r="I24" s="135" t="s">
        <v>87</v>
      </c>
    </row>
    <row r="25" spans="1:9">
      <c r="A25" s="5">
        <v>2000</v>
      </c>
      <c r="B25" s="20">
        <v>11070.751</v>
      </c>
      <c r="C25" s="143">
        <v>623.2761999999999</v>
      </c>
      <c r="D25" s="143">
        <f t="shared" si="0"/>
        <v>17.762191144150862</v>
      </c>
      <c r="E25" s="135" t="s">
        <v>87</v>
      </c>
      <c r="F25" s="135" t="s">
        <v>87</v>
      </c>
      <c r="G25" s="143">
        <v>14.01</v>
      </c>
      <c r="H25" s="143">
        <v>12.39</v>
      </c>
      <c r="I25" s="143">
        <v>2.7339731285988482</v>
      </c>
    </row>
    <row r="26" spans="1:9">
      <c r="A26" s="5">
        <v>2001</v>
      </c>
      <c r="B26" s="20">
        <v>11100.554</v>
      </c>
      <c r="C26" s="143">
        <v>608.94600000000003</v>
      </c>
      <c r="D26" s="143">
        <f t="shared" si="0"/>
        <v>18.229127049032261</v>
      </c>
      <c r="E26" s="143">
        <v>14.58</v>
      </c>
      <c r="F26" s="143">
        <v>21.67</v>
      </c>
      <c r="G26" s="143">
        <v>14.22</v>
      </c>
      <c r="H26" s="143">
        <v>12.5</v>
      </c>
      <c r="I26" s="143">
        <v>3.4602713178294575</v>
      </c>
    </row>
    <row r="27" spans="1:9">
      <c r="A27" s="5">
        <v>2002</v>
      </c>
      <c r="B27" s="20">
        <v>11567.169</v>
      </c>
      <c r="C27" s="143">
        <v>627.00840000000005</v>
      </c>
      <c r="D27" s="143">
        <f t="shared" si="0"/>
        <v>18.448188253937268</v>
      </c>
      <c r="E27" s="143">
        <v>15.06</v>
      </c>
      <c r="F27" s="143">
        <v>21.92</v>
      </c>
      <c r="G27" s="143">
        <v>14.51</v>
      </c>
      <c r="H27" s="143">
        <v>12.98</v>
      </c>
      <c r="I27" s="143">
        <v>2.7687192118226602</v>
      </c>
    </row>
    <row r="28" spans="1:9">
      <c r="A28" s="5">
        <v>2003</v>
      </c>
      <c r="B28" s="20">
        <v>12184.968999999999</v>
      </c>
      <c r="C28" s="143">
        <v>624.8356</v>
      </c>
      <c r="D28" s="143">
        <f t="shared" si="0"/>
        <v>19.50107996407375</v>
      </c>
      <c r="E28" s="143">
        <v>15.6</v>
      </c>
      <c r="F28" s="143">
        <v>22.53</v>
      </c>
      <c r="G28" s="143">
        <v>14.8</v>
      </c>
      <c r="H28" s="143">
        <v>13</v>
      </c>
      <c r="I28" s="135" t="s">
        <v>87</v>
      </c>
    </row>
    <row r="29" spans="1:9">
      <c r="A29" s="5">
        <v>2004</v>
      </c>
      <c r="B29" s="20">
        <v>12741.532999999999</v>
      </c>
      <c r="C29" s="143">
        <v>630.40210000000002</v>
      </c>
      <c r="D29" s="143">
        <f t="shared" si="0"/>
        <v>20.211755322515579</v>
      </c>
      <c r="E29" s="143">
        <v>15.75</v>
      </c>
      <c r="F29" s="143">
        <v>23.29</v>
      </c>
      <c r="G29" s="143">
        <v>15.18</v>
      </c>
      <c r="H29" s="143">
        <v>13.5</v>
      </c>
      <c r="I29" s="143">
        <v>4.0365921787709498</v>
      </c>
    </row>
    <row r="30" spans="1:9">
      <c r="A30" s="5">
        <v>2005</v>
      </c>
      <c r="B30" s="20">
        <v>13133.978999999999</v>
      </c>
      <c r="C30" s="143">
        <v>625.2731</v>
      </c>
      <c r="D30" s="143">
        <f t="shared" si="0"/>
        <v>21.00518797306329</v>
      </c>
      <c r="E30" s="143">
        <v>16.420000000000002</v>
      </c>
      <c r="F30" s="143">
        <v>23.51</v>
      </c>
      <c r="G30" s="143">
        <v>15.64</v>
      </c>
      <c r="H30" s="143">
        <v>13.75</v>
      </c>
      <c r="I30" s="135" t="s">
        <v>87</v>
      </c>
    </row>
    <row r="31" spans="1:9">
      <c r="A31" s="5">
        <v>2006</v>
      </c>
      <c r="B31" s="20">
        <v>13702.882</v>
      </c>
      <c r="C31" s="143">
        <v>637.06230000000005</v>
      </c>
      <c r="D31" s="143">
        <f t="shared" si="0"/>
        <v>21.50948502210851</v>
      </c>
      <c r="E31" s="143">
        <v>16.760000000000002</v>
      </c>
      <c r="F31" s="143">
        <v>23.64</v>
      </c>
      <c r="G31" s="143">
        <v>16.22</v>
      </c>
      <c r="H31" s="143">
        <v>14.02</v>
      </c>
      <c r="I31" s="143">
        <v>3.1648112603966729</v>
      </c>
    </row>
    <row r="32" spans="1:9">
      <c r="A32" s="5">
        <v>2007</v>
      </c>
      <c r="B32" s="20">
        <v>14505.431</v>
      </c>
      <c r="C32" s="143">
        <v>644.37930000000006</v>
      </c>
      <c r="D32" s="143">
        <f t="shared" si="0"/>
        <v>22.510702935367412</v>
      </c>
      <c r="E32" s="143">
        <v>17.53</v>
      </c>
      <c r="F32" s="143">
        <v>24.74</v>
      </c>
      <c r="G32" s="143">
        <v>16.95</v>
      </c>
      <c r="H32" s="143">
        <v>15</v>
      </c>
      <c r="I32" s="135" t="s">
        <v>87</v>
      </c>
    </row>
    <row r="33" spans="1:9">
      <c r="A33" s="5">
        <v>2008</v>
      </c>
      <c r="B33" s="20">
        <v>15432.294</v>
      </c>
      <c r="C33" s="143">
        <v>649.53300000000002</v>
      </c>
      <c r="D33" s="143">
        <f t="shared" si="0"/>
        <v>23.759060740562834</v>
      </c>
      <c r="E33" s="143">
        <v>18.190000000000001</v>
      </c>
      <c r="F33" s="143">
        <v>25.6</v>
      </c>
      <c r="G33" s="143">
        <v>17.739999999999998</v>
      </c>
      <c r="H33" s="143">
        <v>15.5</v>
      </c>
      <c r="I33" s="143">
        <v>3.742909090909091</v>
      </c>
    </row>
    <row r="34" spans="1:9">
      <c r="A34" s="5">
        <v>2009</v>
      </c>
      <c r="B34" s="20">
        <v>15790.843000000001</v>
      </c>
      <c r="C34" s="143">
        <v>646.48880000000008</v>
      </c>
      <c r="D34" s="143">
        <f t="shared" si="0"/>
        <v>24.425547666100325</v>
      </c>
      <c r="E34" s="143">
        <v>18.47</v>
      </c>
      <c r="F34" s="143">
        <v>26.74</v>
      </c>
      <c r="G34" s="143">
        <v>18.68</v>
      </c>
      <c r="H34" s="143">
        <v>16.04</v>
      </c>
      <c r="I34" s="135" t="s">
        <v>87</v>
      </c>
    </row>
    <row r="35" spans="1:9">
      <c r="A35" s="5">
        <v>2010</v>
      </c>
      <c r="B35" s="20">
        <v>16261.541999999999</v>
      </c>
      <c r="C35" s="143">
        <v>648.50659999999993</v>
      </c>
      <c r="D35" s="143">
        <f t="shared" si="0"/>
        <v>25.075368546750337</v>
      </c>
      <c r="E35" s="143">
        <v>18.87</v>
      </c>
      <c r="F35" s="143">
        <v>28.15</v>
      </c>
      <c r="G35" s="143">
        <v>19.059999999999999</v>
      </c>
      <c r="H35" s="143">
        <v>16.670000000000002</v>
      </c>
      <c r="I35" s="135" t="s">
        <v>87</v>
      </c>
    </row>
    <row r="36" spans="1:9">
      <c r="A36" s="5">
        <v>2011</v>
      </c>
      <c r="B36" s="20">
        <v>16768.598999999998</v>
      </c>
      <c r="C36" s="143">
        <v>629.94319999999993</v>
      </c>
      <c r="D36" s="143">
        <f t="shared" si="0"/>
        <v>26.619223764936269</v>
      </c>
      <c r="E36" s="143">
        <v>19.5</v>
      </c>
      <c r="F36" s="143">
        <v>29.07</v>
      </c>
      <c r="G36" s="143">
        <v>19.36</v>
      </c>
      <c r="H36" s="143">
        <v>17</v>
      </c>
      <c r="I36" s="143">
        <v>1.0512010113780026</v>
      </c>
    </row>
    <row r="37" spans="1:9">
      <c r="A37" s="5">
        <v>2012</v>
      </c>
      <c r="B37" s="20">
        <v>16890.115000000002</v>
      </c>
      <c r="C37" s="143">
        <v>632.46769999999992</v>
      </c>
      <c r="D37" s="143">
        <f t="shared" si="0"/>
        <v>26.705102885095958</v>
      </c>
      <c r="E37" s="143">
        <v>19.93</v>
      </c>
      <c r="F37" s="143">
        <v>29.62</v>
      </c>
      <c r="G37" s="143">
        <v>19.93</v>
      </c>
      <c r="H37" s="143">
        <v>17.28</v>
      </c>
      <c r="I37" s="135" t="s">
        <v>87</v>
      </c>
    </row>
    <row r="38" spans="1:9">
      <c r="A38" s="5">
        <v>2013</v>
      </c>
      <c r="B38" s="20">
        <v>17010.974999999999</v>
      </c>
      <c r="C38" s="143">
        <v>622.87699999999995</v>
      </c>
      <c r="D38" s="143">
        <f t="shared" si="0"/>
        <v>27.310327721203382</v>
      </c>
      <c r="E38" s="143">
        <v>20.149999999999999</v>
      </c>
      <c r="F38" s="143">
        <v>29.91</v>
      </c>
      <c r="G38" s="143">
        <v>20.63</v>
      </c>
      <c r="H38" s="143">
        <v>17.690000000000001</v>
      </c>
      <c r="I38" s="143">
        <v>1.0954529432499118</v>
      </c>
    </row>
    <row r="39" spans="1:9">
      <c r="A39" s="5">
        <v>2014</v>
      </c>
      <c r="B39" s="20">
        <v>17451.442999999999</v>
      </c>
      <c r="C39" s="143">
        <v>614.62840000000006</v>
      </c>
      <c r="D39" s="143">
        <f t="shared" si="0"/>
        <v>28.393486210529804</v>
      </c>
      <c r="E39" s="143">
        <v>20.54</v>
      </c>
      <c r="F39" s="143">
        <v>31.25</v>
      </c>
      <c r="G39" s="143">
        <v>20.81</v>
      </c>
      <c r="H39" s="143">
        <v>18</v>
      </c>
      <c r="I39" s="135" t="s">
        <v>87</v>
      </c>
    </row>
    <row r="40" spans="1:9">
      <c r="A40" s="5">
        <v>2015</v>
      </c>
      <c r="B40" s="20">
        <v>17706.616000000002</v>
      </c>
      <c r="C40" s="143">
        <v>614.68449999999996</v>
      </c>
      <c r="D40" s="143">
        <f t="shared" si="0"/>
        <v>28.806023252579173</v>
      </c>
      <c r="E40" s="143">
        <v>20.83</v>
      </c>
      <c r="F40" s="143">
        <v>31.64</v>
      </c>
      <c r="G40" s="143">
        <v>21.38</v>
      </c>
      <c r="H40" s="143">
        <v>18.5</v>
      </c>
      <c r="I40" s="135" t="s">
        <v>87</v>
      </c>
    </row>
    <row r="41" spans="1:9">
      <c r="A41" s="5">
        <v>2016</v>
      </c>
      <c r="B41" s="20">
        <v>18223.034</v>
      </c>
      <c r="C41" s="143">
        <v>626.30650000000003</v>
      </c>
      <c r="D41" s="143">
        <f t="shared" si="0"/>
        <v>29.096032054593078</v>
      </c>
      <c r="E41" s="143">
        <v>21.45</v>
      </c>
      <c r="F41" s="143">
        <v>32.33</v>
      </c>
      <c r="G41" s="143">
        <v>21.86</v>
      </c>
      <c r="H41" s="143">
        <v>18.899999999999999</v>
      </c>
      <c r="I41" s="135" t="s">
        <v>87</v>
      </c>
    </row>
    <row r="42" spans="1:9">
      <c r="A42" s="5">
        <v>2017</v>
      </c>
      <c r="B42" s="20">
        <v>18800.744999999999</v>
      </c>
      <c r="C42" s="143">
        <v>632.10329999999999</v>
      </c>
      <c r="D42" s="143">
        <f t="shared" si="0"/>
        <v>29.743152741015589</v>
      </c>
      <c r="E42" s="143">
        <v>21.86</v>
      </c>
      <c r="F42" s="143">
        <v>32.96</v>
      </c>
      <c r="G42" s="143">
        <v>22.36</v>
      </c>
      <c r="H42" s="143">
        <v>19.350000000000001</v>
      </c>
      <c r="I42" s="135" t="s">
        <v>87</v>
      </c>
    </row>
    <row r="43" spans="1:9">
      <c r="A43" s="5">
        <v>2018</v>
      </c>
      <c r="B43" s="20">
        <v>19705.857</v>
      </c>
      <c r="C43" s="143">
        <v>635.69130000000007</v>
      </c>
      <c r="D43" s="143">
        <f t="shared" si="0"/>
        <v>30.999098147166713</v>
      </c>
      <c r="E43" s="143">
        <v>22.73</v>
      </c>
      <c r="F43" s="143">
        <v>33.46</v>
      </c>
      <c r="G43" s="143">
        <v>22.85</v>
      </c>
      <c r="H43" s="143">
        <v>20</v>
      </c>
      <c r="I43" s="135" t="s">
        <v>87</v>
      </c>
    </row>
    <row r="44" spans="1:9">
      <c r="A44" s="5">
        <v>2019</v>
      </c>
      <c r="B44" s="20">
        <v>20184.7</v>
      </c>
      <c r="C44" s="143">
        <v>633.86649999999997</v>
      </c>
      <c r="D44" s="143">
        <f t="shared" si="0"/>
        <v>31.84377151971275</v>
      </c>
      <c r="E44" s="143">
        <v>23.36</v>
      </c>
      <c r="F44" s="143">
        <v>34.450000000000003</v>
      </c>
      <c r="G44" s="143">
        <v>23.49</v>
      </c>
      <c r="H44" s="143">
        <v>20.18</v>
      </c>
      <c r="I44" s="135" t="s">
        <v>87</v>
      </c>
    </row>
    <row r="46" spans="1:9">
      <c r="A46" s="5" t="s">
        <v>226</v>
      </c>
      <c r="B46" s="143">
        <f>100*((B44/B22)^(1/22)-1)</f>
        <v>3.534631677660971</v>
      </c>
      <c r="C46" s="143">
        <f t="shared" ref="C46:H46" si="1">100*((C44/C22)^(1/22)-1)</f>
        <v>0.3589759633988665</v>
      </c>
      <c r="D46" s="143">
        <f t="shared" si="1"/>
        <v>3.1642966498784064</v>
      </c>
      <c r="E46" s="143" t="s">
        <v>51</v>
      </c>
      <c r="F46" s="143" t="s">
        <v>51</v>
      </c>
      <c r="G46" s="143">
        <f t="shared" si="1"/>
        <v>2.7545193142195501</v>
      </c>
      <c r="H46" s="143">
        <f t="shared" si="1"/>
        <v>2.5728720680853634</v>
      </c>
    </row>
    <row r="47" spans="1:9">
      <c r="A47" s="5" t="s">
        <v>227</v>
      </c>
      <c r="B47" s="143">
        <f>100*((B25/B22)^(1/3)-1)</f>
        <v>5.6038233939557536</v>
      </c>
      <c r="C47" s="143">
        <f t="shared" ref="C47:H47" si="2">100*((C25/C22)^(1/3)-1)</f>
        <v>2.087649280907522</v>
      </c>
      <c r="D47" s="143">
        <f t="shared" si="2"/>
        <v>3.4442698385316106</v>
      </c>
      <c r="E47" s="143" t="s">
        <v>51</v>
      </c>
      <c r="F47" s="143" t="s">
        <v>51</v>
      </c>
      <c r="G47" s="143">
        <f t="shared" si="2"/>
        <v>2.736604322450864</v>
      </c>
      <c r="H47" s="143">
        <f t="shared" si="2"/>
        <v>2.3972985430403826</v>
      </c>
    </row>
    <row r="48" spans="1:9">
      <c r="A48" s="6" t="s">
        <v>299</v>
      </c>
      <c r="B48" s="143">
        <f>100*((B44/B25)^(1/19)-1)</f>
        <v>3.2116439638984362</v>
      </c>
      <c r="C48" s="143">
        <f t="shared" ref="C48:H48" si="3">100*((C44/C25)^(1/19)-1)</f>
        <v>8.8716199116745109E-2</v>
      </c>
      <c r="D48" s="143">
        <f t="shared" si="3"/>
        <v>3.1201596777092444</v>
      </c>
      <c r="E48" s="143">
        <f>100*((E44/E26)^(1/18)-1)</f>
        <v>2.6533373015340533</v>
      </c>
      <c r="F48" s="143">
        <f>100*((F44/F26)^(1/18)-1)</f>
        <v>2.6088966061879049</v>
      </c>
      <c r="G48" s="143">
        <f t="shared" si="3"/>
        <v>2.7573482826878326</v>
      </c>
      <c r="H48" s="143">
        <f t="shared" si="3"/>
        <v>2.6006217096153694</v>
      </c>
    </row>
    <row r="50" spans="1:3">
      <c r="A50" s="5" t="s">
        <v>300</v>
      </c>
    </row>
    <row r="52" spans="1:3">
      <c r="B52" s="20"/>
      <c r="C52" s="20"/>
    </row>
    <row r="53" spans="1:3">
      <c r="A53" s="4" t="s">
        <v>301</v>
      </c>
      <c r="B53" s="89" t="s">
        <v>672</v>
      </c>
      <c r="C53" s="20"/>
    </row>
    <row r="54" spans="1:3">
      <c r="A54" s="3"/>
      <c r="B54" s="89" t="s">
        <v>673</v>
      </c>
      <c r="C54" s="20"/>
    </row>
    <row r="55" spans="1:3">
      <c r="A55" s="3"/>
      <c r="B55" s="89" t="s">
        <v>302</v>
      </c>
      <c r="C55" s="20"/>
    </row>
    <row r="56" spans="1:3">
      <c r="A56" s="3"/>
      <c r="B56" s="89" t="s">
        <v>303</v>
      </c>
      <c r="C56" s="20"/>
    </row>
    <row r="57" spans="1:3">
      <c r="A57" s="3"/>
      <c r="B57" s="89" t="s">
        <v>304</v>
      </c>
      <c r="C57" s="20"/>
    </row>
    <row r="58" spans="1:3">
      <c r="A58" s="3"/>
      <c r="B58" s="89" t="s">
        <v>305</v>
      </c>
      <c r="C58" s="20"/>
    </row>
    <row r="59" spans="1:3">
      <c r="B59" s="20"/>
      <c r="C59" s="20"/>
    </row>
    <row r="60" spans="1:3">
      <c r="B60" s="20"/>
      <c r="C60" s="20"/>
    </row>
    <row r="61" spans="1:3">
      <c r="B61" s="20"/>
      <c r="C61" s="20"/>
    </row>
    <row r="62" spans="1:3">
      <c r="B62" s="20"/>
      <c r="C62" s="20"/>
    </row>
    <row r="63" spans="1:3">
      <c r="B63" s="20"/>
      <c r="C63" s="20"/>
    </row>
    <row r="64" spans="1:3">
      <c r="B64" s="20"/>
      <c r="C64" s="20"/>
    </row>
    <row r="65" spans="2:3">
      <c r="B65" s="20"/>
      <c r="C65" s="20"/>
    </row>
    <row r="66" spans="2:3">
      <c r="B66" s="20"/>
      <c r="C66" s="20"/>
    </row>
    <row r="67" spans="2:3">
      <c r="B67" s="20"/>
      <c r="C67" s="20"/>
    </row>
    <row r="68" spans="2:3">
      <c r="B68" s="20"/>
      <c r="C68" s="20"/>
    </row>
    <row r="69" spans="2:3">
      <c r="B69" s="20"/>
      <c r="C69" s="20"/>
    </row>
    <row r="70" spans="2:3">
      <c r="B70" s="20"/>
      <c r="C70" s="20"/>
    </row>
    <row r="71" spans="2:3">
      <c r="B71" s="20"/>
      <c r="C71" s="20"/>
    </row>
    <row r="72" spans="2:3">
      <c r="B72" s="20"/>
      <c r="C72" s="20"/>
    </row>
    <row r="73" spans="2:3">
      <c r="B73" s="20"/>
      <c r="C73" s="20"/>
    </row>
    <row r="74" spans="2:3">
      <c r="C74" s="28"/>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ADA2-99B5-F04A-9854-277A82C6330B}">
  <sheetPr codeName="Sheet48"/>
  <dimension ref="A1:H40"/>
  <sheetViews>
    <sheetView zoomScale="87" zoomScaleNormal="60" workbookViewId="0"/>
  </sheetViews>
  <sheetFormatPr baseColWidth="10" defaultColWidth="11" defaultRowHeight="16"/>
  <cols>
    <col min="1" max="1" width="21.5" style="5" customWidth="1"/>
    <col min="2" max="8" width="26.83203125" style="5" customWidth="1"/>
    <col min="9" max="16384" width="11" style="5"/>
  </cols>
  <sheetData>
    <row r="1" spans="1:8">
      <c r="A1" s="19" t="s">
        <v>677</v>
      </c>
    </row>
    <row r="2" spans="1:8" ht="99" customHeight="1">
      <c r="A2" s="137"/>
      <c r="B2" s="137" t="s">
        <v>306</v>
      </c>
      <c r="C2" s="137" t="s">
        <v>307</v>
      </c>
      <c r="D2" s="137" t="s">
        <v>308</v>
      </c>
      <c r="E2" s="137" t="s">
        <v>309</v>
      </c>
      <c r="F2" s="137" t="s">
        <v>310</v>
      </c>
      <c r="G2" s="137" t="s">
        <v>311</v>
      </c>
      <c r="H2" s="137" t="s">
        <v>312</v>
      </c>
    </row>
    <row r="3" spans="1:8">
      <c r="A3" s="135"/>
      <c r="B3" s="135" t="s">
        <v>109</v>
      </c>
      <c r="C3" s="135" t="s">
        <v>110</v>
      </c>
      <c r="D3" s="135" t="s">
        <v>111</v>
      </c>
      <c r="E3" s="135" t="s">
        <v>112</v>
      </c>
      <c r="F3" s="135" t="s">
        <v>113</v>
      </c>
      <c r="G3" s="135" t="s">
        <v>114</v>
      </c>
      <c r="H3" s="135" t="s">
        <v>129</v>
      </c>
    </row>
    <row r="4" spans="1:8">
      <c r="A4" s="135">
        <v>1997</v>
      </c>
      <c r="B4" s="143">
        <v>1.9101466856658624</v>
      </c>
      <c r="C4" s="143">
        <v>2.3212599844062876</v>
      </c>
      <c r="D4" s="143">
        <v>0.82289217860033192</v>
      </c>
      <c r="E4" s="135" t="s">
        <v>87</v>
      </c>
      <c r="F4" s="135" t="s">
        <v>87</v>
      </c>
      <c r="G4" s="143">
        <v>0.82873636946760743</v>
      </c>
      <c r="H4" s="143">
        <v>0.82428571428571418</v>
      </c>
    </row>
    <row r="5" spans="1:8">
      <c r="A5" s="135">
        <v>1998</v>
      </c>
      <c r="B5" s="143">
        <v>1.8882374125299102</v>
      </c>
      <c r="C5" s="143">
        <v>2.3158633461253153</v>
      </c>
      <c r="D5" s="143">
        <v>0.81534923711674567</v>
      </c>
      <c r="E5" s="135" t="s">
        <v>87</v>
      </c>
      <c r="F5" s="135" t="s">
        <v>87</v>
      </c>
      <c r="G5" s="143">
        <v>0.83269961977186324</v>
      </c>
      <c r="H5" s="143">
        <v>0.83974807557732689</v>
      </c>
    </row>
    <row r="6" spans="1:8">
      <c r="A6" s="135">
        <v>1999</v>
      </c>
      <c r="B6" s="143">
        <v>1.909559073256361</v>
      </c>
      <c r="C6" s="143">
        <v>2.3177136709161807</v>
      </c>
      <c r="D6" s="143">
        <v>0.82389774768922253</v>
      </c>
      <c r="E6" s="135" t="s">
        <v>87</v>
      </c>
      <c r="F6" s="135" t="s">
        <v>87</v>
      </c>
      <c r="G6" s="143">
        <v>0.82560296846011116</v>
      </c>
      <c r="H6" s="143">
        <v>0.82758620689655171</v>
      </c>
    </row>
    <row r="7" spans="1:8">
      <c r="A7" s="135">
        <v>2000</v>
      </c>
      <c r="B7" s="143">
        <v>1.8752069712450592</v>
      </c>
      <c r="C7" s="143">
        <v>2.3148763149416447</v>
      </c>
      <c r="D7" s="143">
        <v>0.81006788964978926</v>
      </c>
      <c r="E7" s="135" t="s">
        <v>87</v>
      </c>
      <c r="F7" s="135" t="s">
        <v>87</v>
      </c>
      <c r="G7" s="143">
        <v>0.84093637454981995</v>
      </c>
      <c r="H7" s="143">
        <v>0.82600000000000007</v>
      </c>
    </row>
    <row r="8" spans="1:8">
      <c r="A8" s="135">
        <v>2001</v>
      </c>
      <c r="B8" s="143">
        <v>1.8134530024502871</v>
      </c>
      <c r="C8" s="143">
        <v>2.2573273142436046</v>
      </c>
      <c r="D8" s="143">
        <v>0.80336289336841127</v>
      </c>
      <c r="E8" s="143">
        <v>0.89228886168910648</v>
      </c>
      <c r="F8" s="143">
        <v>0.93244406196213436</v>
      </c>
      <c r="G8" s="143">
        <v>0.82578397212543564</v>
      </c>
      <c r="H8" s="143">
        <v>0.81274382314694404</v>
      </c>
    </row>
    <row r="9" spans="1:8">
      <c r="A9" s="135">
        <v>2002</v>
      </c>
      <c r="B9" s="143">
        <v>1.8214282238800661</v>
      </c>
      <c r="C9" s="143">
        <v>2.2927947338362618</v>
      </c>
      <c r="D9" s="143">
        <v>0.79441399485094177</v>
      </c>
      <c r="E9" s="143">
        <v>0.90396158463385357</v>
      </c>
      <c r="F9" s="143">
        <v>0.91984892992026868</v>
      </c>
      <c r="G9" s="143">
        <v>0.82163080407701017</v>
      </c>
      <c r="H9" s="143">
        <v>0.82833439693682198</v>
      </c>
    </row>
    <row r="10" spans="1:8">
      <c r="A10" s="135">
        <v>2003</v>
      </c>
      <c r="B10" s="143">
        <v>1.8412497810932036</v>
      </c>
      <c r="C10" s="143">
        <v>2.2499950910194495</v>
      </c>
      <c r="D10" s="143">
        <v>0.81833502145951464</v>
      </c>
      <c r="E10" s="143">
        <v>0.90803259604190922</v>
      </c>
      <c r="F10" s="143">
        <v>0.9244973327862126</v>
      </c>
      <c r="G10" s="143">
        <v>0.81994459833795019</v>
      </c>
      <c r="H10" s="143">
        <v>0.8125</v>
      </c>
    </row>
    <row r="11" spans="1:8">
      <c r="A11" s="135">
        <v>2004</v>
      </c>
      <c r="B11" s="143">
        <v>1.8251503528795843</v>
      </c>
      <c r="C11" s="143">
        <v>2.2206029909682523</v>
      </c>
      <c r="D11" s="143">
        <v>0.82191655163166355</v>
      </c>
      <c r="E11" s="143">
        <v>0.89033352176370828</v>
      </c>
      <c r="F11" s="143">
        <v>0.92714968152866239</v>
      </c>
      <c r="G11" s="143">
        <v>0.82054054054054049</v>
      </c>
      <c r="H11" s="143">
        <v>0.82568807339449535</v>
      </c>
    </row>
    <row r="12" spans="1:8">
      <c r="A12" s="135">
        <v>2005</v>
      </c>
      <c r="B12" s="143">
        <v>1.7836143600784431</v>
      </c>
      <c r="C12" s="143">
        <v>2.1815429168127736</v>
      </c>
      <c r="D12" s="143">
        <v>0.8175930651340555</v>
      </c>
      <c r="E12" s="143">
        <v>0.89775833788955728</v>
      </c>
      <c r="F12" s="143">
        <v>0.90947775628626693</v>
      </c>
      <c r="G12" s="143">
        <v>0.81927710843373502</v>
      </c>
      <c r="H12" s="143">
        <v>0.80882352941176472</v>
      </c>
    </row>
    <row r="13" spans="1:8">
      <c r="A13" s="135">
        <v>2006</v>
      </c>
      <c r="B13" s="143">
        <v>1.752686346873654</v>
      </c>
      <c r="C13" s="143">
        <v>2.1887266192131176</v>
      </c>
      <c r="D13" s="143">
        <v>0.80077901529053119</v>
      </c>
      <c r="E13" s="143">
        <v>0.8938666666666667</v>
      </c>
      <c r="F13" s="143">
        <v>0.89073097211755847</v>
      </c>
      <c r="G13" s="143">
        <v>0.82335025380710658</v>
      </c>
      <c r="H13" s="143">
        <v>0.8099364529173888</v>
      </c>
    </row>
    <row r="14" spans="1:8">
      <c r="A14" s="135">
        <v>2007</v>
      </c>
      <c r="B14" s="143">
        <v>1.7466506293140327</v>
      </c>
      <c r="C14" s="143">
        <v>2.1687917548316356</v>
      </c>
      <c r="D14" s="143">
        <v>0.80535654261080791</v>
      </c>
      <c r="E14" s="143">
        <v>0.89943560800410483</v>
      </c>
      <c r="F14" s="143">
        <v>0.88992805755395676</v>
      </c>
      <c r="G14" s="143">
        <v>0.8316977428851815</v>
      </c>
      <c r="H14" s="143">
        <v>0.83333333333333337</v>
      </c>
    </row>
    <row r="15" spans="1:8">
      <c r="A15" s="135">
        <v>2008</v>
      </c>
      <c r="B15" s="143">
        <v>1.7774386437035981</v>
      </c>
      <c r="C15" s="143">
        <v>2.1582389871955843</v>
      </c>
      <c r="D15" s="143">
        <v>0.82355969577456378</v>
      </c>
      <c r="E15" s="143">
        <v>0.90138751238850356</v>
      </c>
      <c r="F15" s="143">
        <v>0.88981578032672926</v>
      </c>
      <c r="G15" s="143">
        <v>0.83443085606773271</v>
      </c>
      <c r="H15" s="143">
        <v>0.82666666666666666</v>
      </c>
    </row>
    <row r="16" spans="1:8">
      <c r="A16" s="135">
        <v>2009</v>
      </c>
      <c r="B16" s="143">
        <v>1.8339336596176599</v>
      </c>
      <c r="C16" s="143">
        <v>2.2235002382402267</v>
      </c>
      <c r="D16" s="143">
        <v>0.82479580081768455</v>
      </c>
      <c r="E16" s="143">
        <v>0.90317848410757939</v>
      </c>
      <c r="F16" s="143">
        <v>0.89791806581598377</v>
      </c>
      <c r="G16" s="143">
        <v>0.84986351228389445</v>
      </c>
      <c r="H16" s="143">
        <v>0.83411336453458129</v>
      </c>
    </row>
    <row r="17" spans="1:8">
      <c r="A17" s="135">
        <v>2010</v>
      </c>
      <c r="B17" s="143">
        <v>1.8319197929445599</v>
      </c>
      <c r="C17" s="143">
        <v>2.1856070468026281</v>
      </c>
      <c r="D17" s="143">
        <v>0.83817436241547394</v>
      </c>
      <c r="E17" s="143">
        <v>0.90071599045346074</v>
      </c>
      <c r="F17" s="143">
        <v>0.90689432989690721</v>
      </c>
      <c r="G17" s="143">
        <v>0.84975479268836374</v>
      </c>
      <c r="H17" s="143">
        <v>0.83810960281548519</v>
      </c>
    </row>
    <row r="18" spans="1:8">
      <c r="A18" s="135">
        <v>2011</v>
      </c>
      <c r="B18" s="143">
        <v>1.7964404893254526</v>
      </c>
      <c r="C18" s="143">
        <v>2.0919195972924132</v>
      </c>
      <c r="D18" s="143">
        <v>0.85875216793733311</v>
      </c>
      <c r="E18" s="143">
        <v>0.8969641214351427</v>
      </c>
      <c r="F18" s="143">
        <v>0.9179033785917271</v>
      </c>
      <c r="G18" s="143">
        <v>0.84652383034543066</v>
      </c>
      <c r="H18" s="143">
        <v>0.85</v>
      </c>
    </row>
    <row r="19" spans="1:8">
      <c r="A19" s="135">
        <v>2012</v>
      </c>
      <c r="B19" s="143">
        <v>1.7341011346994524</v>
      </c>
      <c r="C19" s="143">
        <v>2.0684653769746153</v>
      </c>
      <c r="D19" s="143">
        <v>0.83835154023017222</v>
      </c>
      <c r="E19" s="143">
        <v>0.89532794249775371</v>
      </c>
      <c r="F19" s="143">
        <v>0.91222667077302133</v>
      </c>
      <c r="G19" s="143">
        <v>0.84700382490437731</v>
      </c>
      <c r="H19" s="143">
        <v>0.85586924219910843</v>
      </c>
    </row>
    <row r="20" spans="1:8">
      <c r="A20" s="135">
        <v>2013</v>
      </c>
      <c r="B20" s="143">
        <v>1.6798354497885564</v>
      </c>
      <c r="C20" s="143">
        <v>2.0171728665366611</v>
      </c>
      <c r="D20" s="143">
        <v>0.83276722469141251</v>
      </c>
      <c r="E20" s="143">
        <v>0.88183807439824935</v>
      </c>
      <c r="F20" s="143">
        <v>0.90526634382566584</v>
      </c>
      <c r="G20" s="143">
        <v>0.85743973399833751</v>
      </c>
      <c r="H20" s="143">
        <v>0.84844124700239809</v>
      </c>
    </row>
    <row r="21" spans="1:8">
      <c r="A21" s="135">
        <v>2014</v>
      </c>
      <c r="B21" s="143">
        <v>1.6615108139996133</v>
      </c>
      <c r="C21" s="143">
        <v>1.9856750920197213</v>
      </c>
      <c r="D21" s="143">
        <v>0.8367485802068525</v>
      </c>
      <c r="E21" s="143">
        <v>0.88306104901117788</v>
      </c>
      <c r="F21" s="143">
        <v>0.91803760282021152</v>
      </c>
      <c r="G21" s="143">
        <v>0.84973458554512049</v>
      </c>
      <c r="H21" s="143">
        <v>0.8571428571428571</v>
      </c>
    </row>
    <row r="22" spans="1:8">
      <c r="A22" s="135">
        <v>2015</v>
      </c>
      <c r="B22" s="143">
        <v>1.6390810723630971</v>
      </c>
      <c r="C22" s="143">
        <v>1.9676220916927076</v>
      </c>
      <c r="D22" s="143">
        <v>0.83302636176087397</v>
      </c>
      <c r="E22" s="143">
        <v>0.8837505303351717</v>
      </c>
      <c r="F22" s="143">
        <v>0.91418665125686216</v>
      </c>
      <c r="G22" s="143">
        <v>0.84976152623211443</v>
      </c>
      <c r="H22" s="143">
        <v>0.84090909090909094</v>
      </c>
    </row>
    <row r="23" spans="1:8">
      <c r="A23" s="135">
        <v>2016</v>
      </c>
      <c r="B23" s="143">
        <v>1.6854561051491201</v>
      </c>
      <c r="C23" s="143">
        <v>1.9881962745531199</v>
      </c>
      <c r="D23" s="143">
        <v>0.84773124601491079</v>
      </c>
      <c r="E23" s="143">
        <v>0.89937106918238985</v>
      </c>
      <c r="F23" s="143">
        <v>0.91898806139852185</v>
      </c>
      <c r="G23" s="143">
        <v>0.85124610591900307</v>
      </c>
      <c r="H23" s="143">
        <v>0.85909090909090902</v>
      </c>
    </row>
    <row r="24" spans="1:8">
      <c r="A24" s="135">
        <v>2017</v>
      </c>
      <c r="B24" s="143">
        <v>1.671145193868965</v>
      </c>
      <c r="C24" s="143">
        <v>1.982110923001617</v>
      </c>
      <c r="D24" s="143">
        <v>0.8431138613263176</v>
      </c>
      <c r="E24" s="143">
        <v>0.90107172300082428</v>
      </c>
      <c r="F24" s="143">
        <v>0.91657397107897665</v>
      </c>
      <c r="G24" s="143">
        <v>0.8573619631901841</v>
      </c>
      <c r="H24" s="143">
        <v>0.8600000000000001</v>
      </c>
    </row>
    <row r="25" spans="1:8">
      <c r="A25" s="135">
        <v>2018</v>
      </c>
      <c r="B25" s="143">
        <v>1.6666816919458298</v>
      </c>
      <c r="C25" s="143">
        <v>1.9522951607499364</v>
      </c>
      <c r="D25" s="143">
        <v>0.85370374595694154</v>
      </c>
      <c r="E25" s="143">
        <v>0.90702314445331211</v>
      </c>
      <c r="F25" s="143">
        <v>0.9119651131098393</v>
      </c>
      <c r="G25" s="143">
        <v>0.8519761372110366</v>
      </c>
      <c r="H25" s="143">
        <v>0.86956521739130432</v>
      </c>
    </row>
    <row r="26" spans="1:8">
      <c r="A26" s="135">
        <v>2019</v>
      </c>
      <c r="B26" s="143">
        <v>1.6338340599881553</v>
      </c>
      <c r="C26" s="143">
        <v>1.9286543058007259</v>
      </c>
      <c r="D26" s="143">
        <v>0.84713681195958601</v>
      </c>
      <c r="E26" s="143">
        <v>0.90788962300816167</v>
      </c>
      <c r="F26" s="143">
        <v>0.91622340425531923</v>
      </c>
      <c r="G26" s="143">
        <v>0.84648648648648639</v>
      </c>
      <c r="H26" s="143">
        <v>0.84083333333333332</v>
      </c>
    </row>
    <row r="28" spans="1:8">
      <c r="A28" s="5" t="s">
        <v>262</v>
      </c>
      <c r="B28" s="143">
        <f>B26-B4</f>
        <v>-0.27631262567770709</v>
      </c>
      <c r="C28" s="143">
        <f t="shared" ref="C28:D28" si="0">C26-C4</f>
        <v>-0.39260567860556161</v>
      </c>
      <c r="D28" s="143">
        <f t="shared" si="0"/>
        <v>2.4244633359254086E-2</v>
      </c>
      <c r="E28" s="135" t="s">
        <v>87</v>
      </c>
      <c r="F28" s="135" t="s">
        <v>87</v>
      </c>
      <c r="G28" s="143">
        <f t="shared" ref="G28:H28" si="1">G26-G4</f>
        <v>1.7750117018878964E-2</v>
      </c>
      <c r="H28" s="143">
        <f t="shared" si="1"/>
        <v>1.6547619047619144E-2</v>
      </c>
    </row>
    <row r="29" spans="1:8">
      <c r="A29" s="5" t="s">
        <v>270</v>
      </c>
      <c r="B29" s="143">
        <f>B7-B4</f>
        <v>-3.4939714420803236E-2</v>
      </c>
      <c r="C29" s="143">
        <f t="shared" ref="C29:D29" si="2">C7-C4</f>
        <v>-6.3836694646428604E-3</v>
      </c>
      <c r="D29" s="143">
        <f t="shared" si="2"/>
        <v>-1.2824288950542662E-2</v>
      </c>
      <c r="E29" s="135" t="s">
        <v>87</v>
      </c>
      <c r="F29" s="135" t="s">
        <v>87</v>
      </c>
      <c r="G29" s="143">
        <f t="shared" ref="G29:H29" si="3">G7-G4</f>
        <v>1.2200005082212528E-2</v>
      </c>
      <c r="H29" s="143">
        <f t="shared" si="3"/>
        <v>1.7142857142858903E-3</v>
      </c>
    </row>
    <row r="30" spans="1:8">
      <c r="A30" s="5" t="s">
        <v>313</v>
      </c>
      <c r="B30" s="143">
        <f>B29-B7</f>
        <v>-1.9101466856658624</v>
      </c>
      <c r="C30" s="143">
        <f t="shared" ref="C30:D30" si="4">C29-C7</f>
        <v>-2.3212599844062876</v>
      </c>
      <c r="D30" s="143">
        <f t="shared" si="4"/>
        <v>-0.82289217860033192</v>
      </c>
      <c r="E30" s="143">
        <f>E26-E8</f>
        <v>1.560076131905519E-2</v>
      </c>
      <c r="F30" s="143">
        <f>F26-F8</f>
        <v>-1.6220657706815134E-2</v>
      </c>
      <c r="G30" s="143">
        <f t="shared" ref="G30:H30" si="5">G29-G7</f>
        <v>-0.82873636946760743</v>
      </c>
      <c r="H30" s="143">
        <f t="shared" si="5"/>
        <v>-0.82428571428571418</v>
      </c>
    </row>
    <row r="32" spans="1:8">
      <c r="A32" s="5" t="s">
        <v>314</v>
      </c>
    </row>
    <row r="35" spans="1:5">
      <c r="A35" s="4" t="s">
        <v>301</v>
      </c>
      <c r="B35" s="89" t="s">
        <v>674</v>
      </c>
      <c r="C35" s="20"/>
    </row>
    <row r="36" spans="1:5">
      <c r="A36" s="3"/>
      <c r="B36" s="89" t="s">
        <v>675</v>
      </c>
      <c r="C36" s="20"/>
      <c r="E36" s="135"/>
    </row>
    <row r="37" spans="1:5">
      <c r="A37" s="3"/>
      <c r="B37" s="89" t="s">
        <v>676</v>
      </c>
      <c r="C37" s="20"/>
    </row>
    <row r="38" spans="1:5">
      <c r="A38" s="3"/>
      <c r="B38" s="89"/>
      <c r="C38" s="20"/>
    </row>
    <row r="39" spans="1:5">
      <c r="A39" s="3"/>
      <c r="C39" s="20"/>
    </row>
    <row r="40" spans="1:5">
      <c r="A40" s="3"/>
      <c r="C40" s="20"/>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E2F7-F08B-7842-AD1B-4FCAF8BEA9AA}">
  <sheetPr codeName="Sheet49"/>
  <dimension ref="A1:K52"/>
  <sheetViews>
    <sheetView zoomScale="88" workbookViewId="0"/>
  </sheetViews>
  <sheetFormatPr baseColWidth="10" defaultColWidth="11" defaultRowHeight="16"/>
  <cols>
    <col min="1" max="1" width="16.1640625" style="5" customWidth="1"/>
    <col min="2" max="2" width="23.83203125" style="5" customWidth="1"/>
    <col min="3" max="3" width="21.5" style="5" customWidth="1"/>
    <col min="4" max="4" width="22.1640625" style="5" customWidth="1"/>
    <col min="5" max="5" width="21.33203125" style="5" customWidth="1"/>
    <col min="6" max="6" width="21.6640625" style="5" customWidth="1"/>
    <col min="7" max="16384" width="11" style="5"/>
  </cols>
  <sheetData>
    <row r="1" spans="1:6">
      <c r="A1" s="3" t="s">
        <v>678</v>
      </c>
    </row>
    <row r="2" spans="1:6" ht="102" customHeight="1">
      <c r="B2" s="85" t="s">
        <v>315</v>
      </c>
      <c r="C2" s="85" t="s">
        <v>316</v>
      </c>
      <c r="D2" s="85" t="s">
        <v>317</v>
      </c>
      <c r="E2" s="85" t="s">
        <v>318</v>
      </c>
      <c r="F2" s="85" t="s">
        <v>319</v>
      </c>
    </row>
    <row r="3" spans="1:6">
      <c r="B3" s="135" t="s">
        <v>109</v>
      </c>
      <c r="C3" s="90" t="s">
        <v>110</v>
      </c>
      <c r="D3" s="90" t="s">
        <v>320</v>
      </c>
      <c r="E3" s="90" t="s">
        <v>245</v>
      </c>
      <c r="F3" s="90" t="s">
        <v>321</v>
      </c>
    </row>
    <row r="4" spans="1:6">
      <c r="A4" s="5">
        <v>1981</v>
      </c>
      <c r="B4" s="92">
        <v>322</v>
      </c>
      <c r="C4" s="141">
        <v>28</v>
      </c>
      <c r="D4" s="143">
        <f>C4/B4*100</f>
        <v>8.695652173913043</v>
      </c>
      <c r="E4" s="143">
        <v>61.250000000000007</v>
      </c>
      <c r="F4" s="143">
        <f t="shared" ref="F4:F32" si="0">E4/B4*100</f>
        <v>19.021739130434785</v>
      </c>
    </row>
    <row r="5" spans="1:6">
      <c r="A5" s="5">
        <v>1982</v>
      </c>
      <c r="B5" s="92">
        <v>345</v>
      </c>
      <c r="C5" s="141">
        <v>38</v>
      </c>
      <c r="D5" s="143">
        <f t="shared" ref="D5:D32" si="1">C5/B5*100</f>
        <v>11.014492753623188</v>
      </c>
      <c r="E5" s="143">
        <v>61.833333333333336</v>
      </c>
      <c r="F5" s="143">
        <f t="shared" si="0"/>
        <v>17.922705314009661</v>
      </c>
    </row>
    <row r="6" spans="1:6">
      <c r="A6" s="5">
        <v>1983</v>
      </c>
      <c r="B6" s="92">
        <v>392</v>
      </c>
      <c r="C6" s="141">
        <v>46</v>
      </c>
      <c r="D6" s="143">
        <f t="shared" si="1"/>
        <v>11.73469387755102</v>
      </c>
      <c r="E6" s="143">
        <v>92.75</v>
      </c>
      <c r="F6" s="143">
        <f t="shared" si="0"/>
        <v>23.660714285714285</v>
      </c>
    </row>
    <row r="7" spans="1:6">
      <c r="A7" s="5">
        <v>1984</v>
      </c>
      <c r="B7" s="92">
        <v>472</v>
      </c>
      <c r="C7" s="141">
        <v>48</v>
      </c>
      <c r="D7" s="143">
        <f t="shared" si="1"/>
        <v>10.16949152542373</v>
      </c>
      <c r="E7" s="143">
        <v>99.75</v>
      </c>
      <c r="F7" s="143">
        <f t="shared" si="0"/>
        <v>21.133474576271187</v>
      </c>
    </row>
    <row r="8" spans="1:6">
      <c r="A8" s="5">
        <v>1985</v>
      </c>
      <c r="B8" s="92">
        <v>487</v>
      </c>
      <c r="C8" s="141">
        <v>52</v>
      </c>
      <c r="D8" s="143">
        <f t="shared" si="1"/>
        <v>10.677618069815194</v>
      </c>
      <c r="E8" s="143">
        <v>112.58333333333334</v>
      </c>
      <c r="F8" s="143">
        <f t="shared" si="0"/>
        <v>23.11772758384668</v>
      </c>
    </row>
    <row r="9" spans="1:6">
      <c r="A9" s="5">
        <v>1986</v>
      </c>
      <c r="B9" s="92">
        <v>510</v>
      </c>
      <c r="C9" s="141">
        <v>56</v>
      </c>
      <c r="D9" s="143">
        <f t="shared" si="1"/>
        <v>10.980392156862745</v>
      </c>
      <c r="E9" s="143">
        <v>123.08333333333334</v>
      </c>
      <c r="F9" s="143">
        <f t="shared" si="0"/>
        <v>24.133986928104576</v>
      </c>
    </row>
    <row r="10" spans="1:6">
      <c r="A10" s="5">
        <v>1987</v>
      </c>
      <c r="B10" s="92">
        <v>560</v>
      </c>
      <c r="C10" s="141">
        <v>70</v>
      </c>
      <c r="D10" s="143">
        <f t="shared" si="1"/>
        <v>12.5</v>
      </c>
      <c r="E10" s="143">
        <v>131.25</v>
      </c>
      <c r="F10" s="143">
        <f t="shared" si="0"/>
        <v>23.4375</v>
      </c>
    </row>
    <row r="11" spans="1:6">
      <c r="A11" s="5">
        <v>1988</v>
      </c>
      <c r="B11" s="92">
        <v>601</v>
      </c>
      <c r="C11" s="141">
        <v>76</v>
      </c>
      <c r="D11" s="143">
        <f t="shared" si="1"/>
        <v>12.645590682196339</v>
      </c>
      <c r="E11" s="143">
        <v>148.16666666666669</v>
      </c>
      <c r="F11" s="143">
        <f t="shared" si="0"/>
        <v>24.653355518580149</v>
      </c>
    </row>
    <row r="12" spans="1:6">
      <c r="A12" s="5">
        <v>1989</v>
      </c>
      <c r="B12" s="92">
        <v>613</v>
      </c>
      <c r="C12" s="141">
        <v>80</v>
      </c>
      <c r="D12" s="143">
        <f t="shared" si="1"/>
        <v>13.050570962479608</v>
      </c>
      <c r="E12" s="143">
        <v>131.83333333333334</v>
      </c>
      <c r="F12" s="143">
        <f t="shared" si="0"/>
        <v>21.506253398586189</v>
      </c>
    </row>
    <row r="13" spans="1:6">
      <c r="A13" s="5">
        <v>1990</v>
      </c>
      <c r="B13" s="92">
        <v>689</v>
      </c>
      <c r="C13" s="141">
        <v>87</v>
      </c>
      <c r="D13" s="143">
        <f t="shared" si="1"/>
        <v>12.62699564586357</v>
      </c>
      <c r="E13" s="143">
        <v>166.25</v>
      </c>
      <c r="F13" s="143">
        <f t="shared" si="0"/>
        <v>24.129172714078376</v>
      </c>
    </row>
    <row r="14" spans="1:6">
      <c r="A14" s="5">
        <v>1991</v>
      </c>
      <c r="B14" s="92">
        <v>823</v>
      </c>
      <c r="C14" s="141">
        <v>89</v>
      </c>
      <c r="D14" s="143">
        <f t="shared" si="1"/>
        <v>10.814094775212636</v>
      </c>
      <c r="E14" s="143">
        <v>194.25</v>
      </c>
      <c r="F14" s="143">
        <f t="shared" si="0"/>
        <v>23.602673147023086</v>
      </c>
    </row>
    <row r="15" spans="1:6">
      <c r="A15" s="5">
        <v>1992</v>
      </c>
      <c r="B15" s="92">
        <v>969</v>
      </c>
      <c r="C15" s="141">
        <v>102</v>
      </c>
      <c r="D15" s="143">
        <f t="shared" si="1"/>
        <v>10.526315789473683</v>
      </c>
      <c r="E15" s="143">
        <v>231.58333333333334</v>
      </c>
      <c r="F15" s="143">
        <f t="shared" si="0"/>
        <v>23.89920880632955</v>
      </c>
    </row>
    <row r="16" spans="1:6">
      <c r="A16" s="5">
        <v>1993</v>
      </c>
      <c r="B16" s="92">
        <v>1003</v>
      </c>
      <c r="C16" s="141">
        <v>107</v>
      </c>
      <c r="D16" s="143">
        <f t="shared" si="1"/>
        <v>10.667996011964108</v>
      </c>
      <c r="E16" s="143">
        <v>242.08333333333334</v>
      </c>
      <c r="F16" s="143">
        <f t="shared" si="0"/>
        <v>24.135925556663341</v>
      </c>
    </row>
    <row r="17" spans="1:11">
      <c r="A17" s="5">
        <v>1994</v>
      </c>
      <c r="B17" s="92">
        <v>1037</v>
      </c>
      <c r="C17" s="141">
        <v>103</v>
      </c>
      <c r="D17" s="143">
        <f t="shared" si="1"/>
        <v>9.9324975891996132</v>
      </c>
      <c r="E17" s="143">
        <v>257.25</v>
      </c>
      <c r="F17" s="143">
        <f t="shared" si="0"/>
        <v>24.807135969141754</v>
      </c>
      <c r="K17" s="135"/>
    </row>
    <row r="18" spans="1:11">
      <c r="A18" s="5">
        <v>1995</v>
      </c>
      <c r="B18" s="92">
        <v>1106</v>
      </c>
      <c r="C18" s="141">
        <v>93</v>
      </c>
      <c r="D18" s="143">
        <f t="shared" si="1"/>
        <v>8.4086799276672686</v>
      </c>
      <c r="E18" s="143">
        <v>250.83333333333334</v>
      </c>
      <c r="F18" s="143">
        <f t="shared" si="0"/>
        <v>22.679324894514767</v>
      </c>
    </row>
    <row r="19" spans="1:11">
      <c r="A19" s="5">
        <v>1996</v>
      </c>
      <c r="B19" s="92">
        <v>1101</v>
      </c>
      <c r="C19" s="141">
        <v>82</v>
      </c>
      <c r="D19" s="143">
        <f t="shared" si="1"/>
        <v>7.447774750227067</v>
      </c>
      <c r="E19" s="143">
        <v>243.25000000000003</v>
      </c>
      <c r="F19" s="143">
        <f t="shared" si="0"/>
        <v>22.093551316984559</v>
      </c>
    </row>
    <row r="20" spans="1:11">
      <c r="A20" s="5">
        <v>1997</v>
      </c>
      <c r="B20" s="92">
        <v>1023</v>
      </c>
      <c r="C20" s="141">
        <v>72</v>
      </c>
      <c r="D20" s="143">
        <f t="shared" si="1"/>
        <v>7.0381231671554261</v>
      </c>
      <c r="E20" s="143">
        <v>260.75</v>
      </c>
      <c r="F20" s="143">
        <f t="shared" si="0"/>
        <v>25.488758553274682</v>
      </c>
    </row>
    <row r="21" spans="1:11">
      <c r="A21" s="5">
        <v>1998</v>
      </c>
      <c r="B21" s="92">
        <v>1052</v>
      </c>
      <c r="C21" s="141">
        <v>79</v>
      </c>
      <c r="D21" s="143">
        <f t="shared" si="1"/>
        <v>7.5095057034220538</v>
      </c>
      <c r="E21" s="143">
        <v>245.00000000000003</v>
      </c>
      <c r="F21" s="143">
        <f t="shared" si="0"/>
        <v>23.28897338403042</v>
      </c>
    </row>
    <row r="22" spans="1:11">
      <c r="A22" s="5">
        <v>1999</v>
      </c>
      <c r="B22" s="92">
        <v>1101</v>
      </c>
      <c r="C22" s="141">
        <v>91</v>
      </c>
      <c r="D22" s="143">
        <f t="shared" si="1"/>
        <v>8.2652134423251589</v>
      </c>
      <c r="E22" s="143">
        <v>244.41666666666669</v>
      </c>
      <c r="F22" s="143">
        <f t="shared" si="0"/>
        <v>22.199515591886165</v>
      </c>
    </row>
    <row r="23" spans="1:11">
      <c r="A23" s="5">
        <v>2000</v>
      </c>
      <c r="B23" s="92">
        <v>1199</v>
      </c>
      <c r="C23" s="141">
        <v>96</v>
      </c>
      <c r="D23" s="143">
        <f t="shared" si="1"/>
        <v>8.0066722268557129</v>
      </c>
      <c r="E23" s="143">
        <v>245.00000000000003</v>
      </c>
      <c r="F23" s="143">
        <f t="shared" si="0"/>
        <v>20.433694745621352</v>
      </c>
    </row>
    <row r="24" spans="1:11">
      <c r="A24" s="5">
        <v>2001</v>
      </c>
      <c r="B24" s="92">
        <v>1204</v>
      </c>
      <c r="C24" s="141">
        <v>90</v>
      </c>
      <c r="D24" s="143">
        <f t="shared" si="1"/>
        <v>7.4750830564784057</v>
      </c>
      <c r="E24" s="143">
        <v>232.75000000000003</v>
      </c>
      <c r="F24" s="143">
        <f t="shared" si="0"/>
        <v>19.331395348837212</v>
      </c>
    </row>
    <row r="25" spans="1:11">
      <c r="A25" s="5">
        <v>2002</v>
      </c>
      <c r="B25" s="92">
        <v>1299</v>
      </c>
      <c r="C25" s="141">
        <v>105</v>
      </c>
      <c r="D25" s="143">
        <f t="shared" si="1"/>
        <v>8.0831408775981526</v>
      </c>
      <c r="E25" s="143">
        <v>232.16666666666669</v>
      </c>
      <c r="F25" s="143">
        <f t="shared" si="0"/>
        <v>17.872722607133696</v>
      </c>
    </row>
    <row r="26" spans="1:11">
      <c r="A26" s="5">
        <v>2003</v>
      </c>
      <c r="B26" s="92">
        <v>1397</v>
      </c>
      <c r="C26" s="141">
        <v>122</v>
      </c>
      <c r="D26" s="143">
        <f t="shared" si="1"/>
        <v>8.7329992841803872</v>
      </c>
      <c r="E26" s="143">
        <v>229.83333333333334</v>
      </c>
      <c r="F26" s="143">
        <f t="shared" si="0"/>
        <v>16.451920782629443</v>
      </c>
    </row>
    <row r="27" spans="1:11">
      <c r="A27" s="5">
        <v>2004</v>
      </c>
      <c r="B27" s="92">
        <v>1507</v>
      </c>
      <c r="C27" s="141">
        <v>131</v>
      </c>
      <c r="D27" s="143">
        <f t="shared" si="1"/>
        <v>8.6927670869276703</v>
      </c>
      <c r="E27" s="143">
        <v>219.91666666666669</v>
      </c>
      <c r="F27" s="143">
        <f t="shared" si="0"/>
        <v>14.593010395930106</v>
      </c>
    </row>
    <row r="28" spans="1:11">
      <c r="A28" s="5">
        <v>2005</v>
      </c>
      <c r="B28" s="92">
        <v>1591</v>
      </c>
      <c r="C28" s="141">
        <v>166</v>
      </c>
      <c r="D28" s="143">
        <f t="shared" si="1"/>
        <v>10.433689503456947</v>
      </c>
      <c r="E28" s="143">
        <v>225.16666666666669</v>
      </c>
      <c r="F28" s="143">
        <f t="shared" si="0"/>
        <v>14.1525246176409</v>
      </c>
    </row>
    <row r="29" spans="1:11">
      <c r="A29" s="5">
        <v>2006</v>
      </c>
      <c r="B29" s="92">
        <v>1658</v>
      </c>
      <c r="C29" s="141">
        <v>172</v>
      </c>
      <c r="D29" s="143">
        <f t="shared" si="1"/>
        <v>10.373944511459591</v>
      </c>
      <c r="E29" s="143">
        <v>221.66666666666669</v>
      </c>
      <c r="F29" s="143">
        <f t="shared" si="0"/>
        <v>13.369521511861681</v>
      </c>
    </row>
    <row r="30" spans="1:11">
      <c r="A30" s="5">
        <v>2007</v>
      </c>
      <c r="B30" s="92">
        <v>1870</v>
      </c>
      <c r="C30" s="141">
        <v>195</v>
      </c>
      <c r="D30" s="143">
        <f t="shared" si="1"/>
        <v>10.427807486631016</v>
      </c>
      <c r="E30" s="143">
        <v>222.25</v>
      </c>
      <c r="F30" s="143">
        <f t="shared" si="0"/>
        <v>11.885026737967914</v>
      </c>
    </row>
    <row r="31" spans="1:11">
      <c r="A31" s="5">
        <v>2008</v>
      </c>
      <c r="B31" s="92">
        <v>2029</v>
      </c>
      <c r="C31" s="141">
        <v>199</v>
      </c>
      <c r="D31" s="143">
        <f t="shared" si="1"/>
        <v>9.8077870872350914</v>
      </c>
      <c r="E31" s="143">
        <v>219.91666666666669</v>
      </c>
      <c r="F31" s="143">
        <f t="shared" si="0"/>
        <v>10.838672580910137</v>
      </c>
    </row>
    <row r="32" spans="1:11">
      <c r="A32" s="5">
        <v>2009</v>
      </c>
      <c r="B32" s="92">
        <v>2025</v>
      </c>
      <c r="C32" s="141">
        <v>211</v>
      </c>
      <c r="D32" s="143">
        <f t="shared" si="1"/>
        <v>10.419753086419753</v>
      </c>
      <c r="E32" s="143">
        <v>227.50000000000003</v>
      </c>
      <c r="F32" s="143">
        <f t="shared" si="0"/>
        <v>11.23456790123457</v>
      </c>
    </row>
    <row r="33" spans="1:6">
      <c r="A33" s="5">
        <v>2010</v>
      </c>
      <c r="B33" s="92">
        <v>2097</v>
      </c>
      <c r="C33" s="141" t="s">
        <v>87</v>
      </c>
      <c r="D33" s="135" t="s">
        <v>87</v>
      </c>
      <c r="E33" s="135" t="s">
        <v>87</v>
      </c>
      <c r="F33" s="135" t="s">
        <v>87</v>
      </c>
    </row>
    <row r="34" spans="1:6">
      <c r="A34" s="5">
        <v>2011</v>
      </c>
      <c r="B34" s="92">
        <v>2158</v>
      </c>
      <c r="C34" s="141" t="s">
        <v>87</v>
      </c>
      <c r="D34" s="135" t="s">
        <v>87</v>
      </c>
      <c r="E34" s="135" t="s">
        <v>87</v>
      </c>
      <c r="F34" s="135" t="s">
        <v>87</v>
      </c>
    </row>
    <row r="35" spans="1:6">
      <c r="A35" s="5">
        <v>2012</v>
      </c>
      <c r="B35" s="92">
        <v>2293</v>
      </c>
      <c r="C35" s="141" t="s">
        <v>87</v>
      </c>
      <c r="D35" s="135" t="s">
        <v>87</v>
      </c>
      <c r="E35" s="135" t="s">
        <v>87</v>
      </c>
      <c r="F35" s="135" t="s">
        <v>87</v>
      </c>
    </row>
    <row r="36" spans="1:6">
      <c r="A36" s="5">
        <v>2013</v>
      </c>
      <c r="B36" s="92">
        <v>2388</v>
      </c>
      <c r="C36" s="141" t="s">
        <v>87</v>
      </c>
      <c r="D36" s="135" t="s">
        <v>87</v>
      </c>
      <c r="E36" s="135" t="s">
        <v>87</v>
      </c>
      <c r="F36" s="135" t="s">
        <v>87</v>
      </c>
    </row>
    <row r="37" spans="1:6">
      <c r="A37" s="5">
        <v>2014</v>
      </c>
      <c r="B37" s="92">
        <v>2457</v>
      </c>
      <c r="C37" s="141" t="s">
        <v>87</v>
      </c>
      <c r="D37" s="135" t="s">
        <v>87</v>
      </c>
      <c r="E37" s="135" t="s">
        <v>87</v>
      </c>
      <c r="F37" s="135" t="s">
        <v>87</v>
      </c>
    </row>
    <row r="38" spans="1:6">
      <c r="A38" s="5">
        <v>2015</v>
      </c>
      <c r="B38" s="92">
        <v>2506</v>
      </c>
      <c r="C38" s="141" t="s">
        <v>87</v>
      </c>
      <c r="D38" s="135" t="s">
        <v>87</v>
      </c>
      <c r="E38" s="135" t="s">
        <v>87</v>
      </c>
      <c r="F38" s="135" t="s">
        <v>87</v>
      </c>
    </row>
    <row r="39" spans="1:6">
      <c r="A39" s="5">
        <v>2016</v>
      </c>
      <c r="B39" s="92">
        <v>2610</v>
      </c>
      <c r="C39" s="141" t="s">
        <v>87</v>
      </c>
      <c r="D39" s="135" t="s">
        <v>87</v>
      </c>
      <c r="E39" s="135" t="s">
        <v>87</v>
      </c>
      <c r="F39" s="135" t="s">
        <v>87</v>
      </c>
    </row>
    <row r="40" spans="1:6">
      <c r="A40" s="5">
        <v>2017</v>
      </c>
      <c r="B40" s="92">
        <v>2649</v>
      </c>
      <c r="C40" s="141" t="s">
        <v>87</v>
      </c>
      <c r="D40" s="135" t="s">
        <v>87</v>
      </c>
      <c r="E40" s="135" t="s">
        <v>87</v>
      </c>
      <c r="F40" s="135" t="s">
        <v>87</v>
      </c>
    </row>
    <row r="41" spans="1:6">
      <c r="A41" s="5">
        <v>2018</v>
      </c>
      <c r="B41" s="92">
        <v>2817</v>
      </c>
      <c r="C41" s="141" t="s">
        <v>87</v>
      </c>
      <c r="D41" s="135" t="s">
        <v>87</v>
      </c>
      <c r="E41" s="135" t="s">
        <v>87</v>
      </c>
      <c r="F41" s="135" t="s">
        <v>87</v>
      </c>
    </row>
    <row r="42" spans="1:6">
      <c r="A42" s="5">
        <v>2019</v>
      </c>
      <c r="B42" s="92">
        <v>2929</v>
      </c>
      <c r="C42" s="141" t="s">
        <v>87</v>
      </c>
      <c r="D42" s="135" t="s">
        <v>87</v>
      </c>
      <c r="E42" s="135" t="s">
        <v>87</v>
      </c>
      <c r="F42" s="135" t="s">
        <v>87</v>
      </c>
    </row>
    <row r="43" spans="1:6">
      <c r="B43" s="18"/>
      <c r="C43" s="143"/>
      <c r="D43" s="143"/>
      <c r="E43" s="143"/>
      <c r="F43" s="143"/>
    </row>
    <row r="44" spans="1:6">
      <c r="B44" s="328" t="s">
        <v>67</v>
      </c>
      <c r="C44" s="328"/>
      <c r="D44" s="135" t="s">
        <v>68</v>
      </c>
      <c r="E44" s="135" t="s">
        <v>67</v>
      </c>
      <c r="F44" s="135" t="s">
        <v>68</v>
      </c>
    </row>
    <row r="45" spans="1:6">
      <c r="A45" s="5" t="s">
        <v>209</v>
      </c>
      <c r="B45" s="143">
        <f>100*((B42/B4)^(1/38)-1)</f>
        <v>5.9822779819601601</v>
      </c>
      <c r="C45" s="141" t="s">
        <v>87</v>
      </c>
      <c r="D45" s="141" t="s">
        <v>87</v>
      </c>
      <c r="E45" s="141" t="s">
        <v>87</v>
      </c>
      <c r="F45" s="141" t="s">
        <v>87</v>
      </c>
    </row>
    <row r="46" spans="1:6">
      <c r="A46" s="5" t="s">
        <v>210</v>
      </c>
      <c r="B46" s="143">
        <f>100*((B23/B4)^(1/19)-1)</f>
        <v>7.1644404324421762</v>
      </c>
      <c r="C46" s="143">
        <f>100*((C23/C4)^(1/19)-1)</f>
        <v>6.6998607690574641</v>
      </c>
      <c r="D46" s="143">
        <f>D23-D4</f>
        <v>-0.68897994705733012</v>
      </c>
      <c r="E46" s="143">
        <f>100*((E23/E4)^(1/19)-1)</f>
        <v>7.5690586220182432</v>
      </c>
      <c r="F46" s="143">
        <f>F23-F4</f>
        <v>1.4119556151865673</v>
      </c>
    </row>
    <row r="47" spans="1:6">
      <c r="A47" s="5" t="s">
        <v>322</v>
      </c>
      <c r="B47" s="143">
        <f>100*((B31/B4)^(1/27)-1)</f>
        <v>7.0553502944419533</v>
      </c>
      <c r="C47" s="143">
        <f>100*((C31/C4)^(1/27)-1)</f>
        <v>7.5336187216299422</v>
      </c>
      <c r="D47" s="143">
        <f>D31-D4</f>
        <v>1.1121349133220484</v>
      </c>
      <c r="E47" s="143">
        <f>100*((E31/E4)^(1/27)-1)</f>
        <v>4.8482502256663507</v>
      </c>
      <c r="F47" s="143">
        <f>F31-F4</f>
        <v>-8.1830665495246482</v>
      </c>
    </row>
    <row r="48" spans="1:6">
      <c r="A48" s="5" t="s">
        <v>211</v>
      </c>
      <c r="B48" s="143">
        <f>100*((B42/B31)^(1/11)-1)</f>
        <v>3.3937536071809493</v>
      </c>
      <c r="C48" s="141" t="s">
        <v>87</v>
      </c>
      <c r="D48" s="141" t="s">
        <v>87</v>
      </c>
      <c r="E48" s="141" t="s">
        <v>87</v>
      </c>
      <c r="F48" s="141" t="s">
        <v>87</v>
      </c>
    </row>
    <row r="51" spans="1:2">
      <c r="A51" s="5" t="s">
        <v>117</v>
      </c>
      <c r="B51" s="91" t="s">
        <v>679</v>
      </c>
    </row>
    <row r="52" spans="1:2">
      <c r="B52" s="91" t="s">
        <v>680</v>
      </c>
    </row>
  </sheetData>
  <mergeCells count="1">
    <mergeCell ref="B44:C4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5CC3-6ED3-7A41-93AE-511CBBE733BE}">
  <sheetPr codeName="Sheet50"/>
  <dimension ref="A1:G51"/>
  <sheetViews>
    <sheetView zoomScale="88" workbookViewId="0"/>
  </sheetViews>
  <sheetFormatPr baseColWidth="10" defaultColWidth="11" defaultRowHeight="16"/>
  <cols>
    <col min="1" max="1" width="22.1640625" style="5" customWidth="1"/>
    <col min="2" max="2" width="16.33203125" style="5" customWidth="1"/>
    <col min="3" max="3" width="15.1640625" style="5" customWidth="1"/>
    <col min="4" max="4" width="15.5" style="5" customWidth="1"/>
    <col min="5" max="16384" width="11" style="5"/>
  </cols>
  <sheetData>
    <row r="1" spans="1:7">
      <c r="A1" s="19" t="s">
        <v>681</v>
      </c>
    </row>
    <row r="2" spans="1:7" ht="85" customHeight="1">
      <c r="B2" s="137" t="s">
        <v>323</v>
      </c>
      <c r="C2" s="137" t="s">
        <v>324</v>
      </c>
      <c r="D2" s="137" t="s">
        <v>325</v>
      </c>
    </row>
    <row r="3" spans="1:7">
      <c r="B3" s="135" t="s">
        <v>109</v>
      </c>
      <c r="C3" s="135" t="s">
        <v>110</v>
      </c>
      <c r="D3" s="135" t="s">
        <v>111</v>
      </c>
    </row>
    <row r="4" spans="1:7">
      <c r="A4" s="5">
        <v>1981</v>
      </c>
      <c r="B4" s="143">
        <v>1.8849148276063925</v>
      </c>
      <c r="C4" s="143">
        <v>1.2873563218390804</v>
      </c>
      <c r="D4" s="143">
        <v>2.225991096035616</v>
      </c>
      <c r="G4" s="143"/>
    </row>
    <row r="5" spans="1:7">
      <c r="A5" s="5">
        <v>1982</v>
      </c>
      <c r="B5" s="143">
        <v>1.867287291621563</v>
      </c>
      <c r="C5" s="143">
        <v>1.5554645927138764</v>
      </c>
      <c r="D5" s="143">
        <v>2.2115585228458166</v>
      </c>
    </row>
    <row r="6" spans="1:7">
      <c r="A6" s="5">
        <v>1983</v>
      </c>
      <c r="B6" s="143">
        <v>1.9402098594337756</v>
      </c>
      <c r="C6" s="143">
        <v>1.7631276351092371</v>
      </c>
      <c r="D6" s="143">
        <v>2.2659256092347153</v>
      </c>
    </row>
    <row r="7" spans="1:7">
      <c r="A7" s="5">
        <v>1984</v>
      </c>
      <c r="B7" s="143">
        <v>2.1491667425553227</v>
      </c>
      <c r="C7" s="143">
        <v>1.6889514426460239</v>
      </c>
      <c r="D7" s="143">
        <v>2.2420348760980722</v>
      </c>
    </row>
    <row r="8" spans="1:7">
      <c r="A8" s="5">
        <v>1985</v>
      </c>
      <c r="B8" s="143">
        <v>2.0295049174862476</v>
      </c>
      <c r="C8" s="143">
        <v>1.6372795969773299</v>
      </c>
      <c r="D8" s="143">
        <v>2.2049583000114246</v>
      </c>
    </row>
    <row r="9" spans="1:7">
      <c r="A9" s="5">
        <v>1986</v>
      </c>
      <c r="B9" s="143">
        <v>2.0070048404234386</v>
      </c>
      <c r="C9" s="143">
        <v>1.4969259556268377</v>
      </c>
      <c r="D9" s="143">
        <v>2.1944877795111806</v>
      </c>
    </row>
    <row r="10" spans="1:7">
      <c r="A10" s="5">
        <v>1987</v>
      </c>
      <c r="B10" s="143">
        <v>2.0227560050568902</v>
      </c>
      <c r="C10" s="143">
        <v>1.6129032258064515</v>
      </c>
      <c r="D10" s="143">
        <v>2.1951219512195119</v>
      </c>
    </row>
    <row r="11" spans="1:7">
      <c r="A11" s="5">
        <v>1988</v>
      </c>
      <c r="B11" s="143">
        <v>1.9763885691736001</v>
      </c>
      <c r="C11" s="143">
        <v>1.4609765474817378</v>
      </c>
      <c r="D11" s="143">
        <v>2.1826931339692361</v>
      </c>
    </row>
    <row r="12" spans="1:7">
      <c r="A12" s="5">
        <v>1989</v>
      </c>
      <c r="B12" s="143">
        <v>1.9140698182726537</v>
      </c>
      <c r="C12" s="143">
        <v>1.3954299668585384</v>
      </c>
      <c r="D12" s="143">
        <v>2.1909840038778476</v>
      </c>
    </row>
    <row r="13" spans="1:7">
      <c r="A13" s="5">
        <v>1990</v>
      </c>
      <c r="B13" s="143">
        <v>1.8923892444175892</v>
      </c>
      <c r="C13" s="143">
        <v>1.5</v>
      </c>
      <c r="D13" s="143">
        <v>2.1877638750287862</v>
      </c>
    </row>
    <row r="14" spans="1:7">
      <c r="A14" s="5">
        <v>1991</v>
      </c>
      <c r="B14" s="143">
        <v>1.9649977317766161</v>
      </c>
      <c r="C14" s="143">
        <v>1.7248062015503878</v>
      </c>
      <c r="D14" s="143">
        <v>2.210568242166755</v>
      </c>
    </row>
    <row r="15" spans="1:7">
      <c r="A15" s="5">
        <v>1992</v>
      </c>
      <c r="B15" s="143">
        <v>2.0823483904242059</v>
      </c>
      <c r="C15" s="143">
        <v>1.8667642752562226</v>
      </c>
      <c r="D15" s="143">
        <v>2.2151545586430088</v>
      </c>
    </row>
    <row r="16" spans="1:7">
      <c r="A16" s="5">
        <v>1993</v>
      </c>
      <c r="B16" s="143">
        <v>2.0366309291747888</v>
      </c>
      <c r="C16" s="143">
        <v>1.8712836656173488</v>
      </c>
      <c r="D16" s="143">
        <v>2.2289059562812183</v>
      </c>
    </row>
    <row r="17" spans="1:7">
      <c r="A17" s="5">
        <v>1994</v>
      </c>
      <c r="B17" s="143">
        <v>2.0105081525427013</v>
      </c>
      <c r="C17" s="143">
        <v>1.6977089170924675</v>
      </c>
      <c r="D17" s="143">
        <v>2.2116349047141424</v>
      </c>
    </row>
    <row r="18" spans="1:7">
      <c r="A18" s="5">
        <v>1995</v>
      </c>
      <c r="B18" s="143">
        <v>2.0256781259730032</v>
      </c>
      <c r="C18" s="143">
        <v>1.4228886168910648</v>
      </c>
      <c r="D18" s="143">
        <v>2.2054675078217163</v>
      </c>
    </row>
    <row r="19" spans="1:7">
      <c r="A19" s="5">
        <v>1996</v>
      </c>
      <c r="B19" s="143">
        <v>1.9699762028306107</v>
      </c>
      <c r="C19" s="143">
        <v>1.2822517591868647</v>
      </c>
      <c r="D19" s="143">
        <v>2.215257118572036</v>
      </c>
    </row>
    <row r="20" spans="1:7">
      <c r="A20" s="5">
        <v>1997</v>
      </c>
      <c r="B20" s="143">
        <v>1.7541753832435953</v>
      </c>
      <c r="C20" s="143">
        <v>1.1581148463889337</v>
      </c>
      <c r="D20" s="143">
        <v>2.2115574905996436</v>
      </c>
    </row>
    <row r="21" spans="1:7">
      <c r="A21" s="5">
        <v>1998</v>
      </c>
      <c r="B21" s="143">
        <v>1.7590502466348967</v>
      </c>
      <c r="C21" s="143">
        <v>1.2783171521035599</v>
      </c>
      <c r="D21" s="143">
        <v>2.2099447513812156</v>
      </c>
    </row>
    <row r="22" spans="1:7">
      <c r="A22" s="5">
        <v>1999</v>
      </c>
      <c r="B22" s="143">
        <v>1.7749762207999484</v>
      </c>
      <c r="C22" s="143">
        <v>1.5011547344110854</v>
      </c>
      <c r="D22" s="143">
        <v>2.2455651428265182</v>
      </c>
    </row>
    <row r="23" spans="1:7">
      <c r="A23" s="5">
        <v>2000</v>
      </c>
      <c r="B23" s="143">
        <v>1.8044999623748965</v>
      </c>
      <c r="C23" s="143">
        <v>1.5799868334430547</v>
      </c>
      <c r="D23" s="143">
        <v>2.2398805397045489</v>
      </c>
    </row>
    <row r="24" spans="1:7">
      <c r="A24" s="5">
        <v>2001</v>
      </c>
      <c r="B24" s="143">
        <v>1.7085284518234711</v>
      </c>
      <c r="C24" s="143">
        <v>1.4485755673587639</v>
      </c>
      <c r="D24" s="143">
        <v>2.1750981247274312</v>
      </c>
    </row>
    <row r="25" spans="1:7">
      <c r="A25" s="5">
        <v>2002</v>
      </c>
      <c r="B25" s="143">
        <v>1.7016426943330978</v>
      </c>
      <c r="C25" s="143">
        <v>1.5998781045253694</v>
      </c>
      <c r="D25" s="143">
        <v>2.1852522923186739</v>
      </c>
    </row>
    <row r="26" spans="1:7">
      <c r="A26" s="5">
        <v>2003</v>
      </c>
      <c r="B26" s="143">
        <v>1.733035603523136</v>
      </c>
      <c r="C26" s="143">
        <v>1.6569333152247723</v>
      </c>
      <c r="D26" s="143">
        <v>2.209387091347502</v>
      </c>
    </row>
    <row r="27" spans="1:7">
      <c r="A27" s="5">
        <v>2004</v>
      </c>
      <c r="B27" s="143">
        <v>1.7622021094974158</v>
      </c>
      <c r="C27" s="143">
        <v>1.6083486801718845</v>
      </c>
      <c r="D27" s="143">
        <v>2.1954344281388307</v>
      </c>
    </row>
    <row r="28" spans="1:7">
      <c r="A28" s="5">
        <v>2005</v>
      </c>
      <c r="B28" s="143">
        <v>1.7913439019996398</v>
      </c>
      <c r="C28" s="143">
        <v>1.9058553386911596</v>
      </c>
      <c r="D28" s="143">
        <v>2.1648906337633202</v>
      </c>
      <c r="G28" s="135" t="s">
        <v>87</v>
      </c>
    </row>
    <row r="29" spans="1:7">
      <c r="A29" s="5">
        <v>2006</v>
      </c>
      <c r="B29" s="143">
        <v>1.7731861738535248</v>
      </c>
      <c r="C29" s="143">
        <v>1.9108987890234419</v>
      </c>
      <c r="D29" s="143">
        <v>2.2420201781816038</v>
      </c>
    </row>
    <row r="30" spans="1:7">
      <c r="A30" s="5">
        <v>2007</v>
      </c>
      <c r="B30" s="143">
        <v>1.8898624543956986</v>
      </c>
      <c r="C30" s="143">
        <v>2.1463951568519537</v>
      </c>
      <c r="D30" s="143">
        <v>2.2410446444326806</v>
      </c>
    </row>
    <row r="31" spans="1:7">
      <c r="A31" s="5">
        <v>2008</v>
      </c>
      <c r="B31" s="143">
        <v>1.9592885146487957</v>
      </c>
      <c r="C31" s="143">
        <v>2.152980633993292</v>
      </c>
      <c r="D31" s="143">
        <v>2.2624977495048912</v>
      </c>
    </row>
    <row r="32" spans="1:7">
      <c r="A32" s="5">
        <v>2009</v>
      </c>
      <c r="B32" s="143">
        <v>1.8942760123852911</v>
      </c>
      <c r="C32" s="143">
        <v>2.2501866268529382</v>
      </c>
      <c r="D32" s="143">
        <v>2.3228111971411556</v>
      </c>
    </row>
    <row r="33" spans="1:4">
      <c r="A33" s="5">
        <v>2010</v>
      </c>
      <c r="B33" s="143">
        <v>1.9052031944179455</v>
      </c>
      <c r="C33" s="135" t="s">
        <v>87</v>
      </c>
      <c r="D33" s="135" t="s">
        <v>87</v>
      </c>
    </row>
    <row r="34" spans="1:4">
      <c r="A34" s="5">
        <v>2011</v>
      </c>
      <c r="B34" s="143">
        <v>1.8543501611170785</v>
      </c>
      <c r="C34" s="135" t="s">
        <v>87</v>
      </c>
      <c r="D34" s="135" t="s">
        <v>87</v>
      </c>
    </row>
    <row r="35" spans="1:4">
      <c r="A35" s="5">
        <v>2012</v>
      </c>
      <c r="B35" s="143">
        <v>1.8527196923176368</v>
      </c>
      <c r="C35" s="135" t="s">
        <v>87</v>
      </c>
      <c r="D35" s="135" t="s">
        <v>87</v>
      </c>
    </row>
    <row r="36" spans="1:4">
      <c r="A36" s="5">
        <v>2013</v>
      </c>
      <c r="B36" s="143">
        <v>1.8030534120596187</v>
      </c>
      <c r="C36" s="135" t="s">
        <v>87</v>
      </c>
      <c r="D36" s="135" t="s">
        <v>87</v>
      </c>
    </row>
    <row r="37" spans="1:4">
      <c r="A37" s="5">
        <v>2014</v>
      </c>
      <c r="B37" s="143">
        <v>1.7880794701986755</v>
      </c>
      <c r="C37" s="135" t="s">
        <v>87</v>
      </c>
      <c r="D37" s="135" t="s">
        <v>87</v>
      </c>
    </row>
    <row r="38" spans="1:4">
      <c r="A38" s="5">
        <v>2015</v>
      </c>
      <c r="B38" s="143">
        <v>1.7593866719087872</v>
      </c>
      <c r="C38" s="135" t="s">
        <v>87</v>
      </c>
      <c r="D38" s="135" t="s">
        <v>87</v>
      </c>
    </row>
    <row r="39" spans="1:4">
      <c r="A39" s="5">
        <v>2016</v>
      </c>
      <c r="B39" s="143">
        <v>1.7834568997915885</v>
      </c>
      <c r="C39" s="135" t="s">
        <v>87</v>
      </c>
      <c r="D39" s="135" t="s">
        <v>87</v>
      </c>
    </row>
    <row r="40" spans="1:4">
      <c r="A40" s="5">
        <v>2017</v>
      </c>
      <c r="B40" s="143">
        <v>1.791523234345306</v>
      </c>
      <c r="C40" s="135" t="s">
        <v>87</v>
      </c>
      <c r="D40" s="135" t="s">
        <v>87</v>
      </c>
    </row>
    <row r="41" spans="1:4">
      <c r="A41" s="5">
        <v>2018</v>
      </c>
      <c r="B41" s="143">
        <v>1.8171145485273439</v>
      </c>
      <c r="C41" s="135" t="s">
        <v>87</v>
      </c>
      <c r="D41" s="135" t="s">
        <v>87</v>
      </c>
    </row>
    <row r="42" spans="1:4">
      <c r="A42" s="5">
        <v>2019</v>
      </c>
      <c r="B42" s="143">
        <v>1.8174033903353106</v>
      </c>
      <c r="C42" s="135" t="s">
        <v>87</v>
      </c>
      <c r="D42" s="135" t="s">
        <v>87</v>
      </c>
    </row>
    <row r="44" spans="1:4">
      <c r="A44" s="5" t="s">
        <v>212</v>
      </c>
      <c r="B44" s="143">
        <f>B42-B4</f>
        <v>-6.7511437271081887E-2</v>
      </c>
      <c r="C44" s="135" t="s">
        <v>87</v>
      </c>
      <c r="D44" s="135" t="s">
        <v>87</v>
      </c>
    </row>
    <row r="45" spans="1:4">
      <c r="A45" s="5" t="s">
        <v>213</v>
      </c>
      <c r="B45" s="143">
        <f>B23-B4</f>
        <v>-8.0414865231495991E-2</v>
      </c>
      <c r="C45" s="143">
        <f t="shared" ref="C45:D45" si="0">C23-C4</f>
        <v>0.29263051160397424</v>
      </c>
      <c r="D45" s="143">
        <f t="shared" si="0"/>
        <v>1.3889443668932966E-2</v>
      </c>
    </row>
    <row r="46" spans="1:4">
      <c r="A46" s="5" t="s">
        <v>326</v>
      </c>
      <c r="B46" s="143">
        <f>B31-B4</f>
        <v>7.4373687042403214E-2</v>
      </c>
      <c r="C46" s="143">
        <f t="shared" ref="C46:D46" si="1">C31-C4</f>
        <v>0.86562431215421154</v>
      </c>
      <c r="D46" s="143">
        <f t="shared" si="1"/>
        <v>3.6506653469275285E-2</v>
      </c>
    </row>
    <row r="47" spans="1:4">
      <c r="A47" s="5" t="s">
        <v>218</v>
      </c>
      <c r="B47" s="143">
        <f>B42-B31</f>
        <v>-0.1418851243134851</v>
      </c>
      <c r="C47" s="135" t="s">
        <v>87</v>
      </c>
      <c r="D47" s="135" t="s">
        <v>87</v>
      </c>
    </row>
    <row r="50" spans="1:2">
      <c r="A50" s="5" t="s">
        <v>117</v>
      </c>
      <c r="B50" s="91" t="s">
        <v>679</v>
      </c>
    </row>
    <row r="51" spans="1:2">
      <c r="B51" s="91" t="s">
        <v>682</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10939-E23A-4540-9DE6-C642C182DB7C}">
  <sheetPr codeName="Sheet51"/>
  <dimension ref="A1:S78"/>
  <sheetViews>
    <sheetView zoomScale="69" zoomScaleNormal="69" workbookViewId="0">
      <selection activeCell="O13" sqref="O13"/>
    </sheetView>
  </sheetViews>
  <sheetFormatPr baseColWidth="10" defaultColWidth="11" defaultRowHeight="16"/>
  <cols>
    <col min="1" max="1" width="19" style="99" customWidth="1"/>
    <col min="2" max="8" width="11" style="99"/>
    <col min="9" max="9" width="13.33203125" style="99" customWidth="1"/>
    <col min="10" max="16384" width="11" style="99"/>
  </cols>
  <sheetData>
    <row r="1" spans="1:15">
      <c r="A1" s="281" t="s">
        <v>683</v>
      </c>
      <c r="L1" s="281"/>
    </row>
    <row r="2" spans="1:15" ht="85">
      <c r="A2" s="319"/>
      <c r="B2" s="320" t="s">
        <v>257</v>
      </c>
      <c r="C2" s="320" t="s">
        <v>258</v>
      </c>
      <c r="D2" s="320" t="s">
        <v>290</v>
      </c>
      <c r="E2" s="320" t="s">
        <v>327</v>
      </c>
      <c r="F2" s="320" t="s">
        <v>328</v>
      </c>
      <c r="G2" s="320" t="s">
        <v>329</v>
      </c>
      <c r="H2" s="320" t="s">
        <v>330</v>
      </c>
      <c r="I2" s="320" t="s">
        <v>331</v>
      </c>
      <c r="J2" s="320" t="s">
        <v>332</v>
      </c>
      <c r="K2" s="320" t="s">
        <v>333</v>
      </c>
      <c r="L2" s="320" t="s">
        <v>334</v>
      </c>
      <c r="M2" s="320" t="s">
        <v>335</v>
      </c>
    </row>
    <row r="3" spans="1:15" ht="17">
      <c r="B3" s="271" t="s">
        <v>109</v>
      </c>
      <c r="C3" s="320" t="s">
        <v>110</v>
      </c>
      <c r="D3" s="321" t="s">
        <v>111</v>
      </c>
      <c r="E3" s="271" t="s">
        <v>336</v>
      </c>
      <c r="F3" s="271" t="s">
        <v>337</v>
      </c>
      <c r="G3" s="78" t="s">
        <v>114</v>
      </c>
      <c r="H3" s="78" t="s">
        <v>338</v>
      </c>
      <c r="I3" s="78" t="s">
        <v>130</v>
      </c>
      <c r="J3" s="78" t="s">
        <v>243</v>
      </c>
      <c r="K3" s="78" t="s">
        <v>261</v>
      </c>
      <c r="L3" s="78" t="s">
        <v>244</v>
      </c>
      <c r="M3" s="78" t="s">
        <v>245</v>
      </c>
      <c r="O3" s="271"/>
    </row>
    <row r="4" spans="1:15">
      <c r="A4" s="99">
        <v>1961</v>
      </c>
      <c r="B4" s="271" t="s">
        <v>87</v>
      </c>
      <c r="C4" s="271" t="s">
        <v>87</v>
      </c>
      <c r="D4" s="101">
        <v>599000</v>
      </c>
      <c r="E4" s="271" t="s">
        <v>87</v>
      </c>
      <c r="F4" s="271" t="s">
        <v>87</v>
      </c>
      <c r="G4" s="271" t="s">
        <v>87</v>
      </c>
      <c r="H4" s="271" t="s">
        <v>87</v>
      </c>
      <c r="I4" s="271" t="s">
        <v>87</v>
      </c>
      <c r="J4" s="271" t="s">
        <v>87</v>
      </c>
      <c r="K4" s="271" t="s">
        <v>87</v>
      </c>
      <c r="L4" s="271" t="s">
        <v>87</v>
      </c>
      <c r="M4" s="271" t="s">
        <v>87</v>
      </c>
    </row>
    <row r="5" spans="1:15">
      <c r="A5" s="99">
        <v>1962</v>
      </c>
      <c r="B5" s="271" t="s">
        <v>87</v>
      </c>
      <c r="C5" s="271" t="s">
        <v>87</v>
      </c>
      <c r="D5" s="101">
        <v>605000</v>
      </c>
      <c r="E5" s="271" t="s">
        <v>87</v>
      </c>
      <c r="F5" s="271" t="s">
        <v>87</v>
      </c>
      <c r="G5" s="271" t="s">
        <v>87</v>
      </c>
      <c r="H5" s="271" t="s">
        <v>87</v>
      </c>
      <c r="I5" s="271" t="s">
        <v>87</v>
      </c>
      <c r="J5" s="271" t="s">
        <v>87</v>
      </c>
      <c r="K5" s="271" t="s">
        <v>87</v>
      </c>
      <c r="L5" s="271" t="s">
        <v>87</v>
      </c>
      <c r="M5" s="271" t="s">
        <v>87</v>
      </c>
    </row>
    <row r="6" spans="1:15">
      <c r="A6" s="99">
        <v>1963</v>
      </c>
      <c r="B6" s="271" t="s">
        <v>87</v>
      </c>
      <c r="C6" s="271" t="s">
        <v>87</v>
      </c>
      <c r="D6" s="101">
        <v>609000</v>
      </c>
      <c r="E6" s="271" t="s">
        <v>87</v>
      </c>
      <c r="F6" s="271" t="s">
        <v>87</v>
      </c>
      <c r="G6" s="271" t="s">
        <v>87</v>
      </c>
      <c r="H6" s="271" t="s">
        <v>87</v>
      </c>
      <c r="I6" s="271" t="s">
        <v>87</v>
      </c>
      <c r="J6" s="271" t="s">
        <v>87</v>
      </c>
      <c r="K6" s="271" t="s">
        <v>87</v>
      </c>
      <c r="L6" s="271" t="s">
        <v>87</v>
      </c>
      <c r="M6" s="271" t="s">
        <v>87</v>
      </c>
    </row>
    <row r="7" spans="1:15">
      <c r="A7" s="99">
        <v>1964</v>
      </c>
      <c r="B7" s="271" t="s">
        <v>87</v>
      </c>
      <c r="C7" s="271" t="s">
        <v>87</v>
      </c>
      <c r="D7" s="101">
        <v>612000</v>
      </c>
      <c r="E7" s="271" t="s">
        <v>87</v>
      </c>
      <c r="F7" s="271" t="s">
        <v>87</v>
      </c>
      <c r="G7" s="271" t="s">
        <v>87</v>
      </c>
      <c r="H7" s="271" t="s">
        <v>87</v>
      </c>
      <c r="I7" s="271" t="s">
        <v>87</v>
      </c>
      <c r="J7" s="271" t="s">
        <v>87</v>
      </c>
      <c r="K7" s="271" t="s">
        <v>87</v>
      </c>
      <c r="L7" s="271" t="s">
        <v>87</v>
      </c>
      <c r="M7" s="271" t="s">
        <v>87</v>
      </c>
    </row>
    <row r="8" spans="1:15">
      <c r="A8" s="99">
        <v>1965</v>
      </c>
      <c r="B8" s="271" t="s">
        <v>87</v>
      </c>
      <c r="C8" s="271" t="s">
        <v>87</v>
      </c>
      <c r="D8" s="101">
        <v>615000</v>
      </c>
      <c r="E8" s="271" t="s">
        <v>87</v>
      </c>
      <c r="F8" s="271" t="s">
        <v>87</v>
      </c>
      <c r="G8" s="271" t="s">
        <v>87</v>
      </c>
      <c r="H8" s="271" t="s">
        <v>87</v>
      </c>
      <c r="I8" s="271" t="s">
        <v>87</v>
      </c>
      <c r="J8" s="271" t="s">
        <v>87</v>
      </c>
      <c r="K8" s="271" t="s">
        <v>87</v>
      </c>
      <c r="L8" s="271" t="s">
        <v>87</v>
      </c>
      <c r="M8" s="271" t="s">
        <v>87</v>
      </c>
    </row>
    <row r="9" spans="1:15">
      <c r="A9" s="99">
        <v>1966</v>
      </c>
      <c r="B9" s="271" t="s">
        <v>87</v>
      </c>
      <c r="C9" s="271" t="s">
        <v>87</v>
      </c>
      <c r="D9" s="101">
        <v>617000</v>
      </c>
      <c r="E9" s="271" t="s">
        <v>87</v>
      </c>
      <c r="F9" s="271" t="s">
        <v>87</v>
      </c>
      <c r="G9" s="271" t="s">
        <v>87</v>
      </c>
      <c r="H9" s="271" t="s">
        <v>87</v>
      </c>
      <c r="I9" s="271" t="s">
        <v>87</v>
      </c>
      <c r="J9" s="271" t="s">
        <v>87</v>
      </c>
      <c r="K9" s="271" t="s">
        <v>87</v>
      </c>
      <c r="L9" s="271" t="s">
        <v>87</v>
      </c>
      <c r="M9" s="271" t="s">
        <v>87</v>
      </c>
    </row>
    <row r="10" spans="1:15">
      <c r="A10" s="99">
        <v>1967</v>
      </c>
      <c r="B10" s="271" t="s">
        <v>87</v>
      </c>
      <c r="C10" s="271" t="s">
        <v>87</v>
      </c>
      <c r="D10" s="101">
        <v>621000</v>
      </c>
      <c r="E10" s="271" t="s">
        <v>87</v>
      </c>
      <c r="F10" s="271" t="s">
        <v>87</v>
      </c>
      <c r="G10" s="271" t="s">
        <v>87</v>
      </c>
      <c r="H10" s="271" t="s">
        <v>87</v>
      </c>
      <c r="I10" s="271" t="s">
        <v>87</v>
      </c>
      <c r="J10" s="271" t="s">
        <v>87</v>
      </c>
      <c r="K10" s="271" t="s">
        <v>87</v>
      </c>
      <c r="L10" s="271" t="s">
        <v>87</v>
      </c>
      <c r="M10" s="271" t="s">
        <v>87</v>
      </c>
    </row>
    <row r="11" spans="1:15">
      <c r="A11" s="99">
        <v>1968</v>
      </c>
      <c r="B11" s="271" t="s">
        <v>87</v>
      </c>
      <c r="C11" s="271" t="s">
        <v>87</v>
      </c>
      <c r="D11" s="101">
        <v>626000</v>
      </c>
      <c r="E11" s="271" t="s">
        <v>87</v>
      </c>
      <c r="F11" s="271" t="s">
        <v>87</v>
      </c>
      <c r="G11" s="271" t="s">
        <v>87</v>
      </c>
      <c r="H11" s="271" t="s">
        <v>87</v>
      </c>
      <c r="I11" s="271" t="s">
        <v>87</v>
      </c>
      <c r="J11" s="271" t="s">
        <v>87</v>
      </c>
      <c r="K11" s="271" t="s">
        <v>87</v>
      </c>
      <c r="L11" s="271" t="s">
        <v>87</v>
      </c>
      <c r="M11" s="271" t="s">
        <v>87</v>
      </c>
    </row>
    <row r="12" spans="1:15">
      <c r="A12" s="99">
        <v>1969</v>
      </c>
      <c r="B12" s="271" t="s">
        <v>87</v>
      </c>
      <c r="C12" s="271" t="s">
        <v>87</v>
      </c>
      <c r="D12" s="101">
        <v>628000</v>
      </c>
      <c r="E12" s="271" t="s">
        <v>87</v>
      </c>
      <c r="F12" s="271" t="s">
        <v>87</v>
      </c>
      <c r="G12" s="271" t="s">
        <v>87</v>
      </c>
      <c r="H12" s="271" t="s">
        <v>87</v>
      </c>
      <c r="I12" s="271" t="s">
        <v>87</v>
      </c>
      <c r="J12" s="271" t="s">
        <v>87</v>
      </c>
      <c r="K12" s="271" t="s">
        <v>87</v>
      </c>
      <c r="L12" s="271" t="s">
        <v>87</v>
      </c>
      <c r="M12" s="271" t="s">
        <v>87</v>
      </c>
    </row>
    <row r="13" spans="1:15">
      <c r="A13" s="99">
        <v>1970</v>
      </c>
      <c r="B13" s="271" t="s">
        <v>87</v>
      </c>
      <c r="C13" s="271" t="s">
        <v>87</v>
      </c>
      <c r="D13" s="101">
        <v>628000</v>
      </c>
      <c r="E13" s="271" t="s">
        <v>87</v>
      </c>
      <c r="F13" s="271" t="s">
        <v>87</v>
      </c>
      <c r="G13" s="271" t="s">
        <v>87</v>
      </c>
      <c r="H13" s="271" t="s">
        <v>87</v>
      </c>
      <c r="I13" s="271" t="s">
        <v>87</v>
      </c>
      <c r="J13" s="271" t="s">
        <v>87</v>
      </c>
      <c r="K13" s="271" t="s">
        <v>87</v>
      </c>
      <c r="L13" s="271" t="s">
        <v>87</v>
      </c>
      <c r="M13" s="271" t="s">
        <v>87</v>
      </c>
    </row>
    <row r="14" spans="1:15">
      <c r="A14" s="99">
        <v>1971</v>
      </c>
      <c r="B14" s="271" t="s">
        <v>87</v>
      </c>
      <c r="C14" s="271" t="s">
        <v>87</v>
      </c>
      <c r="D14" s="101">
        <v>642471</v>
      </c>
      <c r="E14" s="271" t="s">
        <v>87</v>
      </c>
      <c r="F14" s="271" t="s">
        <v>87</v>
      </c>
      <c r="G14" s="271" t="s">
        <v>87</v>
      </c>
      <c r="H14" s="271" t="s">
        <v>87</v>
      </c>
      <c r="I14" s="271" t="s">
        <v>87</v>
      </c>
      <c r="J14" s="271" t="s">
        <v>87</v>
      </c>
      <c r="K14" s="271" t="s">
        <v>87</v>
      </c>
      <c r="L14" s="271" t="s">
        <v>87</v>
      </c>
      <c r="M14" s="271" t="s">
        <v>87</v>
      </c>
    </row>
    <row r="15" spans="1:15">
      <c r="A15" s="99">
        <v>1972</v>
      </c>
      <c r="B15" s="271" t="s">
        <v>87</v>
      </c>
      <c r="C15" s="271" t="s">
        <v>87</v>
      </c>
      <c r="D15" s="101">
        <v>648769</v>
      </c>
      <c r="E15" s="271" t="s">
        <v>87</v>
      </c>
      <c r="F15" s="271" t="s">
        <v>87</v>
      </c>
      <c r="G15" s="271" t="s">
        <v>87</v>
      </c>
      <c r="H15" s="271" t="s">
        <v>87</v>
      </c>
      <c r="I15" s="271" t="s">
        <v>87</v>
      </c>
      <c r="J15" s="271" t="s">
        <v>87</v>
      </c>
      <c r="K15" s="271" t="s">
        <v>87</v>
      </c>
      <c r="L15" s="271" t="s">
        <v>87</v>
      </c>
      <c r="M15" s="271" t="s">
        <v>87</v>
      </c>
    </row>
    <row r="16" spans="1:15">
      <c r="A16" s="99">
        <v>1973</v>
      </c>
      <c r="B16" s="271" t="s">
        <v>87</v>
      </c>
      <c r="C16" s="271" t="s">
        <v>87</v>
      </c>
      <c r="D16" s="101">
        <v>656720</v>
      </c>
      <c r="E16" s="271" t="s">
        <v>87</v>
      </c>
      <c r="F16" s="271" t="s">
        <v>87</v>
      </c>
      <c r="G16" s="271" t="s">
        <v>87</v>
      </c>
      <c r="H16" s="271" t="s">
        <v>87</v>
      </c>
      <c r="I16" s="271" t="s">
        <v>87</v>
      </c>
      <c r="J16" s="271" t="s">
        <v>87</v>
      </c>
      <c r="K16" s="271" t="s">
        <v>87</v>
      </c>
      <c r="L16" s="271" t="s">
        <v>87</v>
      </c>
      <c r="M16" s="271" t="s">
        <v>87</v>
      </c>
    </row>
    <row r="17" spans="1:13">
      <c r="A17" s="99">
        <v>1974</v>
      </c>
      <c r="B17" s="271" t="s">
        <v>87</v>
      </c>
      <c r="C17" s="271" t="s">
        <v>87</v>
      </c>
      <c r="D17" s="101">
        <v>664744</v>
      </c>
      <c r="E17" s="271" t="s">
        <v>87</v>
      </c>
      <c r="F17" s="271" t="s">
        <v>87</v>
      </c>
      <c r="G17" s="271" t="s">
        <v>87</v>
      </c>
      <c r="H17" s="271" t="s">
        <v>87</v>
      </c>
      <c r="I17" s="271" t="s">
        <v>87</v>
      </c>
      <c r="J17" s="271" t="s">
        <v>87</v>
      </c>
      <c r="K17" s="271" t="s">
        <v>87</v>
      </c>
      <c r="L17" s="271" t="s">
        <v>87</v>
      </c>
      <c r="M17" s="271" t="s">
        <v>87</v>
      </c>
    </row>
    <row r="18" spans="1:13">
      <c r="A18" s="99">
        <v>1975</v>
      </c>
      <c r="B18" s="271" t="s">
        <v>87</v>
      </c>
      <c r="C18" s="271" t="s">
        <v>87</v>
      </c>
      <c r="D18" s="101">
        <v>677008</v>
      </c>
      <c r="E18" s="271" t="s">
        <v>87</v>
      </c>
      <c r="F18" s="271" t="s">
        <v>87</v>
      </c>
      <c r="G18" s="271" t="s">
        <v>87</v>
      </c>
      <c r="H18" s="271" t="s">
        <v>87</v>
      </c>
      <c r="I18" s="271" t="s">
        <v>87</v>
      </c>
      <c r="J18" s="271" t="s">
        <v>87</v>
      </c>
      <c r="K18" s="271" t="s">
        <v>87</v>
      </c>
      <c r="L18" s="271" t="s">
        <v>87</v>
      </c>
      <c r="M18" s="271" t="s">
        <v>87</v>
      </c>
    </row>
    <row r="19" spans="1:13">
      <c r="A19" s="99">
        <v>1976</v>
      </c>
      <c r="B19" s="271" t="s">
        <v>87</v>
      </c>
      <c r="C19" s="271" t="s">
        <v>87</v>
      </c>
      <c r="D19" s="101">
        <v>689494</v>
      </c>
      <c r="E19" s="271" t="s">
        <v>87</v>
      </c>
      <c r="F19" s="271" t="s">
        <v>87</v>
      </c>
      <c r="G19" s="101">
        <v>259600.00000000003</v>
      </c>
      <c r="H19" s="101">
        <f>0.01*I19*G19</f>
        <v>124608.00000000001</v>
      </c>
      <c r="I19" s="78">
        <v>48</v>
      </c>
      <c r="J19" s="271" t="s">
        <v>87</v>
      </c>
      <c r="K19" s="271" t="s">
        <v>87</v>
      </c>
      <c r="L19" s="101">
        <v>29700</v>
      </c>
      <c r="M19" s="101">
        <v>25100</v>
      </c>
    </row>
    <row r="20" spans="1:13">
      <c r="A20" s="99">
        <v>1977</v>
      </c>
      <c r="B20" s="271" t="s">
        <v>87</v>
      </c>
      <c r="C20" s="271" t="s">
        <v>87</v>
      </c>
      <c r="D20" s="101">
        <v>695843</v>
      </c>
      <c r="E20" s="271" t="s">
        <v>87</v>
      </c>
      <c r="F20" s="271" t="s">
        <v>87</v>
      </c>
      <c r="G20" s="101">
        <v>263300</v>
      </c>
      <c r="H20" s="101">
        <f t="shared" ref="H20:H62" si="0">0.01*I20*G20</f>
        <v>122434.5</v>
      </c>
      <c r="I20" s="78">
        <v>46.5</v>
      </c>
      <c r="J20" s="271" t="s">
        <v>87</v>
      </c>
      <c r="K20" s="271" t="s">
        <v>87</v>
      </c>
      <c r="L20" s="101">
        <v>30400</v>
      </c>
      <c r="M20" s="101">
        <v>25700</v>
      </c>
    </row>
    <row r="21" spans="1:13">
      <c r="A21" s="99">
        <v>1978</v>
      </c>
      <c r="B21" s="271" t="s">
        <v>87</v>
      </c>
      <c r="C21" s="271" t="s">
        <v>87</v>
      </c>
      <c r="D21" s="101">
        <v>699514</v>
      </c>
      <c r="E21" s="271" t="s">
        <v>87</v>
      </c>
      <c r="F21" s="271" t="s">
        <v>87</v>
      </c>
      <c r="G21" s="101">
        <v>273300</v>
      </c>
      <c r="H21" s="101">
        <f t="shared" si="0"/>
        <v>131184</v>
      </c>
      <c r="I21" s="78">
        <v>48</v>
      </c>
      <c r="J21" s="271" t="s">
        <v>87</v>
      </c>
      <c r="K21" s="271" t="s">
        <v>87</v>
      </c>
      <c r="L21" s="101">
        <v>28500</v>
      </c>
      <c r="M21" s="101">
        <v>22700</v>
      </c>
    </row>
    <row r="22" spans="1:13">
      <c r="A22" s="99">
        <v>1979</v>
      </c>
      <c r="B22" s="271" t="s">
        <v>87</v>
      </c>
      <c r="C22" s="271" t="s">
        <v>87</v>
      </c>
      <c r="D22" s="101">
        <v>703158</v>
      </c>
      <c r="E22" s="271" t="s">
        <v>87</v>
      </c>
      <c r="F22" s="271" t="s">
        <v>87</v>
      </c>
      <c r="G22" s="101">
        <v>280700</v>
      </c>
      <c r="H22" s="101">
        <f t="shared" si="0"/>
        <v>138665.79999999999</v>
      </c>
      <c r="I22" s="78">
        <v>49.4</v>
      </c>
      <c r="J22" s="271" t="s">
        <v>87</v>
      </c>
      <c r="K22" s="271" t="s">
        <v>87</v>
      </c>
      <c r="L22" s="101">
        <v>28800</v>
      </c>
      <c r="M22" s="101">
        <v>23800</v>
      </c>
    </row>
    <row r="23" spans="1:13">
      <c r="A23" s="99">
        <v>1980</v>
      </c>
      <c r="B23" s="271" t="s">
        <v>87</v>
      </c>
      <c r="C23" s="271" t="s">
        <v>87</v>
      </c>
      <c r="D23" s="101">
        <v>706219</v>
      </c>
      <c r="E23" s="271" t="s">
        <v>87</v>
      </c>
      <c r="F23" s="271" t="s">
        <v>87</v>
      </c>
      <c r="G23" s="101">
        <v>285700</v>
      </c>
      <c r="H23" s="101">
        <f t="shared" si="0"/>
        <v>141421.5</v>
      </c>
      <c r="I23" s="78">
        <v>49.5</v>
      </c>
      <c r="J23" s="271" t="s">
        <v>87</v>
      </c>
      <c r="K23" s="271" t="s">
        <v>87</v>
      </c>
      <c r="L23" s="101">
        <v>28600</v>
      </c>
      <c r="M23" s="101">
        <v>23200</v>
      </c>
    </row>
    <row r="24" spans="1:13">
      <c r="A24" s="99">
        <v>1981</v>
      </c>
      <c r="B24" s="101">
        <v>6652</v>
      </c>
      <c r="C24" s="101">
        <v>16898</v>
      </c>
      <c r="D24" s="101">
        <v>706438</v>
      </c>
      <c r="E24" s="101">
        <f>B24*1000000/D24</f>
        <v>9416.2545049954842</v>
      </c>
      <c r="F24" s="101">
        <f>1000000*C24/D24</f>
        <v>23920.004303279267</v>
      </c>
      <c r="G24" s="101">
        <v>291400</v>
      </c>
      <c r="H24" s="101">
        <f t="shared" si="0"/>
        <v>145117.20000000001</v>
      </c>
      <c r="I24" s="78">
        <v>49.8</v>
      </c>
      <c r="J24" s="271" t="s">
        <v>87</v>
      </c>
      <c r="K24" s="271" t="s">
        <v>87</v>
      </c>
      <c r="L24" s="101">
        <v>27600</v>
      </c>
      <c r="M24" s="101">
        <v>21200</v>
      </c>
    </row>
    <row r="25" spans="1:13">
      <c r="A25" s="99">
        <v>1982</v>
      </c>
      <c r="B25" s="101">
        <v>7287</v>
      </c>
      <c r="C25" s="101">
        <v>16985</v>
      </c>
      <c r="D25" s="101">
        <v>707457</v>
      </c>
      <c r="E25" s="101">
        <f t="shared" ref="E25:E62" si="1">B25*1000000/D25</f>
        <v>10300.272666748651</v>
      </c>
      <c r="F25" s="101">
        <f t="shared" ref="F25:F61" si="2">1000000*C25/D25</f>
        <v>24008.52631326003</v>
      </c>
      <c r="G25" s="101">
        <v>289000</v>
      </c>
      <c r="H25" s="101">
        <f t="shared" si="0"/>
        <v>137564</v>
      </c>
      <c r="I25" s="78">
        <v>47.6</v>
      </c>
      <c r="J25" s="271" t="s">
        <v>87</v>
      </c>
      <c r="K25" s="271" t="s">
        <v>87</v>
      </c>
      <c r="L25" s="101">
        <v>27000</v>
      </c>
      <c r="M25" s="101">
        <v>20800</v>
      </c>
    </row>
    <row r="26" spans="1:13">
      <c r="A26" s="99">
        <v>1983</v>
      </c>
      <c r="B26" s="101">
        <v>8323</v>
      </c>
      <c r="C26" s="101">
        <v>18242</v>
      </c>
      <c r="D26" s="101">
        <v>714842</v>
      </c>
      <c r="E26" s="101">
        <f t="shared" si="1"/>
        <v>11643.132328542531</v>
      </c>
      <c r="F26" s="101">
        <f t="shared" si="2"/>
        <v>25518.92586053981</v>
      </c>
      <c r="G26" s="101">
        <v>295300</v>
      </c>
      <c r="H26" s="101">
        <f t="shared" si="0"/>
        <v>139972.19999999998</v>
      </c>
      <c r="I26" s="78">
        <v>47.4</v>
      </c>
      <c r="J26" s="271" t="s">
        <v>87</v>
      </c>
      <c r="K26" s="271" t="s">
        <v>87</v>
      </c>
      <c r="L26" s="101">
        <v>26700</v>
      </c>
      <c r="M26" s="101">
        <v>18600</v>
      </c>
    </row>
    <row r="27" spans="1:13">
      <c r="A27" s="99">
        <v>1984</v>
      </c>
      <c r="B27" s="101">
        <v>9214</v>
      </c>
      <c r="C27" s="101">
        <v>18651</v>
      </c>
      <c r="D27" s="101">
        <v>720488</v>
      </c>
      <c r="E27" s="101">
        <f t="shared" si="1"/>
        <v>12788.554424223581</v>
      </c>
      <c r="F27" s="101">
        <f t="shared" si="2"/>
        <v>25886.621290014547</v>
      </c>
      <c r="G27" s="101">
        <v>298800</v>
      </c>
      <c r="H27" s="101">
        <f t="shared" si="0"/>
        <v>141930</v>
      </c>
      <c r="I27" s="78">
        <v>47.5</v>
      </c>
      <c r="J27" s="271" t="s">
        <v>87</v>
      </c>
      <c r="K27" s="271" t="s">
        <v>87</v>
      </c>
      <c r="L27" s="101">
        <v>28000</v>
      </c>
      <c r="M27" s="101">
        <v>21400</v>
      </c>
    </row>
    <row r="28" spans="1:13">
      <c r="A28" s="99">
        <v>1985</v>
      </c>
      <c r="B28" s="101">
        <v>9796</v>
      </c>
      <c r="C28" s="101">
        <v>19336</v>
      </c>
      <c r="D28" s="101">
        <v>723287</v>
      </c>
      <c r="E28" s="101">
        <f t="shared" si="1"/>
        <v>13543.724690199049</v>
      </c>
      <c r="F28" s="101">
        <f t="shared" si="2"/>
        <v>26733.509657991919</v>
      </c>
      <c r="G28" s="101">
        <v>308800</v>
      </c>
      <c r="H28" s="101">
        <f t="shared" si="0"/>
        <v>149150.39999999999</v>
      </c>
      <c r="I28" s="78">
        <v>48.3</v>
      </c>
      <c r="J28" s="271" t="s">
        <v>87</v>
      </c>
      <c r="K28" s="271" t="s">
        <v>87</v>
      </c>
      <c r="L28" s="101">
        <v>27600</v>
      </c>
      <c r="M28" s="101">
        <v>21900</v>
      </c>
    </row>
    <row r="29" spans="1:13">
      <c r="A29" s="99">
        <v>1986</v>
      </c>
      <c r="B29" s="101">
        <v>10993</v>
      </c>
      <c r="C29" s="101">
        <v>20647</v>
      </c>
      <c r="D29" s="101">
        <v>725019</v>
      </c>
      <c r="E29" s="101">
        <f t="shared" si="1"/>
        <v>15162.361262256576</v>
      </c>
      <c r="F29" s="101">
        <f t="shared" si="2"/>
        <v>28477.874372947466</v>
      </c>
      <c r="G29" s="101">
        <v>316500</v>
      </c>
      <c r="H29" s="101">
        <f t="shared" si="0"/>
        <v>156667.5</v>
      </c>
      <c r="I29" s="78">
        <v>49.5</v>
      </c>
      <c r="J29" s="271" t="s">
        <v>87</v>
      </c>
      <c r="K29" s="271" t="s">
        <v>87</v>
      </c>
      <c r="L29" s="101">
        <v>27600</v>
      </c>
      <c r="M29" s="101">
        <v>22000</v>
      </c>
    </row>
    <row r="30" spans="1:13">
      <c r="A30" s="99">
        <v>1987</v>
      </c>
      <c r="B30" s="101">
        <v>12085</v>
      </c>
      <c r="C30" s="101">
        <v>21712</v>
      </c>
      <c r="D30" s="101">
        <v>727768</v>
      </c>
      <c r="E30" s="101">
        <f t="shared" si="1"/>
        <v>16605.566609139176</v>
      </c>
      <c r="F30" s="101">
        <f t="shared" si="2"/>
        <v>29833.683261698785</v>
      </c>
      <c r="G30" s="101">
        <v>323000</v>
      </c>
      <c r="H30" s="101">
        <f t="shared" si="0"/>
        <v>164084</v>
      </c>
      <c r="I30" s="78">
        <v>50.8</v>
      </c>
      <c r="J30" s="271" t="s">
        <v>87</v>
      </c>
      <c r="K30" s="271" t="s">
        <v>87</v>
      </c>
      <c r="L30" s="101">
        <v>26900</v>
      </c>
      <c r="M30" s="101">
        <v>21000</v>
      </c>
    </row>
    <row r="31" spans="1:13">
      <c r="A31" s="99">
        <v>1988</v>
      </c>
      <c r="B31" s="101">
        <v>12870</v>
      </c>
      <c r="C31" s="101">
        <v>21783</v>
      </c>
      <c r="D31" s="101">
        <v>730349</v>
      </c>
      <c r="E31" s="101">
        <f t="shared" si="1"/>
        <v>17621.712359433641</v>
      </c>
      <c r="F31" s="101">
        <f t="shared" si="2"/>
        <v>29825.467002761692</v>
      </c>
      <c r="G31" s="101">
        <v>329800</v>
      </c>
      <c r="H31" s="101">
        <f t="shared" si="0"/>
        <v>172485.4</v>
      </c>
      <c r="I31" s="78">
        <v>52.3</v>
      </c>
      <c r="J31" s="271" t="s">
        <v>87</v>
      </c>
      <c r="K31" s="271" t="s">
        <v>87</v>
      </c>
      <c r="L31" s="101">
        <v>27200</v>
      </c>
      <c r="M31" s="101">
        <v>20500</v>
      </c>
    </row>
    <row r="32" spans="1:13">
      <c r="A32" s="99">
        <v>1989</v>
      </c>
      <c r="B32" s="101">
        <v>13484</v>
      </c>
      <c r="C32" s="101">
        <v>21830</v>
      </c>
      <c r="D32" s="101">
        <v>735129</v>
      </c>
      <c r="E32" s="101">
        <f t="shared" si="1"/>
        <v>18342.358960128087</v>
      </c>
      <c r="F32" s="101">
        <f t="shared" si="2"/>
        <v>29695.468414387135</v>
      </c>
      <c r="G32" s="101">
        <v>337600</v>
      </c>
      <c r="H32" s="101">
        <f t="shared" si="0"/>
        <v>178252.80000000002</v>
      </c>
      <c r="I32" s="78">
        <v>52.8</v>
      </c>
      <c r="J32" s="271" t="s">
        <v>87</v>
      </c>
      <c r="K32" s="271" t="s">
        <v>87</v>
      </c>
      <c r="L32" s="101">
        <v>28500</v>
      </c>
      <c r="M32" s="101">
        <v>22100</v>
      </c>
    </row>
    <row r="33" spans="1:13">
      <c r="A33" s="99">
        <v>1990</v>
      </c>
      <c r="B33" s="101">
        <v>13814</v>
      </c>
      <c r="C33" s="101">
        <v>21610</v>
      </c>
      <c r="D33" s="101">
        <v>740156</v>
      </c>
      <c r="E33" s="101">
        <f t="shared" si="1"/>
        <v>18663.633071946995</v>
      </c>
      <c r="F33" s="101">
        <f t="shared" si="2"/>
        <v>29196.547754797637</v>
      </c>
      <c r="G33" s="101">
        <v>341500</v>
      </c>
      <c r="H33" s="101">
        <f t="shared" si="0"/>
        <v>180312</v>
      </c>
      <c r="I33" s="78">
        <v>52.8</v>
      </c>
      <c r="J33" s="271" t="s">
        <v>87</v>
      </c>
      <c r="K33" s="271" t="s">
        <v>87</v>
      </c>
      <c r="L33" s="101">
        <v>27800</v>
      </c>
      <c r="M33" s="101">
        <v>21900</v>
      </c>
    </row>
    <row r="34" spans="1:13">
      <c r="A34" s="99">
        <v>1991</v>
      </c>
      <c r="B34" s="101">
        <v>13952</v>
      </c>
      <c r="C34" s="101">
        <v>21546</v>
      </c>
      <c r="D34" s="101">
        <v>745567</v>
      </c>
      <c r="E34" s="101">
        <f t="shared" si="1"/>
        <v>18713.274595039748</v>
      </c>
      <c r="F34" s="101">
        <f t="shared" si="2"/>
        <v>28898.81124030436</v>
      </c>
      <c r="G34" s="101">
        <v>338200</v>
      </c>
      <c r="H34" s="101">
        <f t="shared" si="0"/>
        <v>173496.6</v>
      </c>
      <c r="I34" s="78">
        <v>51.3</v>
      </c>
      <c r="J34" s="271" t="s">
        <v>87</v>
      </c>
      <c r="K34" s="271" t="s">
        <v>87</v>
      </c>
      <c r="L34" s="101">
        <v>27400</v>
      </c>
      <c r="M34" s="101">
        <v>19900</v>
      </c>
    </row>
    <row r="35" spans="1:13">
      <c r="A35" s="99">
        <v>1992</v>
      </c>
      <c r="B35" s="101">
        <v>14422</v>
      </c>
      <c r="C35" s="101">
        <v>21842</v>
      </c>
      <c r="D35" s="101">
        <v>748121</v>
      </c>
      <c r="E35" s="101">
        <f t="shared" si="1"/>
        <v>19277.630222918484</v>
      </c>
      <c r="F35" s="101">
        <f t="shared" si="2"/>
        <v>29195.811907432086</v>
      </c>
      <c r="G35" s="101">
        <v>341300</v>
      </c>
      <c r="H35" s="101">
        <f t="shared" si="0"/>
        <v>174745.60000000001</v>
      </c>
      <c r="I35" s="78">
        <v>51.2</v>
      </c>
      <c r="J35" s="271" t="s">
        <v>87</v>
      </c>
      <c r="K35" s="271" t="s">
        <v>87</v>
      </c>
      <c r="L35" s="101">
        <v>27800</v>
      </c>
      <c r="M35" s="101">
        <v>20000</v>
      </c>
    </row>
    <row r="36" spans="1:13">
      <c r="A36" s="99">
        <v>1993</v>
      </c>
      <c r="B36" s="101">
        <v>15146</v>
      </c>
      <c r="C36" s="101">
        <v>22523</v>
      </c>
      <c r="D36" s="101">
        <v>748812</v>
      </c>
      <c r="E36" s="101">
        <f t="shared" si="1"/>
        <v>20226.705768604137</v>
      </c>
      <c r="F36" s="101">
        <f t="shared" si="2"/>
        <v>30078.310710832626</v>
      </c>
      <c r="G36" s="101">
        <v>343200</v>
      </c>
      <c r="H36" s="101">
        <f t="shared" si="0"/>
        <v>176748</v>
      </c>
      <c r="I36" s="78">
        <v>51.5</v>
      </c>
      <c r="J36" s="271" t="s">
        <v>87</v>
      </c>
      <c r="K36" s="271" t="s">
        <v>87</v>
      </c>
      <c r="L36" s="101">
        <v>27000</v>
      </c>
      <c r="M36" s="101">
        <v>19700</v>
      </c>
    </row>
    <row r="37" spans="1:13">
      <c r="A37" s="99">
        <v>1994</v>
      </c>
      <c r="B37" s="101">
        <v>15816</v>
      </c>
      <c r="C37" s="101">
        <v>22983</v>
      </c>
      <c r="D37" s="101">
        <v>750185</v>
      </c>
      <c r="E37" s="101">
        <f t="shared" si="1"/>
        <v>21082.79957610456</v>
      </c>
      <c r="F37" s="101">
        <f t="shared" si="2"/>
        <v>30636.443010724022</v>
      </c>
      <c r="G37" s="101">
        <v>341400</v>
      </c>
      <c r="H37" s="101">
        <f t="shared" si="0"/>
        <v>174455.4</v>
      </c>
      <c r="I37" s="78">
        <v>51.1</v>
      </c>
      <c r="J37" s="271" t="s">
        <v>87</v>
      </c>
      <c r="K37" s="271" t="s">
        <v>87</v>
      </c>
      <c r="L37" s="101">
        <v>27300</v>
      </c>
      <c r="M37" s="101">
        <v>21000</v>
      </c>
    </row>
    <row r="38" spans="1:13">
      <c r="A38" s="99">
        <v>1995</v>
      </c>
      <c r="B38" s="101">
        <v>17047</v>
      </c>
      <c r="C38" s="101">
        <v>23762</v>
      </c>
      <c r="D38" s="101">
        <v>750943</v>
      </c>
      <c r="E38" s="101">
        <f t="shared" si="1"/>
        <v>22700.79087227659</v>
      </c>
      <c r="F38" s="101">
        <f t="shared" si="2"/>
        <v>31642.881017600535</v>
      </c>
      <c r="G38" s="101">
        <v>347200</v>
      </c>
      <c r="H38" s="101">
        <f t="shared" si="0"/>
        <v>181932.80000000002</v>
      </c>
      <c r="I38" s="78">
        <v>52.4</v>
      </c>
      <c r="J38" s="271" t="s">
        <v>87</v>
      </c>
      <c r="K38" s="271" t="s">
        <v>87</v>
      </c>
      <c r="L38" s="101">
        <v>27500</v>
      </c>
      <c r="M38" s="101">
        <v>20500</v>
      </c>
    </row>
    <row r="39" spans="1:13">
      <c r="A39" s="99">
        <v>1996</v>
      </c>
      <c r="B39" s="101">
        <v>17316</v>
      </c>
      <c r="C39" s="101">
        <v>24010</v>
      </c>
      <c r="D39" s="101">
        <v>752268</v>
      </c>
      <c r="E39" s="101">
        <f t="shared" si="1"/>
        <v>23018.392381438531</v>
      </c>
      <c r="F39" s="101">
        <f t="shared" si="2"/>
        <v>31916.816879090962</v>
      </c>
      <c r="G39" s="101">
        <v>346000</v>
      </c>
      <c r="H39" s="101">
        <f t="shared" si="0"/>
        <v>179228</v>
      </c>
      <c r="I39" s="78">
        <v>51.8</v>
      </c>
      <c r="J39" s="271" t="s">
        <v>87</v>
      </c>
      <c r="K39" s="271" t="s">
        <v>87</v>
      </c>
      <c r="L39" s="101">
        <v>27700</v>
      </c>
      <c r="M39" s="101">
        <v>20300</v>
      </c>
    </row>
    <row r="40" spans="1:13">
      <c r="A40" s="99">
        <v>1997</v>
      </c>
      <c r="B40" s="101">
        <v>17463</v>
      </c>
      <c r="C40" s="101">
        <v>24232</v>
      </c>
      <c r="D40" s="101">
        <v>752511</v>
      </c>
      <c r="E40" s="101">
        <f t="shared" si="1"/>
        <v>23206.305289889449</v>
      </c>
      <c r="F40" s="101">
        <f t="shared" si="2"/>
        <v>32201.522635549514</v>
      </c>
      <c r="G40" s="101">
        <v>354900</v>
      </c>
      <c r="H40" s="101">
        <f t="shared" si="0"/>
        <v>185612.7</v>
      </c>
      <c r="I40" s="78">
        <v>52.3</v>
      </c>
      <c r="J40" s="101">
        <v>314725</v>
      </c>
      <c r="K40" s="78">
        <f>J40/D40*100</f>
        <v>41.823308895152358</v>
      </c>
      <c r="L40" s="101">
        <v>27600</v>
      </c>
      <c r="M40" s="101">
        <v>21100</v>
      </c>
    </row>
    <row r="41" spans="1:13">
      <c r="A41" s="99">
        <v>1998</v>
      </c>
      <c r="B41" s="101">
        <v>18231</v>
      </c>
      <c r="C41" s="101">
        <v>25060</v>
      </c>
      <c r="D41" s="101">
        <v>750530</v>
      </c>
      <c r="E41" s="101">
        <f t="shared" si="1"/>
        <v>24290.834476969609</v>
      </c>
      <c r="F41" s="101">
        <f t="shared" si="2"/>
        <v>33389.737918537568</v>
      </c>
      <c r="G41" s="101">
        <v>359900</v>
      </c>
      <c r="H41" s="101">
        <f t="shared" si="0"/>
        <v>191466.80000000002</v>
      </c>
      <c r="I41" s="78">
        <v>53.2</v>
      </c>
      <c r="J41" s="101">
        <v>321660</v>
      </c>
      <c r="K41" s="78">
        <f t="shared" ref="K41:K62" si="3">J41/D41*100</f>
        <v>42.85771388218992</v>
      </c>
      <c r="L41" s="101">
        <v>29200</v>
      </c>
      <c r="M41" s="101">
        <v>21700</v>
      </c>
    </row>
    <row r="42" spans="1:13">
      <c r="A42" s="99">
        <v>1999</v>
      </c>
      <c r="B42" s="101">
        <v>19760</v>
      </c>
      <c r="C42" s="101">
        <v>26629</v>
      </c>
      <c r="D42" s="101">
        <v>750601</v>
      </c>
      <c r="E42" s="101">
        <f t="shared" si="1"/>
        <v>26325.571109017972</v>
      </c>
      <c r="F42" s="101">
        <f t="shared" si="2"/>
        <v>35476.904507188243</v>
      </c>
      <c r="G42" s="101">
        <v>362500</v>
      </c>
      <c r="H42" s="101">
        <f t="shared" si="0"/>
        <v>198287.50000000003</v>
      </c>
      <c r="I42" s="78">
        <v>54.7</v>
      </c>
      <c r="J42" s="101">
        <v>331935</v>
      </c>
      <c r="K42" s="78">
        <f t="shared" si="3"/>
        <v>44.222562986193729</v>
      </c>
      <c r="L42" s="101">
        <v>29800</v>
      </c>
      <c r="M42" s="101">
        <v>22500</v>
      </c>
    </row>
    <row r="43" spans="1:13">
      <c r="A43" s="99">
        <v>2000</v>
      </c>
      <c r="B43" s="101">
        <v>20893</v>
      </c>
      <c r="C43" s="101">
        <v>27184</v>
      </c>
      <c r="D43" s="101">
        <v>750517</v>
      </c>
      <c r="E43" s="101">
        <f t="shared" si="1"/>
        <v>27838.143573030324</v>
      </c>
      <c r="F43" s="101">
        <f t="shared" si="2"/>
        <v>36220.36542809823</v>
      </c>
      <c r="G43" s="101">
        <v>368400</v>
      </c>
      <c r="H43" s="101">
        <f t="shared" si="0"/>
        <v>204093.6</v>
      </c>
      <c r="I43" s="78">
        <v>55.4</v>
      </c>
      <c r="J43" s="101">
        <v>337485</v>
      </c>
      <c r="K43" s="78">
        <f t="shared" si="3"/>
        <v>44.967002746107013</v>
      </c>
      <c r="L43" s="101">
        <v>30100</v>
      </c>
      <c r="M43" s="101">
        <v>22000</v>
      </c>
    </row>
    <row r="44" spans="1:13">
      <c r="A44" s="99">
        <v>2001</v>
      </c>
      <c r="B44" s="101">
        <v>21506</v>
      </c>
      <c r="C44" s="101">
        <v>27683</v>
      </c>
      <c r="D44" s="101">
        <v>749820</v>
      </c>
      <c r="E44" s="101">
        <f t="shared" si="1"/>
        <v>28681.550238723961</v>
      </c>
      <c r="F44" s="101">
        <f t="shared" si="2"/>
        <v>36919.527353231439</v>
      </c>
      <c r="G44" s="101">
        <v>371100</v>
      </c>
      <c r="H44" s="101">
        <f t="shared" si="0"/>
        <v>204105.00000000003</v>
      </c>
      <c r="I44" s="78">
        <v>55</v>
      </c>
      <c r="J44" s="101">
        <v>333390</v>
      </c>
      <c r="K44" s="78">
        <f t="shared" si="3"/>
        <v>44.462671041049852</v>
      </c>
      <c r="L44" s="101">
        <v>30400</v>
      </c>
      <c r="M44" s="101">
        <v>22300</v>
      </c>
    </row>
    <row r="45" spans="1:13">
      <c r="A45" s="99">
        <v>2002</v>
      </c>
      <c r="B45" s="101">
        <v>22095</v>
      </c>
      <c r="C45" s="101">
        <v>28999</v>
      </c>
      <c r="D45" s="101">
        <v>749372</v>
      </c>
      <c r="E45" s="101">
        <f t="shared" si="1"/>
        <v>29484.68851251448</v>
      </c>
      <c r="F45" s="101">
        <f t="shared" si="2"/>
        <v>38697.73623780979</v>
      </c>
      <c r="G45" s="101">
        <v>380500</v>
      </c>
      <c r="H45" s="101">
        <f t="shared" si="0"/>
        <v>216504.49999999997</v>
      </c>
      <c r="I45" s="78">
        <v>56.9</v>
      </c>
      <c r="J45" s="101">
        <v>344305</v>
      </c>
      <c r="K45" s="78">
        <f t="shared" si="3"/>
        <v>45.945805287627508</v>
      </c>
      <c r="L45" s="101">
        <v>30500</v>
      </c>
      <c r="M45" s="101">
        <v>22100</v>
      </c>
    </row>
    <row r="46" spans="1:13">
      <c r="A46" s="99">
        <v>2003</v>
      </c>
      <c r="B46" s="101">
        <v>23179</v>
      </c>
      <c r="C46" s="101">
        <v>29722</v>
      </c>
      <c r="D46" s="101">
        <v>749441</v>
      </c>
      <c r="E46" s="101">
        <f t="shared" si="1"/>
        <v>30928.385289836024</v>
      </c>
      <c r="F46" s="101">
        <f t="shared" si="2"/>
        <v>39658.892427822873</v>
      </c>
      <c r="G46" s="101">
        <v>380600</v>
      </c>
      <c r="H46" s="101">
        <f t="shared" si="0"/>
        <v>215419.60000000003</v>
      </c>
      <c r="I46" s="78">
        <v>56.6</v>
      </c>
      <c r="J46" s="101">
        <v>344495</v>
      </c>
      <c r="K46" s="78">
        <f t="shared" si="3"/>
        <v>45.966927349851424</v>
      </c>
      <c r="L46" s="101">
        <v>30200</v>
      </c>
      <c r="M46" s="101">
        <v>22600</v>
      </c>
    </row>
    <row r="47" spans="1:13">
      <c r="A47" s="99">
        <v>2004</v>
      </c>
      <c r="B47" s="101">
        <v>24502</v>
      </c>
      <c r="C47" s="101">
        <v>30475</v>
      </c>
      <c r="D47" s="101">
        <v>749419</v>
      </c>
      <c r="E47" s="101">
        <f t="shared" si="1"/>
        <v>32694.660797230921</v>
      </c>
      <c r="F47" s="101">
        <f t="shared" si="2"/>
        <v>40664.83502553311</v>
      </c>
      <c r="G47" s="101">
        <v>385900</v>
      </c>
      <c r="H47" s="101">
        <f t="shared" si="0"/>
        <v>221892.50000000003</v>
      </c>
      <c r="I47" s="78">
        <v>57.5</v>
      </c>
      <c r="J47" s="101">
        <v>349700</v>
      </c>
      <c r="K47" s="78">
        <f t="shared" si="3"/>
        <v>46.662814793860306</v>
      </c>
      <c r="L47" s="101">
        <v>30200</v>
      </c>
      <c r="M47" s="101">
        <v>22300</v>
      </c>
    </row>
    <row r="48" spans="1:13">
      <c r="A48" s="99">
        <v>2005</v>
      </c>
      <c r="B48" s="101">
        <v>25643</v>
      </c>
      <c r="C48" s="101">
        <v>30716</v>
      </c>
      <c r="D48" s="101">
        <v>748057</v>
      </c>
      <c r="E48" s="101">
        <f t="shared" si="1"/>
        <v>34279.47335564001</v>
      </c>
      <c r="F48" s="101">
        <f t="shared" si="2"/>
        <v>41061.042139836936</v>
      </c>
      <c r="G48" s="101">
        <v>383500</v>
      </c>
      <c r="H48" s="101">
        <f t="shared" si="0"/>
        <v>218978.50000000003</v>
      </c>
      <c r="I48" s="78">
        <v>57.1</v>
      </c>
      <c r="J48" s="101">
        <v>349610</v>
      </c>
      <c r="K48" s="78">
        <f t="shared" si="3"/>
        <v>46.735743399232952</v>
      </c>
      <c r="L48" s="101">
        <v>30300</v>
      </c>
      <c r="M48" s="101">
        <v>22600</v>
      </c>
    </row>
    <row r="49" spans="1:13">
      <c r="A49" s="99">
        <v>2006</v>
      </c>
      <c r="B49" s="101">
        <v>26792</v>
      </c>
      <c r="C49" s="101">
        <v>31348</v>
      </c>
      <c r="D49" s="101">
        <v>745621</v>
      </c>
      <c r="E49" s="101">
        <f t="shared" si="1"/>
        <v>35932.4643485095</v>
      </c>
      <c r="F49" s="101">
        <f t="shared" si="2"/>
        <v>42042.807270717967</v>
      </c>
      <c r="G49" s="101">
        <v>383400</v>
      </c>
      <c r="H49" s="101">
        <f t="shared" si="0"/>
        <v>220838.40000000002</v>
      </c>
      <c r="I49" s="78">
        <v>57.6</v>
      </c>
      <c r="J49" s="101">
        <v>353395</v>
      </c>
      <c r="K49" s="78">
        <f t="shared" si="3"/>
        <v>47.396063147363073</v>
      </c>
      <c r="L49" s="101">
        <v>31200</v>
      </c>
      <c r="M49" s="101">
        <v>23300</v>
      </c>
    </row>
    <row r="50" spans="1:13">
      <c r="A50" s="99">
        <v>2007</v>
      </c>
      <c r="B50" s="101">
        <v>28352</v>
      </c>
      <c r="C50" s="101">
        <v>31644</v>
      </c>
      <c r="D50" s="101">
        <v>745433</v>
      </c>
      <c r="E50" s="101">
        <f t="shared" si="1"/>
        <v>38034.270014877256</v>
      </c>
      <c r="F50" s="101">
        <f t="shared" si="2"/>
        <v>42450.49521553245</v>
      </c>
      <c r="G50" s="101">
        <v>385300</v>
      </c>
      <c r="H50" s="101">
        <f t="shared" si="0"/>
        <v>225785.80000000002</v>
      </c>
      <c r="I50" s="78">
        <v>58.6</v>
      </c>
      <c r="J50" s="101">
        <v>359605</v>
      </c>
      <c r="K50" s="78">
        <f t="shared" si="3"/>
        <v>48.241089407096275</v>
      </c>
      <c r="L50" s="101">
        <v>32400</v>
      </c>
      <c r="M50" s="101">
        <v>24400</v>
      </c>
    </row>
    <row r="51" spans="1:13">
      <c r="A51" s="99">
        <v>2008</v>
      </c>
      <c r="B51" s="101">
        <v>28842</v>
      </c>
      <c r="C51" s="101">
        <v>31887</v>
      </c>
      <c r="D51" s="101">
        <v>746877</v>
      </c>
      <c r="E51" s="101">
        <f t="shared" si="1"/>
        <v>38616.800356685235</v>
      </c>
      <c r="F51" s="101">
        <f t="shared" si="2"/>
        <v>42693.77688695729</v>
      </c>
      <c r="G51" s="101">
        <v>393300</v>
      </c>
      <c r="H51" s="101">
        <f t="shared" si="0"/>
        <v>231653.69999999998</v>
      </c>
      <c r="I51" s="78">
        <v>58.9</v>
      </c>
      <c r="J51" s="101">
        <v>362110</v>
      </c>
      <c r="K51" s="78">
        <f t="shared" si="3"/>
        <v>48.483217450798463</v>
      </c>
      <c r="L51" s="101">
        <v>32300</v>
      </c>
      <c r="M51" s="101">
        <v>25700</v>
      </c>
    </row>
    <row r="52" spans="1:13">
      <c r="A52" s="99">
        <v>2009</v>
      </c>
      <c r="B52" s="101">
        <v>28914</v>
      </c>
      <c r="C52" s="101">
        <v>31425</v>
      </c>
      <c r="D52" s="101">
        <v>749956</v>
      </c>
      <c r="E52" s="101">
        <f t="shared" si="1"/>
        <v>38554.261850028532</v>
      </c>
      <c r="F52" s="101">
        <f t="shared" si="2"/>
        <v>41902.458277552279</v>
      </c>
      <c r="G52" s="101">
        <v>394200</v>
      </c>
      <c r="H52" s="101">
        <f t="shared" si="0"/>
        <v>231001.20000000004</v>
      </c>
      <c r="I52" s="78">
        <v>58.6</v>
      </c>
      <c r="J52" s="101">
        <v>362365</v>
      </c>
      <c r="K52" s="78">
        <f t="shared" si="3"/>
        <v>48.318167999189285</v>
      </c>
      <c r="L52" s="101">
        <v>33200</v>
      </c>
      <c r="M52" s="101">
        <v>25200</v>
      </c>
    </row>
    <row r="53" spans="1:13">
      <c r="A53" s="99">
        <v>2010</v>
      </c>
      <c r="B53" s="101">
        <v>30269</v>
      </c>
      <c r="C53" s="101">
        <v>32050</v>
      </c>
      <c r="D53" s="101">
        <v>753035</v>
      </c>
      <c r="E53" s="101">
        <f t="shared" si="1"/>
        <v>40196.006825711949</v>
      </c>
      <c r="F53" s="101">
        <f t="shared" si="2"/>
        <v>42561.102737588561</v>
      </c>
      <c r="G53" s="101">
        <v>394000</v>
      </c>
      <c r="H53" s="101">
        <f t="shared" si="0"/>
        <v>228125.99999999997</v>
      </c>
      <c r="I53" s="78">
        <v>57.9</v>
      </c>
      <c r="J53" s="101">
        <v>360235</v>
      </c>
      <c r="K53" s="78">
        <f t="shared" si="3"/>
        <v>47.837749905382879</v>
      </c>
      <c r="L53" s="101">
        <v>32900</v>
      </c>
      <c r="M53" s="101">
        <v>25500</v>
      </c>
    </row>
    <row r="54" spans="1:13">
      <c r="A54" s="99">
        <v>2011</v>
      </c>
      <c r="B54" s="101">
        <v>31561</v>
      </c>
      <c r="C54" s="101">
        <v>32136</v>
      </c>
      <c r="D54" s="101">
        <v>755705</v>
      </c>
      <c r="E54" s="101">
        <f t="shared" si="1"/>
        <v>41763.651160174937</v>
      </c>
      <c r="F54" s="101">
        <f t="shared" si="2"/>
        <v>42524.530074566137</v>
      </c>
      <c r="G54" s="101">
        <v>391900</v>
      </c>
      <c r="H54" s="101">
        <f t="shared" si="0"/>
        <v>223774.90000000002</v>
      </c>
      <c r="I54" s="78">
        <v>57.1</v>
      </c>
      <c r="J54" s="101">
        <v>357365</v>
      </c>
      <c r="K54" s="78">
        <f t="shared" si="3"/>
        <v>47.288955346332237</v>
      </c>
      <c r="L54" s="101">
        <v>33900</v>
      </c>
      <c r="M54" s="101">
        <v>26400</v>
      </c>
    </row>
    <row r="55" spans="1:13">
      <c r="A55" s="99">
        <v>2012</v>
      </c>
      <c r="B55" s="101">
        <v>31797</v>
      </c>
      <c r="C55" s="101">
        <v>31796</v>
      </c>
      <c r="D55" s="101">
        <v>758378</v>
      </c>
      <c r="E55" s="101">
        <f t="shared" si="1"/>
        <v>41927.640306021538</v>
      </c>
      <c r="F55" s="101">
        <f t="shared" si="2"/>
        <v>41926.321702370056</v>
      </c>
      <c r="G55" s="101">
        <v>393400</v>
      </c>
      <c r="H55" s="101">
        <f t="shared" si="0"/>
        <v>222664.40000000002</v>
      </c>
      <c r="I55" s="78">
        <v>56.6</v>
      </c>
      <c r="J55" s="101">
        <v>354275</v>
      </c>
      <c r="K55" s="78">
        <f t="shared" si="3"/>
        <v>46.714830862709626</v>
      </c>
      <c r="L55" s="101">
        <v>34087.44121899637</v>
      </c>
      <c r="M55" s="101">
        <v>26618.697975717074</v>
      </c>
    </row>
    <row r="56" spans="1:13">
      <c r="A56" s="99">
        <v>2013</v>
      </c>
      <c r="B56" s="101">
        <v>31891</v>
      </c>
      <c r="C56" s="101">
        <v>31710</v>
      </c>
      <c r="D56" s="101">
        <v>758544</v>
      </c>
      <c r="E56" s="101">
        <f t="shared" si="1"/>
        <v>42042.386466704636</v>
      </c>
      <c r="F56" s="101">
        <f t="shared" si="2"/>
        <v>41803.771435803326</v>
      </c>
      <c r="G56" s="101">
        <v>395700</v>
      </c>
      <c r="H56" s="101">
        <f t="shared" si="0"/>
        <v>224757.59999999998</v>
      </c>
      <c r="I56" s="78">
        <v>56.8</v>
      </c>
      <c r="J56" s="101">
        <v>352280</v>
      </c>
      <c r="K56" s="78">
        <f t="shared" si="3"/>
        <v>46.441603914868487</v>
      </c>
      <c r="L56" s="101">
        <v>34275.91884538444</v>
      </c>
      <c r="M56" s="101">
        <v>26839.207648577434</v>
      </c>
    </row>
    <row r="57" spans="1:13">
      <c r="A57" s="99">
        <v>2014</v>
      </c>
      <c r="B57" s="101">
        <v>32462</v>
      </c>
      <c r="C57" s="101">
        <v>31747</v>
      </c>
      <c r="D57" s="101">
        <v>758976</v>
      </c>
      <c r="E57" s="101">
        <f t="shared" si="1"/>
        <v>42770.785901003459</v>
      </c>
      <c r="F57" s="101">
        <f t="shared" si="2"/>
        <v>41828.727127076483</v>
      </c>
      <c r="G57" s="101">
        <v>394200</v>
      </c>
      <c r="H57" s="101">
        <f t="shared" si="0"/>
        <v>223117.2</v>
      </c>
      <c r="I57" s="78">
        <v>56.6</v>
      </c>
      <c r="J57" s="101">
        <v>351135</v>
      </c>
      <c r="K57" s="78">
        <f t="shared" si="3"/>
        <v>46.264308752845942</v>
      </c>
      <c r="L57" s="101">
        <v>34465.438609708908</v>
      </c>
      <c r="M57" s="101">
        <v>27061.544026705997</v>
      </c>
    </row>
    <row r="58" spans="1:13">
      <c r="A58" s="99">
        <v>2015</v>
      </c>
      <c r="B58" s="101">
        <v>33453</v>
      </c>
      <c r="C58" s="101">
        <v>31954</v>
      </c>
      <c r="D58" s="101">
        <v>758842</v>
      </c>
      <c r="E58" s="101">
        <f t="shared" si="1"/>
        <v>44084.275778093463</v>
      </c>
      <c r="F58" s="101">
        <f t="shared" si="2"/>
        <v>42108.897504355322</v>
      </c>
      <c r="G58" s="101">
        <v>392500</v>
      </c>
      <c r="H58" s="101">
        <f t="shared" si="0"/>
        <v>220977.49999999997</v>
      </c>
      <c r="I58" s="78">
        <v>56.3</v>
      </c>
      <c r="J58" s="101">
        <v>347695</v>
      </c>
      <c r="K58" s="78">
        <f t="shared" si="3"/>
        <v>45.819156029845473</v>
      </c>
      <c r="L58" s="101">
        <v>34656.006274200008</v>
      </c>
      <c r="M58" s="101">
        <v>27285.722242555203</v>
      </c>
    </row>
    <row r="59" spans="1:13">
      <c r="A59" s="99">
        <v>2016</v>
      </c>
      <c r="B59" s="101">
        <v>34330</v>
      </c>
      <c r="C59" s="101">
        <v>32213</v>
      </c>
      <c r="D59" s="101">
        <v>763350</v>
      </c>
      <c r="E59" s="101">
        <f t="shared" si="1"/>
        <v>44972.817187397653</v>
      </c>
      <c r="F59" s="101">
        <f t="shared" si="2"/>
        <v>42199.515294425888</v>
      </c>
      <c r="G59" s="101">
        <v>391500</v>
      </c>
      <c r="H59" s="101">
        <f t="shared" si="0"/>
        <v>219631.50000000003</v>
      </c>
      <c r="I59" s="78">
        <v>56.1</v>
      </c>
      <c r="J59" s="101">
        <v>352480</v>
      </c>
      <c r="K59" s="78">
        <f t="shared" si="3"/>
        <v>46.1754110172267</v>
      </c>
      <c r="L59" s="101">
        <v>34847.62763294873</v>
      </c>
      <c r="M59" s="101">
        <v>27511.757553934942</v>
      </c>
    </row>
    <row r="60" spans="1:13">
      <c r="A60" s="99">
        <v>2017</v>
      </c>
      <c r="B60" s="101">
        <v>35828</v>
      </c>
      <c r="C60" s="101">
        <v>33014</v>
      </c>
      <c r="D60" s="101">
        <v>766621</v>
      </c>
      <c r="E60" s="101">
        <f t="shared" si="1"/>
        <v>46734.957690958116</v>
      </c>
      <c r="F60" s="101">
        <f t="shared" si="2"/>
        <v>43064.304265080136</v>
      </c>
      <c r="G60" s="101">
        <v>387900</v>
      </c>
      <c r="H60" s="101">
        <f t="shared" si="0"/>
        <v>218387.69999999998</v>
      </c>
      <c r="I60" s="78">
        <v>56.3</v>
      </c>
      <c r="J60" s="101">
        <v>356810</v>
      </c>
      <c r="K60" s="78">
        <f t="shared" si="3"/>
        <v>46.543207138860012</v>
      </c>
      <c r="L60" s="101">
        <v>35040.308512082986</v>
      </c>
      <c r="M60" s="101">
        <v>27739.66534505102</v>
      </c>
    </row>
    <row r="61" spans="1:13">
      <c r="A61" s="99">
        <v>2018</v>
      </c>
      <c r="B61" s="101">
        <v>37105</v>
      </c>
      <c r="C61" s="101">
        <v>33176</v>
      </c>
      <c r="D61" s="101">
        <v>770301</v>
      </c>
      <c r="E61" s="101">
        <f t="shared" si="1"/>
        <v>48169.481799971698</v>
      </c>
      <c r="F61" s="101">
        <f t="shared" si="2"/>
        <v>43068.878269663415</v>
      </c>
      <c r="G61" s="101">
        <v>389700</v>
      </c>
      <c r="H61" s="101">
        <f t="shared" si="0"/>
        <v>219401.09999999998</v>
      </c>
      <c r="I61" s="78">
        <v>56.3</v>
      </c>
      <c r="J61" s="101">
        <v>356905</v>
      </c>
      <c r="K61" s="78">
        <f t="shared" si="3"/>
        <v>46.333186637431339</v>
      </c>
      <c r="L61" s="101">
        <v>35234.054769944742</v>
      </c>
      <c r="M61" s="101">
        <v>27969.461127552222</v>
      </c>
    </row>
    <row r="62" spans="1:13">
      <c r="A62" s="99">
        <v>2019</v>
      </c>
      <c r="B62" s="101">
        <v>38236</v>
      </c>
      <c r="C62" s="101">
        <v>33568</v>
      </c>
      <c r="D62" s="101">
        <v>776868</v>
      </c>
      <c r="E62" s="101">
        <f t="shared" si="1"/>
        <v>49218.142593078876</v>
      </c>
      <c r="F62" s="101">
        <f>1000000*C62/D62</f>
        <v>43209.399795074583</v>
      </c>
      <c r="G62" s="101">
        <v>393000</v>
      </c>
      <c r="H62" s="101">
        <f t="shared" si="0"/>
        <v>220866.00000000003</v>
      </c>
      <c r="I62" s="78">
        <v>56.2</v>
      </c>
      <c r="J62" s="101">
        <v>358395</v>
      </c>
      <c r="K62" s="78">
        <f t="shared" si="3"/>
        <v>46.133319946245692</v>
      </c>
      <c r="L62" s="101">
        <v>35428.872297268143</v>
      </c>
      <c r="M62" s="101">
        <v>28201.16054158605</v>
      </c>
    </row>
    <row r="63" spans="1:13">
      <c r="L63" s="101"/>
      <c r="M63" s="101"/>
    </row>
    <row r="65" spans="1:19">
      <c r="A65" s="99" t="s">
        <v>339</v>
      </c>
      <c r="B65" s="271" t="s">
        <v>87</v>
      </c>
      <c r="C65" s="271" t="s">
        <v>87</v>
      </c>
      <c r="D65" s="257">
        <f t="shared" ref="D65" si="4">IFERROR(100*_xlfn.RRI(20,D4,D24),"..")</f>
        <v>0.82828063765976179</v>
      </c>
      <c r="E65" s="271" t="s">
        <v>87</v>
      </c>
      <c r="F65" s="271" t="s">
        <v>87</v>
      </c>
      <c r="G65" s="271" t="s">
        <v>87</v>
      </c>
      <c r="H65" s="271" t="s">
        <v>87</v>
      </c>
      <c r="I65" s="271" t="s">
        <v>87</v>
      </c>
      <c r="J65" s="271" t="s">
        <v>87</v>
      </c>
      <c r="K65" s="271" t="s">
        <v>87</v>
      </c>
      <c r="L65" s="271" t="s">
        <v>87</v>
      </c>
      <c r="M65" s="271" t="s">
        <v>87</v>
      </c>
      <c r="N65" s="322"/>
      <c r="O65" s="322"/>
      <c r="P65" s="322"/>
      <c r="Q65" s="322"/>
      <c r="R65" s="322"/>
      <c r="S65" s="322"/>
    </row>
    <row r="66" spans="1:19">
      <c r="A66" s="99" t="s">
        <v>12</v>
      </c>
      <c r="B66" s="257">
        <f>IFERROR(100*_xlfn.RRI(19,B24,B43),"..")</f>
        <v>6.2087874618408589</v>
      </c>
      <c r="C66" s="257">
        <f t="shared" ref="C66:M66" si="5">IFERROR(100*_xlfn.RRI(19,C24,C43),"..")</f>
        <v>2.5338503005175816</v>
      </c>
      <c r="D66" s="257">
        <f t="shared" si="5"/>
        <v>0.31907037382792325</v>
      </c>
      <c r="E66" s="257">
        <f t="shared" si="5"/>
        <v>5.8709845157710827</v>
      </c>
      <c r="F66" s="257">
        <f t="shared" si="5"/>
        <v>2.2077356961508254</v>
      </c>
      <c r="G66" s="257">
        <f t="shared" si="5"/>
        <v>1.2417113249754363</v>
      </c>
      <c r="H66" s="257">
        <f t="shared" si="5"/>
        <v>1.8111374000958635</v>
      </c>
      <c r="I66" s="257">
        <f t="shared" si="5"/>
        <v>0.56244216703591476</v>
      </c>
      <c r="J66" s="271" t="s">
        <v>87</v>
      </c>
      <c r="K66" s="271" t="s">
        <v>87</v>
      </c>
      <c r="L66" s="257">
        <f t="shared" si="5"/>
        <v>0.45740819022868084</v>
      </c>
      <c r="M66" s="257">
        <f t="shared" si="5"/>
        <v>0.19514422046009727</v>
      </c>
      <c r="N66" s="322"/>
      <c r="O66" s="322"/>
      <c r="P66" s="322"/>
      <c r="Q66" s="322"/>
      <c r="R66" s="322"/>
      <c r="S66" s="322"/>
    </row>
    <row r="67" spans="1:19">
      <c r="A67" s="99" t="s">
        <v>206</v>
      </c>
      <c r="B67" s="257">
        <f>IFERROR(100*_xlfn.RRI(8,B43,B51),"..")</f>
        <v>4.1125469718332752</v>
      </c>
      <c r="C67" s="257">
        <f t="shared" ref="C67:M67" si="6">IFERROR(100*_xlfn.RRI(8,C43,C51),"..")</f>
        <v>2.0146485057426666</v>
      </c>
      <c r="D67" s="257">
        <f t="shared" si="6"/>
        <v>-6.0753905362165295E-2</v>
      </c>
      <c r="E67" s="257">
        <f t="shared" si="6"/>
        <v>4.1758378617780645</v>
      </c>
      <c r="F67" s="257">
        <f t="shared" si="6"/>
        <v>2.0766640656259439</v>
      </c>
      <c r="G67" s="257">
        <f t="shared" si="6"/>
        <v>0.82089319008165074</v>
      </c>
      <c r="H67" s="257">
        <f t="shared" si="6"/>
        <v>1.5959116818823782</v>
      </c>
      <c r="I67" s="257">
        <f t="shared" si="6"/>
        <v>0.76870821838441739</v>
      </c>
      <c r="J67" s="257">
        <f t="shared" si="6"/>
        <v>0.88422346544163588</v>
      </c>
      <c r="K67" s="257">
        <f t="shared" si="6"/>
        <v>0.94555183046804991</v>
      </c>
      <c r="L67" s="257">
        <f t="shared" si="6"/>
        <v>0.88567482511636708</v>
      </c>
      <c r="M67" s="257">
        <f t="shared" si="6"/>
        <v>1.9621079222368554</v>
      </c>
      <c r="N67" s="322"/>
      <c r="O67" s="322"/>
      <c r="P67" s="322"/>
      <c r="Q67" s="322"/>
      <c r="R67" s="322"/>
      <c r="S67" s="322"/>
    </row>
    <row r="68" spans="1:19">
      <c r="A68" s="99" t="s">
        <v>207</v>
      </c>
      <c r="B68" s="257">
        <f>IFERROR(100*_xlfn.RRI(11,B51,B62),"..")</f>
        <v>2.5962655009741598</v>
      </c>
      <c r="C68" s="257">
        <f t="shared" ref="C68:M68" si="7">IFERROR(100*_xlfn.RRI(11,C51,C62),"..")</f>
        <v>0.46813624989339164</v>
      </c>
      <c r="D68" s="257">
        <f t="shared" si="7"/>
        <v>0.35854979218146177</v>
      </c>
      <c r="E68" s="257">
        <f t="shared" si="7"/>
        <v>2.229721048606681</v>
      </c>
      <c r="F68" s="257">
        <f t="shared" si="7"/>
        <v>0.10919493948333692</v>
      </c>
      <c r="G68" s="257">
        <f t="shared" si="7"/>
        <v>-6.9367372927287008E-3</v>
      </c>
      <c r="H68" s="257">
        <f t="shared" si="7"/>
        <v>-0.43258348082642062</v>
      </c>
      <c r="I68" s="257">
        <f t="shared" si="7"/>
        <v>-0.42567627157836796</v>
      </c>
      <c r="J68" s="257">
        <f t="shared" si="7"/>
        <v>-9.3704278824191523E-2</v>
      </c>
      <c r="K68" s="257">
        <f t="shared" si="7"/>
        <v>-0.4506383082878096</v>
      </c>
      <c r="L68" s="257">
        <f t="shared" si="7"/>
        <v>0.84408666468038795</v>
      </c>
      <c r="M68" s="257">
        <f t="shared" si="7"/>
        <v>0.8478663723056501</v>
      </c>
      <c r="N68" s="322"/>
      <c r="O68" s="322"/>
      <c r="P68" s="322"/>
      <c r="Q68" s="322"/>
      <c r="R68" s="322"/>
      <c r="S68" s="322"/>
    </row>
    <row r="69" spans="1:19">
      <c r="A69" s="99" t="s">
        <v>9</v>
      </c>
      <c r="B69" s="271" t="s">
        <v>87</v>
      </c>
      <c r="C69" s="271" t="s">
        <v>87</v>
      </c>
      <c r="D69" s="257">
        <f t="shared" ref="D69:M69" si="8">IFERROR(100*_xlfn.RRI(43,D19,D62),"..")</f>
        <v>0.27785613572930412</v>
      </c>
      <c r="E69" s="271" t="s">
        <v>87</v>
      </c>
      <c r="F69" s="271" t="s">
        <v>87</v>
      </c>
      <c r="G69" s="257">
        <f t="shared" si="8"/>
        <v>0.96900809162852042</v>
      </c>
      <c r="H69" s="257">
        <f t="shared" si="8"/>
        <v>1.3400230217761155</v>
      </c>
      <c r="I69" s="257">
        <f t="shared" si="8"/>
        <v>0.36745426855229191</v>
      </c>
      <c r="J69" s="271" t="s">
        <v>87</v>
      </c>
      <c r="K69" s="271" t="s">
        <v>87</v>
      </c>
      <c r="L69" s="257">
        <f t="shared" si="8"/>
        <v>0.41102856254426889</v>
      </c>
      <c r="M69" s="257">
        <f t="shared" si="8"/>
        <v>0.27128658513120296</v>
      </c>
      <c r="N69" s="322"/>
      <c r="O69" s="322"/>
      <c r="P69" s="322"/>
      <c r="Q69" s="322"/>
      <c r="R69" s="322"/>
      <c r="S69" s="322"/>
    </row>
    <row r="73" spans="1:19">
      <c r="A73" s="99" t="s">
        <v>301</v>
      </c>
      <c r="D73" s="99" t="s">
        <v>340</v>
      </c>
    </row>
    <row r="74" spans="1:19">
      <c r="D74" s="99" t="s">
        <v>341</v>
      </c>
    </row>
    <row r="75" spans="1:19">
      <c r="D75" s="99" t="s">
        <v>342</v>
      </c>
    </row>
    <row r="76" spans="1:19">
      <c r="D76" s="99" t="s">
        <v>343</v>
      </c>
    </row>
    <row r="77" spans="1:19" ht="73" customHeight="1">
      <c r="D77" s="355" t="s">
        <v>344</v>
      </c>
      <c r="E77" s="355"/>
      <c r="F77" s="355"/>
      <c r="G77" s="355"/>
      <c r="H77" s="355"/>
      <c r="I77" s="355"/>
      <c r="J77" s="355"/>
      <c r="K77" s="355"/>
    </row>
    <row r="78" spans="1:19" ht="77" customHeight="1">
      <c r="D78" s="355" t="s">
        <v>345</v>
      </c>
      <c r="E78" s="355"/>
      <c r="F78" s="355"/>
      <c r="G78" s="355"/>
      <c r="H78" s="355"/>
      <c r="I78" s="355"/>
      <c r="J78" s="355"/>
      <c r="K78" s="355"/>
    </row>
  </sheetData>
  <mergeCells count="2">
    <mergeCell ref="D77:K77"/>
    <mergeCell ref="D78:K78"/>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72E1-7325-4844-B54A-FDB373F94CB3}">
  <sheetPr codeName="Sheet52"/>
  <dimension ref="A1:N78"/>
  <sheetViews>
    <sheetView zoomScale="64" workbookViewId="0">
      <selection activeCell="Q62" sqref="Q62"/>
    </sheetView>
  </sheetViews>
  <sheetFormatPr baseColWidth="10" defaultColWidth="11" defaultRowHeight="16"/>
  <cols>
    <col min="1" max="1" width="11" style="27"/>
    <col min="2" max="2" width="16.5" style="27" customWidth="1"/>
    <col min="3" max="3" width="18" style="27" customWidth="1"/>
    <col min="4" max="4" width="17.33203125" style="27" customWidth="1"/>
    <col min="5" max="5" width="15.33203125" style="27" customWidth="1"/>
    <col min="6" max="6" width="16.33203125" style="27" customWidth="1"/>
    <col min="7" max="7" width="15" style="27" customWidth="1"/>
    <col min="8" max="8" width="17" style="27" customWidth="1"/>
    <col min="9" max="9" width="17.5" style="27" customWidth="1"/>
    <col min="10" max="10" width="17.1640625" style="27" customWidth="1"/>
    <col min="11" max="11" width="15.5" style="27" customWidth="1"/>
    <col min="12" max="12" width="17" style="27" customWidth="1"/>
    <col min="13" max="16384" width="11" style="27"/>
  </cols>
  <sheetData>
    <row r="1" spans="1:14">
      <c r="A1" s="94" t="s">
        <v>684</v>
      </c>
    </row>
    <row r="2" spans="1:14" ht="98" customHeight="1">
      <c r="A2" s="95"/>
      <c r="B2" s="96" t="s">
        <v>346</v>
      </c>
      <c r="C2" s="96" t="s">
        <v>347</v>
      </c>
      <c r="D2" s="96" t="s">
        <v>348</v>
      </c>
      <c r="E2" s="96" t="s">
        <v>349</v>
      </c>
      <c r="F2" s="96" t="s">
        <v>350</v>
      </c>
      <c r="G2" s="96" t="s">
        <v>351</v>
      </c>
      <c r="H2" s="96" t="s">
        <v>352</v>
      </c>
      <c r="I2" s="96" t="s">
        <v>353</v>
      </c>
      <c r="J2" s="96" t="s">
        <v>354</v>
      </c>
      <c r="K2" s="96" t="s">
        <v>355</v>
      </c>
      <c r="L2" s="96" t="s">
        <v>356</v>
      </c>
    </row>
    <row r="3" spans="1:14" ht="17">
      <c r="A3" s="31"/>
      <c r="B3" s="135" t="s">
        <v>109</v>
      </c>
      <c r="C3" s="85" t="s">
        <v>110</v>
      </c>
      <c r="D3" s="93" t="s">
        <v>111</v>
      </c>
      <c r="E3" s="143" t="s">
        <v>112</v>
      </c>
      <c r="F3" s="143" t="s">
        <v>113</v>
      </c>
      <c r="G3" s="143" t="s">
        <v>114</v>
      </c>
      <c r="H3" s="143" t="s">
        <v>129</v>
      </c>
      <c r="I3" s="143" t="s">
        <v>130</v>
      </c>
      <c r="J3" s="143" t="s">
        <v>243</v>
      </c>
      <c r="K3" s="143" t="s">
        <v>261</v>
      </c>
      <c r="L3" s="143" t="s">
        <v>244</v>
      </c>
    </row>
    <row r="4" spans="1:14">
      <c r="A4" s="97">
        <v>1961</v>
      </c>
      <c r="B4" s="143" t="s">
        <v>87</v>
      </c>
      <c r="C4" s="143" t="s">
        <v>87</v>
      </c>
      <c r="D4" s="143">
        <v>3.2546508487491481</v>
      </c>
      <c r="E4" s="143" t="s">
        <v>87</v>
      </c>
      <c r="F4" s="143" t="s">
        <v>87</v>
      </c>
      <c r="G4" s="143" t="s">
        <v>87</v>
      </c>
      <c r="H4" s="143" t="s">
        <v>87</v>
      </c>
      <c r="I4" s="143" t="s">
        <v>87</v>
      </c>
      <c r="J4" s="143" t="s">
        <v>87</v>
      </c>
      <c r="K4" s="143" t="s">
        <v>87</v>
      </c>
      <c r="L4" s="143" t="s">
        <v>87</v>
      </c>
    </row>
    <row r="5" spans="1:14">
      <c r="A5" s="97">
        <v>1962</v>
      </c>
      <c r="B5" s="143" t="s">
        <v>87</v>
      </c>
      <c r="C5" s="143" t="s">
        <v>87</v>
      </c>
      <c r="D5" s="143">
        <v>3.2259611733723603</v>
      </c>
      <c r="E5" s="143" t="s">
        <v>87</v>
      </c>
      <c r="F5" s="143" t="s">
        <v>87</v>
      </c>
      <c r="G5" s="143" t="s">
        <v>87</v>
      </c>
      <c r="H5" s="143" t="s">
        <v>87</v>
      </c>
      <c r="I5" s="143" t="s">
        <v>87</v>
      </c>
      <c r="J5" s="143" t="s">
        <v>87</v>
      </c>
      <c r="K5" s="143" t="s">
        <v>87</v>
      </c>
      <c r="L5" s="143" t="s">
        <v>87</v>
      </c>
      <c r="N5" s="143"/>
    </row>
    <row r="6" spans="1:14">
      <c r="A6" s="97">
        <v>1963</v>
      </c>
      <c r="B6" s="143" t="s">
        <v>87</v>
      </c>
      <c r="C6" s="143" t="s">
        <v>87</v>
      </c>
      <c r="D6" s="143">
        <v>3.1875156106905944</v>
      </c>
      <c r="E6" s="143" t="s">
        <v>87</v>
      </c>
      <c r="F6" s="143" t="s">
        <v>87</v>
      </c>
      <c r="G6" s="143" t="s">
        <v>87</v>
      </c>
      <c r="H6" s="143" t="s">
        <v>87</v>
      </c>
      <c r="I6" s="143" t="s">
        <v>87</v>
      </c>
      <c r="J6" s="143" t="s">
        <v>87</v>
      </c>
      <c r="K6" s="143" t="s">
        <v>87</v>
      </c>
      <c r="L6" s="143" t="s">
        <v>87</v>
      </c>
    </row>
    <row r="7" spans="1:14">
      <c r="A7" s="97">
        <v>1964</v>
      </c>
      <c r="B7" s="143" t="s">
        <v>87</v>
      </c>
      <c r="C7" s="143" t="s">
        <v>87</v>
      </c>
      <c r="D7" s="143">
        <v>3.1436887975382031</v>
      </c>
      <c r="E7" s="143" t="s">
        <v>87</v>
      </c>
      <c r="F7" s="143" t="s">
        <v>87</v>
      </c>
      <c r="G7" s="143" t="s">
        <v>87</v>
      </c>
      <c r="H7" s="143" t="s">
        <v>87</v>
      </c>
      <c r="I7" s="143" t="s">
        <v>87</v>
      </c>
      <c r="J7" s="143" t="s">
        <v>87</v>
      </c>
      <c r="K7" s="143" t="s">
        <v>87</v>
      </c>
      <c r="L7" s="143" t="s">
        <v>87</v>
      </c>
    </row>
    <row r="8" spans="1:14">
      <c r="A8" s="97">
        <v>1965</v>
      </c>
      <c r="B8" s="143" t="s">
        <v>87</v>
      </c>
      <c r="C8" s="143" t="s">
        <v>87</v>
      </c>
      <c r="D8" s="143">
        <v>3.1017771617913912</v>
      </c>
      <c r="E8" s="143" t="s">
        <v>87</v>
      </c>
      <c r="F8" s="143" t="s">
        <v>87</v>
      </c>
      <c r="G8" s="143" t="s">
        <v>87</v>
      </c>
      <c r="H8" s="143" t="s">
        <v>87</v>
      </c>
      <c r="I8" s="143" t="s">
        <v>87</v>
      </c>
      <c r="J8" s="143" t="s">
        <v>87</v>
      </c>
      <c r="K8" s="143" t="s">
        <v>87</v>
      </c>
      <c r="L8" s="143" t="s">
        <v>87</v>
      </c>
    </row>
    <row r="9" spans="1:14">
      <c r="A9" s="97">
        <v>1966</v>
      </c>
      <c r="B9" s="143" t="s">
        <v>87</v>
      </c>
      <c r="C9" s="143" t="s">
        <v>87</v>
      </c>
      <c r="D9" s="143">
        <v>3.0552212324118813</v>
      </c>
      <c r="E9" s="143" t="s">
        <v>87</v>
      </c>
      <c r="F9" s="143" t="s">
        <v>87</v>
      </c>
      <c r="G9" s="143" t="s">
        <v>87</v>
      </c>
      <c r="H9" s="143" t="s">
        <v>87</v>
      </c>
      <c r="I9" s="143" t="s">
        <v>87</v>
      </c>
      <c r="J9" s="143" t="s">
        <v>87</v>
      </c>
      <c r="K9" s="143" t="s">
        <v>87</v>
      </c>
      <c r="L9" s="143" t="s">
        <v>87</v>
      </c>
    </row>
    <row r="10" spans="1:14">
      <c r="A10" s="97">
        <v>1967</v>
      </c>
      <c r="B10" s="143" t="s">
        <v>87</v>
      </c>
      <c r="C10" s="143" t="s">
        <v>87</v>
      </c>
      <c r="D10" s="143">
        <v>3.0197225939921282</v>
      </c>
      <c r="E10" s="143" t="s">
        <v>87</v>
      </c>
      <c r="F10" s="143" t="s">
        <v>87</v>
      </c>
      <c r="G10" s="143" t="s">
        <v>87</v>
      </c>
      <c r="H10" s="143" t="s">
        <v>87</v>
      </c>
      <c r="I10" s="143" t="s">
        <v>87</v>
      </c>
      <c r="J10" s="143" t="s">
        <v>87</v>
      </c>
      <c r="K10" s="143" t="s">
        <v>87</v>
      </c>
      <c r="L10" s="143" t="s">
        <v>87</v>
      </c>
    </row>
    <row r="11" spans="1:14">
      <c r="A11" s="97">
        <v>1968</v>
      </c>
      <c r="B11" s="143" t="s">
        <v>87</v>
      </c>
      <c r="C11" s="143" t="s">
        <v>87</v>
      </c>
      <c r="D11" s="143">
        <v>2.9957465540411974</v>
      </c>
      <c r="E11" s="143" t="s">
        <v>87</v>
      </c>
      <c r="F11" s="143" t="s">
        <v>87</v>
      </c>
      <c r="G11" s="143" t="s">
        <v>87</v>
      </c>
      <c r="H11" s="143" t="s">
        <v>87</v>
      </c>
      <c r="I11" s="143" t="s">
        <v>87</v>
      </c>
      <c r="J11" s="143" t="s">
        <v>87</v>
      </c>
      <c r="K11" s="143" t="s">
        <v>87</v>
      </c>
      <c r="L11" s="143" t="s">
        <v>87</v>
      </c>
    </row>
    <row r="12" spans="1:14">
      <c r="A12" s="97">
        <v>1969</v>
      </c>
      <c r="B12" s="143" t="s">
        <v>87</v>
      </c>
      <c r="C12" s="143" t="s">
        <v>87</v>
      </c>
      <c r="D12" s="143">
        <v>2.9620506750822613</v>
      </c>
      <c r="E12" s="143" t="s">
        <v>87</v>
      </c>
      <c r="F12" s="143" t="s">
        <v>87</v>
      </c>
      <c r="G12" s="143" t="s">
        <v>87</v>
      </c>
      <c r="H12" s="143" t="s">
        <v>87</v>
      </c>
      <c r="I12" s="143" t="s">
        <v>87</v>
      </c>
      <c r="J12" s="143" t="s">
        <v>87</v>
      </c>
      <c r="K12" s="143" t="s">
        <v>87</v>
      </c>
      <c r="L12" s="143" t="s">
        <v>87</v>
      </c>
    </row>
    <row r="13" spans="1:14">
      <c r="A13" s="97">
        <v>1970</v>
      </c>
      <c r="B13" s="143" t="s">
        <v>87</v>
      </c>
      <c r="C13" s="143" t="s">
        <v>87</v>
      </c>
      <c r="D13" s="143">
        <v>2.9212463833397888</v>
      </c>
      <c r="E13" s="143" t="s">
        <v>87</v>
      </c>
      <c r="F13" s="143" t="s">
        <v>87</v>
      </c>
      <c r="G13" s="143" t="s">
        <v>87</v>
      </c>
      <c r="H13" s="143" t="s">
        <v>87</v>
      </c>
      <c r="I13" s="143" t="s">
        <v>87</v>
      </c>
      <c r="J13" s="143" t="s">
        <v>87</v>
      </c>
      <c r="K13" s="143" t="s">
        <v>87</v>
      </c>
      <c r="L13" s="143" t="s">
        <v>87</v>
      </c>
    </row>
    <row r="14" spans="1:14">
      <c r="A14" s="97">
        <v>1971</v>
      </c>
      <c r="B14" s="143" t="s">
        <v>87</v>
      </c>
      <c r="C14" s="143" t="s">
        <v>87</v>
      </c>
      <c r="D14" s="143">
        <v>2.9253713863999469</v>
      </c>
      <c r="E14" s="143" t="s">
        <v>87</v>
      </c>
      <c r="F14" s="143" t="s">
        <v>87</v>
      </c>
      <c r="G14" s="143" t="s">
        <v>87</v>
      </c>
      <c r="H14" s="143" t="s">
        <v>87</v>
      </c>
      <c r="I14" s="143" t="s">
        <v>87</v>
      </c>
      <c r="J14" s="143" t="s">
        <v>87</v>
      </c>
      <c r="K14" s="143" t="s">
        <v>87</v>
      </c>
      <c r="L14" s="143" t="s">
        <v>87</v>
      </c>
    </row>
    <row r="15" spans="1:14">
      <c r="A15" s="97">
        <v>1972</v>
      </c>
      <c r="B15" s="143" t="s">
        <v>87</v>
      </c>
      <c r="C15" s="143" t="s">
        <v>87</v>
      </c>
      <c r="D15" s="143">
        <v>2.9199544540952269</v>
      </c>
      <c r="E15" s="143" t="s">
        <v>87</v>
      </c>
      <c r="F15" s="143" t="s">
        <v>87</v>
      </c>
      <c r="G15" s="143" t="s">
        <v>87</v>
      </c>
      <c r="H15" s="143" t="s">
        <v>87</v>
      </c>
      <c r="I15" s="143" t="s">
        <v>87</v>
      </c>
      <c r="J15" s="143" t="s">
        <v>87</v>
      </c>
      <c r="K15" s="143" t="s">
        <v>87</v>
      </c>
      <c r="L15" s="143" t="s">
        <v>87</v>
      </c>
    </row>
    <row r="16" spans="1:14">
      <c r="A16" s="97">
        <v>1973</v>
      </c>
      <c r="B16" s="143" t="s">
        <v>87</v>
      </c>
      <c r="C16" s="143" t="s">
        <v>87</v>
      </c>
      <c r="D16" s="143">
        <v>2.9198226534079543</v>
      </c>
      <c r="E16" s="143" t="s">
        <v>87</v>
      </c>
      <c r="F16" s="143" t="s">
        <v>87</v>
      </c>
      <c r="G16" s="143" t="s">
        <v>87</v>
      </c>
      <c r="H16" s="143" t="s">
        <v>87</v>
      </c>
      <c r="I16" s="143" t="s">
        <v>87</v>
      </c>
      <c r="J16" s="143" t="s">
        <v>87</v>
      </c>
      <c r="K16" s="143" t="s">
        <v>87</v>
      </c>
      <c r="L16" s="143" t="s">
        <v>87</v>
      </c>
    </row>
    <row r="17" spans="1:12">
      <c r="A17" s="97">
        <v>1974</v>
      </c>
      <c r="B17" s="143" t="s">
        <v>87</v>
      </c>
      <c r="C17" s="143" t="s">
        <v>87</v>
      </c>
      <c r="D17" s="143">
        <v>2.9145251819660047</v>
      </c>
      <c r="E17" s="143" t="s">
        <v>87</v>
      </c>
      <c r="F17" s="143" t="s">
        <v>87</v>
      </c>
      <c r="G17" s="143" t="s">
        <v>87</v>
      </c>
      <c r="H17" s="143" t="s">
        <v>87</v>
      </c>
      <c r="I17" s="143" t="s">
        <v>87</v>
      </c>
      <c r="J17" s="143" t="s">
        <v>87</v>
      </c>
      <c r="K17" s="143" t="s">
        <v>87</v>
      </c>
      <c r="L17" s="143" t="s">
        <v>87</v>
      </c>
    </row>
    <row r="18" spans="1:12">
      <c r="A18" s="97">
        <v>1975</v>
      </c>
      <c r="B18" s="143" t="s">
        <v>87</v>
      </c>
      <c r="C18" s="143" t="s">
        <v>87</v>
      </c>
      <c r="D18" s="143">
        <v>2.925290392133352</v>
      </c>
      <c r="E18" s="143" t="s">
        <v>87</v>
      </c>
      <c r="F18" s="143" t="s">
        <v>87</v>
      </c>
      <c r="G18" s="143" t="s">
        <v>87</v>
      </c>
      <c r="H18" s="143" t="s">
        <v>87</v>
      </c>
      <c r="I18" s="143" t="s">
        <v>87</v>
      </c>
      <c r="J18" s="143" t="s">
        <v>87</v>
      </c>
      <c r="K18" s="143" t="s">
        <v>87</v>
      </c>
      <c r="L18" s="143" t="s">
        <v>87</v>
      </c>
    </row>
    <row r="19" spans="1:12">
      <c r="A19" s="97">
        <v>1976</v>
      </c>
      <c r="B19" s="143" t="s">
        <v>87</v>
      </c>
      <c r="C19" s="143" t="s">
        <v>87</v>
      </c>
      <c r="D19" s="143">
        <v>2.9402969951822207</v>
      </c>
      <c r="E19" s="143" t="s">
        <v>87</v>
      </c>
      <c r="F19" s="143" t="s">
        <v>87</v>
      </c>
      <c r="G19" s="143">
        <v>2.4744311953714031</v>
      </c>
      <c r="H19" s="143">
        <v>2.0800822658113369</v>
      </c>
      <c r="I19" s="143">
        <v>0.84063047285464099</v>
      </c>
      <c r="J19" s="143" t="s">
        <v>87</v>
      </c>
      <c r="K19" s="8">
        <v>93.690851735015769</v>
      </c>
      <c r="L19" s="8">
        <v>66.755319148936167</v>
      </c>
    </row>
    <row r="20" spans="1:12">
      <c r="A20" s="97">
        <v>1977</v>
      </c>
      <c r="B20" s="143" t="s">
        <v>87</v>
      </c>
      <c r="C20" s="143" t="s">
        <v>87</v>
      </c>
      <c r="D20" s="143">
        <v>2.9328483712886411</v>
      </c>
      <c r="E20" s="143" t="s">
        <v>87</v>
      </c>
      <c r="F20" s="143" t="s">
        <v>87</v>
      </c>
      <c r="G20" s="143">
        <v>2.4413084597411268</v>
      </c>
      <c r="H20" s="143">
        <v>1.9950939082242953</v>
      </c>
      <c r="I20" s="143">
        <v>0.81722319859402459</v>
      </c>
      <c r="J20" s="143" t="s">
        <v>87</v>
      </c>
      <c r="K20" s="8">
        <v>95.59748427672956</v>
      </c>
      <c r="L20" s="8">
        <v>70.994475138121544</v>
      </c>
    </row>
    <row r="21" spans="1:12">
      <c r="A21" s="97">
        <v>1978</v>
      </c>
      <c r="B21" s="143" t="s">
        <v>87</v>
      </c>
      <c r="C21" s="143" t="s">
        <v>87</v>
      </c>
      <c r="D21" s="143">
        <v>2.9191172816088065</v>
      </c>
      <c r="E21" s="143" t="s">
        <v>87</v>
      </c>
      <c r="F21" s="143" t="s">
        <v>87</v>
      </c>
      <c r="G21" s="143">
        <v>2.4501102684094453</v>
      </c>
      <c r="H21" s="143">
        <v>2.0453094414548412</v>
      </c>
      <c r="I21" s="143">
        <v>0.83478260869565213</v>
      </c>
      <c r="J21" s="143" t="s">
        <v>87</v>
      </c>
      <c r="K21" s="8">
        <v>90.189873417721529</v>
      </c>
      <c r="L21" s="8">
        <v>62.19178082191781</v>
      </c>
    </row>
    <row r="22" spans="1:12">
      <c r="A22" s="97">
        <v>1979</v>
      </c>
      <c r="B22" s="143" t="s">
        <v>87</v>
      </c>
      <c r="C22" s="143" t="s">
        <v>87</v>
      </c>
      <c r="D22" s="143">
        <v>2.9054261992540642</v>
      </c>
      <c r="E22" s="143" t="s">
        <v>87</v>
      </c>
      <c r="F22" s="143" t="s">
        <v>87</v>
      </c>
      <c r="G22" s="143">
        <v>2.433104787330866</v>
      </c>
      <c r="H22" s="143">
        <v>2.0406685313097581</v>
      </c>
      <c r="I22" s="143">
        <v>0.83870967741935487</v>
      </c>
      <c r="J22" s="143" t="s">
        <v>87</v>
      </c>
      <c r="K22" s="8">
        <v>92.307692307692307</v>
      </c>
      <c r="L22" s="8">
        <v>66.295264623955433</v>
      </c>
    </row>
    <row r="23" spans="1:12">
      <c r="A23" s="97">
        <v>1980</v>
      </c>
      <c r="B23" s="143" t="s">
        <v>87</v>
      </c>
      <c r="C23" s="143" t="s">
        <v>87</v>
      </c>
      <c r="D23" s="143">
        <v>2.8806844211091627</v>
      </c>
      <c r="E23" s="143" t="s">
        <v>87</v>
      </c>
      <c r="F23" s="143" t="s">
        <v>87</v>
      </c>
      <c r="G23" s="143">
        <v>2.4050036197114331</v>
      </c>
      <c r="H23" s="143">
        <v>2.004169683092861</v>
      </c>
      <c r="I23" s="143">
        <v>0.83333333333333337</v>
      </c>
      <c r="J23" s="143" t="s">
        <v>87</v>
      </c>
      <c r="K23" s="8">
        <v>92.556634304207122</v>
      </c>
      <c r="L23" s="8">
        <v>64.623955431754879</v>
      </c>
    </row>
    <row r="24" spans="1:12">
      <c r="A24" s="97">
        <v>1981</v>
      </c>
      <c r="B24" s="143">
        <v>1.805851915799304</v>
      </c>
      <c r="C24" s="143">
        <v>1.9392517733630033</v>
      </c>
      <c r="D24" s="143">
        <v>2.8462547111865613</v>
      </c>
      <c r="E24" s="143">
        <v>0.63446602607342584</v>
      </c>
      <c r="F24" s="143">
        <v>0.6813345853205659</v>
      </c>
      <c r="G24" s="143">
        <v>2.3815361480246491</v>
      </c>
      <c r="H24" s="143">
        <v>1.9733860261502085</v>
      </c>
      <c r="I24" s="143">
        <v>0.82861896838602322</v>
      </c>
      <c r="J24" s="143" t="s">
        <v>87</v>
      </c>
      <c r="K24" s="8">
        <v>91.089108910891099</v>
      </c>
      <c r="L24" s="8">
        <v>60.227272727272727</v>
      </c>
    </row>
    <row r="25" spans="1:12">
      <c r="A25" s="97">
        <v>1982</v>
      </c>
      <c r="B25" s="143">
        <v>1.877217071417715</v>
      </c>
      <c r="C25" s="143">
        <v>2.0134092940442914</v>
      </c>
      <c r="D25" s="143">
        <v>2.8166526004638626</v>
      </c>
      <c r="E25" s="143">
        <v>0.66647092762116444</v>
      </c>
      <c r="F25" s="143">
        <v>0.71482343747777488</v>
      </c>
      <c r="G25" s="143">
        <v>2.3492497032954525</v>
      </c>
      <c r="H25" s="143">
        <v>1.95155821774631</v>
      </c>
      <c r="I25" s="143">
        <v>0.83071553228621298</v>
      </c>
      <c r="J25" s="143" t="s">
        <v>87</v>
      </c>
      <c r="K25" s="8">
        <v>94.73684210526315</v>
      </c>
      <c r="L25" s="8">
        <v>61.72106824925816</v>
      </c>
    </row>
    <row r="26" spans="1:12">
      <c r="A26" s="97">
        <v>1983</v>
      </c>
      <c r="B26" s="143">
        <v>1.9754768392370572</v>
      </c>
      <c r="C26" s="143">
        <v>2.1075884506648457</v>
      </c>
      <c r="D26" s="143">
        <v>2.8180607527635617</v>
      </c>
      <c r="E26" s="143">
        <v>0.70100576692670113</v>
      </c>
      <c r="F26" s="143">
        <v>0.74788609457692368</v>
      </c>
      <c r="G26" s="143">
        <v>2.3571953127494494</v>
      </c>
      <c r="H26" s="143">
        <v>1.9636389775803846</v>
      </c>
      <c r="I26" s="143">
        <v>0.83304042179261861</v>
      </c>
      <c r="J26" s="143" t="s">
        <v>87</v>
      </c>
      <c r="K26" s="8">
        <v>97.445255474452551</v>
      </c>
      <c r="L26" s="8">
        <v>55.029585798816569</v>
      </c>
    </row>
    <row r="27" spans="1:12">
      <c r="A27" s="97">
        <v>1984</v>
      </c>
      <c r="B27" s="143">
        <v>1.9944327317278014</v>
      </c>
      <c r="C27" s="143">
        <v>2.034627170470797</v>
      </c>
      <c r="D27" s="143">
        <v>2.8136310726579898</v>
      </c>
      <c r="E27" s="143">
        <v>0.70884656880182029</v>
      </c>
      <c r="F27" s="143">
        <v>0.72313217970994303</v>
      </c>
      <c r="G27" s="143">
        <v>2.3439154684300942</v>
      </c>
      <c r="H27" s="143">
        <v>1.9295664601460913</v>
      </c>
      <c r="I27" s="143">
        <v>0.82322357019064119</v>
      </c>
      <c r="J27" s="143" t="s">
        <v>87</v>
      </c>
      <c r="K27" s="8">
        <v>101.08303249097472</v>
      </c>
      <c r="L27" s="8">
        <v>63.69047619047619</v>
      </c>
    </row>
    <row r="28" spans="1:12">
      <c r="A28" s="97">
        <v>1985</v>
      </c>
      <c r="B28" s="143">
        <v>1.9590942089127188</v>
      </c>
      <c r="C28" s="143">
        <v>2.0139442936509093</v>
      </c>
      <c r="D28" s="143">
        <v>2.7988691018955261</v>
      </c>
      <c r="E28" s="143">
        <v>0.69995921123496918</v>
      </c>
      <c r="F28" s="143">
        <v>0.71955644238130734</v>
      </c>
      <c r="G28" s="143">
        <v>2.3706251295476006</v>
      </c>
      <c r="H28" s="143">
        <v>1.9472992135569573</v>
      </c>
      <c r="I28" s="143">
        <v>0.8214285714285714</v>
      </c>
      <c r="J28" s="143" t="s">
        <v>87</v>
      </c>
      <c r="K28" s="8">
        <v>97.183098591549296</v>
      </c>
      <c r="L28" s="8">
        <v>64.222873900293251</v>
      </c>
    </row>
    <row r="29" spans="1:12">
      <c r="A29" s="97">
        <v>1986</v>
      </c>
      <c r="B29" s="143">
        <v>2.0874238079866316</v>
      </c>
      <c r="C29" s="143">
        <v>2.105332925461405</v>
      </c>
      <c r="D29" s="143">
        <v>2.7778209871940827</v>
      </c>
      <c r="E29" s="143">
        <v>0.75146088160820224</v>
      </c>
      <c r="F29" s="143">
        <v>0.75790806361069085</v>
      </c>
      <c r="G29" s="143">
        <v>2.3827986779796273</v>
      </c>
      <c r="H29" s="143">
        <v>1.9723835210700931</v>
      </c>
      <c r="I29" s="143">
        <v>0.82775919732441472</v>
      </c>
      <c r="J29" s="143" t="s">
        <v>87</v>
      </c>
      <c r="K29" s="8">
        <v>95.501730103806224</v>
      </c>
      <c r="L29" s="8">
        <v>63.218390804597703</v>
      </c>
    </row>
    <row r="30" spans="1:12">
      <c r="A30" s="97">
        <v>1987</v>
      </c>
      <c r="B30" s="143">
        <v>2.1041689881880989</v>
      </c>
      <c r="C30" s="143">
        <v>2.1272864263018509</v>
      </c>
      <c r="D30" s="143">
        <v>2.7518394518826823</v>
      </c>
      <c r="E30" s="143">
        <v>0.76464089747260611</v>
      </c>
      <c r="F30" s="143">
        <v>0.77304161943257965</v>
      </c>
      <c r="G30" s="143">
        <v>2.3879934940115333</v>
      </c>
      <c r="H30" s="143">
        <v>2.0018163283132986</v>
      </c>
      <c r="I30" s="143">
        <v>0.83828382838283821</v>
      </c>
      <c r="J30" s="143" t="s">
        <v>87</v>
      </c>
      <c r="K30" s="8">
        <v>92.123287671232873</v>
      </c>
      <c r="L30" s="8">
        <v>60</v>
      </c>
    </row>
    <row r="31" spans="1:12">
      <c r="A31" s="97">
        <v>1988</v>
      </c>
      <c r="B31" s="143">
        <v>2.0529786534884686</v>
      </c>
      <c r="C31" s="143">
        <v>2.0440949463006319</v>
      </c>
      <c r="D31" s="143">
        <v>2.7260223082876975</v>
      </c>
      <c r="E31" s="143">
        <v>0.75310412803555171</v>
      </c>
      <c r="F31" s="143">
        <v>0.7498452745915325</v>
      </c>
      <c r="G31" s="143">
        <v>2.3934799805502536</v>
      </c>
      <c r="H31" s="143">
        <v>2.0288331115523217</v>
      </c>
      <c r="I31" s="143">
        <v>0.84764991896272279</v>
      </c>
      <c r="J31" s="143" t="s">
        <v>87</v>
      </c>
      <c r="K31" s="8">
        <v>89.768976897689768</v>
      </c>
      <c r="L31" s="8">
        <v>57.422969187675065</v>
      </c>
    </row>
    <row r="32" spans="1:12">
      <c r="A32" s="97">
        <v>1989</v>
      </c>
      <c r="B32" s="143">
        <v>2.0078054852817018</v>
      </c>
      <c r="C32" s="143">
        <v>2.002116759267242</v>
      </c>
      <c r="D32" s="143">
        <v>2.6950724134200441</v>
      </c>
      <c r="E32" s="143">
        <v>0.74499129421676613</v>
      </c>
      <c r="F32" s="143">
        <v>0.74288050640040426</v>
      </c>
      <c r="G32" s="143">
        <v>2.4016504232766591</v>
      </c>
      <c r="H32" s="143">
        <v>2.0387000377653961</v>
      </c>
      <c r="I32" s="143">
        <v>0.84887459807073951</v>
      </c>
      <c r="J32" s="143" t="s">
        <v>87</v>
      </c>
      <c r="K32" s="8">
        <v>92.833876221498372</v>
      </c>
      <c r="L32" s="8">
        <v>61.218836565096957</v>
      </c>
    </row>
    <row r="33" spans="1:12">
      <c r="A33" s="97">
        <v>1990</v>
      </c>
      <c r="B33" s="143">
        <v>1.986194124810748</v>
      </c>
      <c r="C33" s="143">
        <v>1.978682239747432</v>
      </c>
      <c r="D33" s="143">
        <v>2.6728984558164424</v>
      </c>
      <c r="E33" s="143">
        <v>0.74308626296245184</v>
      </c>
      <c r="F33" s="143">
        <v>0.740275873721151</v>
      </c>
      <c r="G33" s="143">
        <v>2.3973997163837524</v>
      </c>
      <c r="H33" s="143">
        <v>2.0515835498389325</v>
      </c>
      <c r="I33" s="143">
        <v>0.85575364667747156</v>
      </c>
      <c r="J33" s="143" t="s">
        <v>87</v>
      </c>
      <c r="K33" s="8">
        <v>96.864111498257842</v>
      </c>
      <c r="L33" s="8">
        <v>62.393162393162392</v>
      </c>
    </row>
    <row r="34" spans="1:12">
      <c r="A34" s="97">
        <v>1991</v>
      </c>
      <c r="B34" s="143">
        <v>1.988107265454784</v>
      </c>
      <c r="C34" s="143">
        <v>2.01485377207633</v>
      </c>
      <c r="D34" s="143">
        <v>2.6591854742697438</v>
      </c>
      <c r="E34" s="143">
        <v>0.74763768255042495</v>
      </c>
      <c r="F34" s="143">
        <v>0.75769584016310187</v>
      </c>
      <c r="G34" s="143">
        <v>2.3590466159329813</v>
      </c>
      <c r="H34" s="143">
        <v>2.0271204589172851</v>
      </c>
      <c r="I34" s="143">
        <v>0.85929648241206025</v>
      </c>
      <c r="J34" s="143" t="s">
        <v>87</v>
      </c>
      <c r="K34" s="8">
        <v>98.91696750902527</v>
      </c>
      <c r="L34" s="8">
        <v>57.848837209302332</v>
      </c>
    </row>
    <row r="35" spans="1:12">
      <c r="A35" s="97">
        <v>1992</v>
      </c>
      <c r="B35" s="143">
        <v>2.007416109437723</v>
      </c>
      <c r="C35" s="143">
        <v>2.0243098838260032</v>
      </c>
      <c r="D35" s="143">
        <v>2.636896967297615</v>
      </c>
      <c r="E35" s="143">
        <v>0.76127969136958495</v>
      </c>
      <c r="F35" s="143">
        <v>0.76768637869859102</v>
      </c>
      <c r="G35" s="143">
        <v>2.3807032596033788</v>
      </c>
      <c r="H35" s="143">
        <v>2.0907719878506521</v>
      </c>
      <c r="I35" s="143">
        <v>0.87821612349914246</v>
      </c>
      <c r="J35" s="143" t="s">
        <v>87</v>
      </c>
      <c r="K35" s="8">
        <v>101.09090909090909</v>
      </c>
      <c r="L35" s="8">
        <v>58.139534883720934</v>
      </c>
    </row>
    <row r="36" spans="1:12">
      <c r="A36" s="97">
        <v>1993</v>
      </c>
      <c r="B36" s="143">
        <v>2.0274765506929375</v>
      </c>
      <c r="C36" s="143">
        <v>2.0333196111568514</v>
      </c>
      <c r="D36" s="143">
        <v>2.6104868772844005</v>
      </c>
      <c r="E36" s="143">
        <v>0.77666605733029048</v>
      </c>
      <c r="F36" s="143">
        <v>0.77890436027475596</v>
      </c>
      <c r="G36" s="143">
        <v>2.3775545549012818</v>
      </c>
      <c r="H36" s="143">
        <v>2.1147505971919864</v>
      </c>
      <c r="I36" s="143">
        <v>0.88946459412780654</v>
      </c>
      <c r="J36" s="143" t="s">
        <v>87</v>
      </c>
      <c r="K36" s="8">
        <v>97.122302158273371</v>
      </c>
      <c r="L36" s="8">
        <v>58.112094395280231</v>
      </c>
    </row>
    <row r="37" spans="1:12">
      <c r="A37" s="97">
        <v>1994</v>
      </c>
      <c r="B37" s="143">
        <v>1.9970402994045244</v>
      </c>
      <c r="C37" s="143">
        <v>1.9856049472950312</v>
      </c>
      <c r="D37" s="143">
        <v>2.5867856883134017</v>
      </c>
      <c r="E37" s="143">
        <v>0.77201613895838639</v>
      </c>
      <c r="F37" s="143">
        <v>0.76759545882197011</v>
      </c>
      <c r="G37" s="143">
        <v>2.3425760102101729</v>
      </c>
      <c r="H37" s="143">
        <v>2.0497540089339017</v>
      </c>
      <c r="I37" s="143">
        <v>0.875</v>
      </c>
      <c r="J37" s="143" t="s">
        <v>87</v>
      </c>
      <c r="K37" s="8">
        <v>97.5</v>
      </c>
      <c r="L37" s="8">
        <v>60.344827586206897</v>
      </c>
    </row>
    <row r="38" spans="1:12">
      <c r="A38" s="97">
        <v>1995</v>
      </c>
      <c r="B38" s="143">
        <v>2.0498520359634975</v>
      </c>
      <c r="C38" s="143">
        <v>1.9990527172125323</v>
      </c>
      <c r="D38" s="143">
        <v>2.5627432593968442</v>
      </c>
      <c r="E38" s="143">
        <v>0.7998663262296285</v>
      </c>
      <c r="F38" s="143">
        <v>0.78004408357434141</v>
      </c>
      <c r="G38" s="143">
        <v>2.3636413147074045</v>
      </c>
      <c r="H38" s="143">
        <v>2.1099626046110389</v>
      </c>
      <c r="I38" s="143">
        <v>0.89267461669505954</v>
      </c>
      <c r="J38" s="143" t="s">
        <v>87</v>
      </c>
      <c r="K38" s="8">
        <v>99.277978339350184</v>
      </c>
      <c r="L38" s="8">
        <v>59.248554913294797</v>
      </c>
    </row>
    <row r="39" spans="1:12">
      <c r="A39" s="97">
        <v>1996</v>
      </c>
      <c r="B39" s="143">
        <v>2.0138770972071356</v>
      </c>
      <c r="C39" s="143">
        <v>1.9877325195854987</v>
      </c>
      <c r="D39" s="143">
        <v>2.5405689346832907</v>
      </c>
      <c r="E39" s="143">
        <v>0.79268744481368969</v>
      </c>
      <c r="F39" s="143">
        <v>0.78239660906240716</v>
      </c>
      <c r="G39" s="143">
        <v>2.3302017038758125</v>
      </c>
      <c r="H39" s="143">
        <v>2.0633239018934542</v>
      </c>
      <c r="I39" s="143">
        <v>0.88547008547008543</v>
      </c>
      <c r="J39" s="143" t="s">
        <v>87</v>
      </c>
      <c r="K39" s="8">
        <v>99.64028776978418</v>
      </c>
      <c r="L39" s="8">
        <v>57.834757834757831</v>
      </c>
    </row>
    <row r="40" spans="1:12">
      <c r="A40" s="97">
        <v>1997</v>
      </c>
      <c r="B40" s="143">
        <v>1.9255154224269675</v>
      </c>
      <c r="C40" s="143">
        <v>1.9237731103644944</v>
      </c>
      <c r="D40" s="143">
        <v>2.5162586385825318</v>
      </c>
      <c r="E40" s="143">
        <v>0.76522953280814399</v>
      </c>
      <c r="F40" s="143">
        <v>0.76453711111676548</v>
      </c>
      <c r="G40" s="143">
        <v>2.3533546410620265</v>
      </c>
      <c r="H40" s="143">
        <v>2.0861092835176951</v>
      </c>
      <c r="I40" s="143">
        <v>0.8864406779661016</v>
      </c>
      <c r="J40" s="143">
        <v>2.2417204674830336</v>
      </c>
      <c r="K40" s="8">
        <v>97.872340425531917</v>
      </c>
      <c r="L40" s="8">
        <v>59.269662921348306</v>
      </c>
    </row>
    <row r="41" spans="1:12">
      <c r="A41" s="97">
        <v>1998</v>
      </c>
      <c r="B41" s="143">
        <v>1.9383380752497479</v>
      </c>
      <c r="C41" s="143">
        <v>1.9148993073199432</v>
      </c>
      <c r="D41" s="143">
        <v>2.4888930333777224</v>
      </c>
      <c r="E41" s="143">
        <v>0.77879525124436288</v>
      </c>
      <c r="F41" s="143">
        <v>0.76937790481144075</v>
      </c>
      <c r="G41" s="143">
        <v>2.3500143651892289</v>
      </c>
      <c r="H41" s="143">
        <v>2.094150154573986</v>
      </c>
      <c r="I41" s="143">
        <v>0.89112227805695143</v>
      </c>
      <c r="J41" s="143">
        <v>2.2410013512473173</v>
      </c>
      <c r="K41" s="8">
        <v>101.74216027874566</v>
      </c>
      <c r="L41" s="8">
        <v>58.967391304347828</v>
      </c>
    </row>
    <row r="42" spans="1:12">
      <c r="A42" s="97">
        <v>1999</v>
      </c>
      <c r="B42" s="143">
        <v>1.9604594380346989</v>
      </c>
      <c r="C42" s="143">
        <v>1.9348941435828202</v>
      </c>
      <c r="D42" s="143">
        <v>2.4689777925841692</v>
      </c>
      <c r="E42" s="143">
        <v>0.79403688600324474</v>
      </c>
      <c r="F42" s="143">
        <v>0.78368227911748578</v>
      </c>
      <c r="G42" s="143">
        <v>2.3261484756508404</v>
      </c>
      <c r="H42" s="143">
        <v>2.0996752742260889</v>
      </c>
      <c r="I42" s="143">
        <v>0.90264026402640263</v>
      </c>
      <c r="J42" s="143">
        <v>2.2536084315038751</v>
      </c>
      <c r="K42" s="8">
        <v>102.75862068965517</v>
      </c>
      <c r="L42" s="8">
        <v>60.160427807486627</v>
      </c>
    </row>
    <row r="43" spans="1:12">
      <c r="A43" s="97">
        <v>2000</v>
      </c>
      <c r="B43" s="143">
        <v>1.8889384135376484</v>
      </c>
      <c r="C43" s="143">
        <v>1.8779861665704094</v>
      </c>
      <c r="D43" s="143">
        <v>2.4458176487898444</v>
      </c>
      <c r="E43" s="143">
        <v>0.77231367370019088</v>
      </c>
      <c r="F43" s="143">
        <v>0.76783572458871152</v>
      </c>
      <c r="G43" s="143">
        <v>2.3254786357696995</v>
      </c>
      <c r="H43" s="143">
        <v>2.1016560590806095</v>
      </c>
      <c r="I43" s="143">
        <v>0.90375203915171287</v>
      </c>
      <c r="J43" s="143">
        <v>2.2397338480636391</v>
      </c>
      <c r="K43" s="8">
        <v>102.03389830508473</v>
      </c>
      <c r="L43" s="8">
        <v>57.291666666666664</v>
      </c>
    </row>
    <row r="44" spans="1:12">
      <c r="A44" s="97">
        <v>2001</v>
      </c>
      <c r="B44" s="143">
        <v>1.8790032353524506</v>
      </c>
      <c r="C44" s="143">
        <v>1.8788286826956098</v>
      </c>
      <c r="D44" s="143">
        <v>2.4171444144338547</v>
      </c>
      <c r="E44" s="143">
        <v>0.77736490386427826</v>
      </c>
      <c r="F44" s="143">
        <v>0.77729268945466379</v>
      </c>
      <c r="G44" s="143">
        <v>2.305813931813522</v>
      </c>
      <c r="H44" s="143">
        <v>2.0756099222543978</v>
      </c>
      <c r="I44" s="143">
        <v>0.90016366612111287</v>
      </c>
      <c r="J44" s="143">
        <v>2.1922497635238547</v>
      </c>
      <c r="K44" s="8">
        <v>104.46735395189005</v>
      </c>
      <c r="L44" s="8">
        <v>58.072916666666664</v>
      </c>
    </row>
    <row r="45" spans="1:12">
      <c r="A45" s="97">
        <v>2002</v>
      </c>
      <c r="B45" s="143">
        <v>1.8509768835229128</v>
      </c>
      <c r="C45" s="143">
        <v>1.910484772581885</v>
      </c>
      <c r="D45" s="143">
        <v>2.389573061981126</v>
      </c>
      <c r="E45" s="143">
        <v>0.77460568708801969</v>
      </c>
      <c r="F45" s="143">
        <v>0.79950883401654915</v>
      </c>
      <c r="G45" s="143">
        <v>2.2976081928903969</v>
      </c>
      <c r="H45" s="143">
        <v>2.1188639574629429</v>
      </c>
      <c r="I45" s="143">
        <v>0.92220421393841157</v>
      </c>
      <c r="J45" s="143">
        <v>2.2098009635567841</v>
      </c>
      <c r="K45" s="8">
        <v>104.45205479452055</v>
      </c>
      <c r="L45" s="8">
        <v>57.253886010362699</v>
      </c>
    </row>
    <row r="46" spans="1:12">
      <c r="A46" s="97">
        <v>2003</v>
      </c>
      <c r="B46" s="143">
        <v>1.8473046757633214</v>
      </c>
      <c r="C46" s="143">
        <v>1.9234652142849746</v>
      </c>
      <c r="D46" s="143">
        <v>2.3683489345920181</v>
      </c>
      <c r="E46" s="143">
        <v>0.77999683610031278</v>
      </c>
      <c r="F46" s="143">
        <v>0.81215448711586025</v>
      </c>
      <c r="G46" s="143">
        <v>2.24619633857013</v>
      </c>
      <c r="H46" s="143">
        <v>2.0374152686389322</v>
      </c>
      <c r="I46" s="143">
        <v>0.90705128205128205</v>
      </c>
      <c r="J46" s="143">
        <v>2.1641994748677509</v>
      </c>
      <c r="K46" s="8">
        <v>105.5944055944056</v>
      </c>
      <c r="L46" s="8">
        <v>59.317585301837269</v>
      </c>
    </row>
    <row r="47" spans="1:12">
      <c r="A47" s="97">
        <v>2004</v>
      </c>
      <c r="B47" s="143">
        <v>1.8343513776351676</v>
      </c>
      <c r="C47" s="143">
        <v>1.9131375895910248</v>
      </c>
      <c r="D47" s="143">
        <v>2.3462856350315922</v>
      </c>
      <c r="E47" s="143">
        <v>0.78181076943364936</v>
      </c>
      <c r="F47" s="143">
        <v>0.81538989159146635</v>
      </c>
      <c r="G47" s="143">
        <v>2.2505263280671364</v>
      </c>
      <c r="H47" s="143">
        <v>2.067176739039303</v>
      </c>
      <c r="I47" s="143">
        <v>0.91853035143769968</v>
      </c>
      <c r="J47" s="143">
        <v>2.1614171281645569</v>
      </c>
      <c r="K47" s="8">
        <v>105.5944055944056</v>
      </c>
      <c r="L47" s="8">
        <v>58.072916666666664</v>
      </c>
    </row>
    <row r="48" spans="1:12">
      <c r="A48" s="97">
        <v>2005</v>
      </c>
      <c r="B48" s="143">
        <v>1.8038252942128179</v>
      </c>
      <c r="C48" s="143">
        <v>1.8684005150936176</v>
      </c>
      <c r="D48" s="143">
        <v>2.3200059868961285</v>
      </c>
      <c r="E48" s="143">
        <v>0.77750889627061082</v>
      </c>
      <c r="F48" s="143">
        <v>0.80534297137452604</v>
      </c>
      <c r="G48" s="143">
        <v>2.2177757473065736</v>
      </c>
      <c r="H48" s="143">
        <v>2.0229232455464117</v>
      </c>
      <c r="I48" s="143">
        <v>0.91214057507987223</v>
      </c>
      <c r="J48" s="143">
        <v>2.1282586125502183</v>
      </c>
      <c r="K48" s="8">
        <v>102.71186440677967</v>
      </c>
      <c r="L48" s="8">
        <v>57.948717948717956</v>
      </c>
    </row>
    <row r="49" spans="1:12">
      <c r="A49" s="97">
        <v>2006</v>
      </c>
      <c r="B49" s="143">
        <v>1.7901863151508348</v>
      </c>
      <c r="C49" s="143">
        <v>1.8579003734410571</v>
      </c>
      <c r="D49" s="143">
        <v>2.2892051726474456</v>
      </c>
      <c r="E49" s="143">
        <v>0.78201217459267747</v>
      </c>
      <c r="F49" s="143">
        <v>0.81159189907491402</v>
      </c>
      <c r="G49" s="143">
        <v>2.1930752818565065</v>
      </c>
      <c r="H49" s="143">
        <v>2.0146911680212884</v>
      </c>
      <c r="I49" s="143">
        <v>0.91866028708133973</v>
      </c>
      <c r="J49" s="143">
        <v>2.1177951846145455</v>
      </c>
      <c r="K49" s="8">
        <v>105.40540540540539</v>
      </c>
      <c r="L49" s="8">
        <v>59.287531806615782</v>
      </c>
    </row>
    <row r="50" spans="1:12">
      <c r="A50" s="97">
        <v>2007</v>
      </c>
      <c r="B50" s="143">
        <v>1.7970907565059919</v>
      </c>
      <c r="C50" s="143">
        <v>1.8373767156455729</v>
      </c>
      <c r="D50" s="143">
        <v>2.2665098767750034</v>
      </c>
      <c r="E50" s="143">
        <v>0.79288900300891541</v>
      </c>
      <c r="F50" s="143">
        <v>0.810663449770605</v>
      </c>
      <c r="G50" s="143">
        <v>2.1646067415730337</v>
      </c>
      <c r="H50" s="143">
        <v>2.0070562508889207</v>
      </c>
      <c r="I50" s="143">
        <v>0.92721518987341767</v>
      </c>
      <c r="J50" s="143">
        <v>2.1104997959076477</v>
      </c>
      <c r="K50" s="8">
        <v>108.36120401337791</v>
      </c>
      <c r="L50" s="8">
        <v>60.847880299251869</v>
      </c>
    </row>
    <row r="51" spans="1:12">
      <c r="A51" s="97">
        <v>2008</v>
      </c>
      <c r="B51" s="143">
        <v>1.7405725024305374</v>
      </c>
      <c r="C51" s="143">
        <v>1.8330771344509507</v>
      </c>
      <c r="D51" s="143">
        <v>2.2464413306440578</v>
      </c>
      <c r="E51" s="143">
        <v>0.77481324737357504</v>
      </c>
      <c r="F51" s="143">
        <v>0.81599154602689083</v>
      </c>
      <c r="G51" s="143">
        <v>2.1756928693920452</v>
      </c>
      <c r="H51" s="143">
        <v>2.0276631330251811</v>
      </c>
      <c r="I51" s="143">
        <v>0.93196202531645567</v>
      </c>
      <c r="J51" s="143">
        <v>2.0949590175197033</v>
      </c>
      <c r="K51" s="8">
        <v>104.19354838709678</v>
      </c>
      <c r="L51" s="8">
        <v>62.68292682926829</v>
      </c>
    </row>
    <row r="52" spans="1:12">
      <c r="A52" s="97">
        <v>2009</v>
      </c>
      <c r="B52" s="143">
        <v>1.8400925582975993</v>
      </c>
      <c r="C52" s="143">
        <v>1.860969445161657</v>
      </c>
      <c r="D52" s="143">
        <v>2.2300940902161668</v>
      </c>
      <c r="E52" s="143">
        <v>0.82511879941318345</v>
      </c>
      <c r="F52" s="143">
        <v>0.8344802371012382</v>
      </c>
      <c r="G52" s="143">
        <v>2.1644950335216699</v>
      </c>
      <c r="H52" s="143">
        <v>2.0691583844106018</v>
      </c>
      <c r="I52" s="143">
        <v>0.95595432300163141</v>
      </c>
      <c r="J52" s="143">
        <v>2.1332020164944705</v>
      </c>
      <c r="K52" s="8">
        <v>110.29900332225913</v>
      </c>
      <c r="L52" s="8">
        <v>62.376237623762378</v>
      </c>
    </row>
    <row r="53" spans="1:12">
      <c r="A53" s="97">
        <v>2010</v>
      </c>
      <c r="B53" s="143">
        <v>1.8168144015058389</v>
      </c>
      <c r="C53" s="143">
        <v>1.8410927301825468</v>
      </c>
      <c r="D53" s="143">
        <v>2.2144903928373356</v>
      </c>
      <c r="E53" s="143">
        <v>0.82042099048261341</v>
      </c>
      <c r="F53" s="143">
        <v>0.83138438357532463</v>
      </c>
      <c r="G53" s="143">
        <v>2.1413043478260869</v>
      </c>
      <c r="H53" s="143">
        <v>2.022537059365912</v>
      </c>
      <c r="I53" s="143">
        <v>0.94453507340946163</v>
      </c>
      <c r="J53" s="143">
        <v>2.0822850424436785</v>
      </c>
      <c r="K53" s="8">
        <v>109.66666666666667</v>
      </c>
      <c r="L53" s="8">
        <v>62.807881773399011</v>
      </c>
    </row>
    <row r="54" spans="1:12">
      <c r="A54" s="97">
        <v>2011</v>
      </c>
      <c r="B54" s="143">
        <v>1.7790236310660894</v>
      </c>
      <c r="C54" s="143">
        <v>1.7897261166574405</v>
      </c>
      <c r="D54" s="143">
        <v>2.2006982780792916</v>
      </c>
      <c r="E54" s="143">
        <v>0.8083905225839374</v>
      </c>
      <c r="F54" s="143">
        <v>0.81325374517921833</v>
      </c>
      <c r="G54" s="143">
        <v>2.1098591094338</v>
      </c>
      <c r="H54" s="143">
        <v>1.958909839815772</v>
      </c>
      <c r="I54" s="143">
        <v>0.92845528455284554</v>
      </c>
      <c r="J54" s="143">
        <v>2.0336426112047383</v>
      </c>
      <c r="K54" s="8">
        <v>112.99999999999999</v>
      </c>
      <c r="L54" s="8">
        <v>65.18518518518519</v>
      </c>
    </row>
    <row r="55" spans="1:12">
      <c r="A55" s="97">
        <v>2012</v>
      </c>
      <c r="B55" s="143">
        <v>1.7402026378050364</v>
      </c>
      <c r="C55" s="143">
        <v>1.7401479092885788</v>
      </c>
      <c r="D55" s="143">
        <v>2.1846319931928764</v>
      </c>
      <c r="E55" s="143">
        <v>0.79656557407717021</v>
      </c>
      <c r="F55" s="143">
        <v>0.79654052248192286</v>
      </c>
      <c r="G55" s="143">
        <v>2.0995442270539137</v>
      </c>
      <c r="H55" s="143">
        <v>1.9322634675000248</v>
      </c>
      <c r="I55" s="143">
        <v>0.9203252032520326</v>
      </c>
      <c r="J55" s="143">
        <v>1.9947922282635779</v>
      </c>
      <c r="K55" s="8">
        <v>112.82762780737809</v>
      </c>
      <c r="L55" s="8">
        <v>65.173665637925737</v>
      </c>
    </row>
    <row r="56" spans="1:12">
      <c r="A56" s="97">
        <v>2013</v>
      </c>
      <c r="B56" s="143">
        <v>1.676491012996735</v>
      </c>
      <c r="C56" s="143">
        <v>1.6959404928656578</v>
      </c>
      <c r="D56" s="143">
        <v>2.1621440429446164</v>
      </c>
      <c r="E56" s="143">
        <v>0.77538359133257739</v>
      </c>
      <c r="F56" s="143">
        <v>0.78437905115514994</v>
      </c>
      <c r="G56" s="143">
        <v>2.0900457412082862</v>
      </c>
      <c r="H56" s="143">
        <v>1.9271850341011469</v>
      </c>
      <c r="I56" s="143">
        <v>0.92207792207792205</v>
      </c>
      <c r="J56" s="143">
        <v>1.9577555389760242</v>
      </c>
      <c r="K56" s="8">
        <v>112.65551855433836</v>
      </c>
      <c r="L56" s="8">
        <v>65.162148126404446</v>
      </c>
    </row>
    <row r="57" spans="1:12">
      <c r="A57" s="97">
        <v>2014</v>
      </c>
      <c r="B57" s="143">
        <v>1.6272511176010003</v>
      </c>
      <c r="C57" s="143">
        <v>1.6505478256981569</v>
      </c>
      <c r="D57" s="143">
        <v>2.1417351453343056</v>
      </c>
      <c r="E57" s="143">
        <v>0.75978167568754218</v>
      </c>
      <c r="F57" s="143">
        <v>0.77065916824207559</v>
      </c>
      <c r="G57" s="143">
        <v>2.0750098697196999</v>
      </c>
      <c r="H57" s="143">
        <v>1.9159144963480428</v>
      </c>
      <c r="I57" s="143">
        <v>0.92332789559543238</v>
      </c>
      <c r="J57" s="143">
        <v>1.9407889009657933</v>
      </c>
      <c r="K57" s="8">
        <v>112.48367183978817</v>
      </c>
      <c r="L57" s="8">
        <v>65.150632650261556</v>
      </c>
    </row>
    <row r="58" spans="1:12">
      <c r="A58" s="97">
        <v>2015</v>
      </c>
      <c r="B58" s="143">
        <v>1.6806828235551821</v>
      </c>
      <c r="C58" s="143">
        <v>1.6504312793760654</v>
      </c>
      <c r="D58" s="143">
        <v>2.1254347124889659</v>
      </c>
      <c r="E58" s="143">
        <v>0.79074780028742342</v>
      </c>
      <c r="F58" s="143">
        <v>0.77651469117268102</v>
      </c>
      <c r="G58" s="143">
        <v>2.0527491148336621</v>
      </c>
      <c r="H58" s="143">
        <v>1.8883950190381562</v>
      </c>
      <c r="I58" s="143">
        <v>0.91993464052287577</v>
      </c>
      <c r="J58" s="143">
        <v>1.9052276703092272</v>
      </c>
      <c r="K58" s="8">
        <v>112.31208726324668</v>
      </c>
      <c r="L58" s="8">
        <v>65.139119209137377</v>
      </c>
    </row>
    <row r="59" spans="1:12">
      <c r="A59" s="97">
        <v>2016</v>
      </c>
      <c r="B59" s="143">
        <v>1.6948608639199028</v>
      </c>
      <c r="C59" s="143">
        <v>1.6473125889803466</v>
      </c>
      <c r="D59" s="143">
        <v>2.113987385088024</v>
      </c>
      <c r="E59" s="143">
        <v>0.801736507925912</v>
      </c>
      <c r="F59" s="143">
        <v>0.77924428527834111</v>
      </c>
      <c r="G59" s="143">
        <v>2.0316237941287887</v>
      </c>
      <c r="H59" s="143">
        <v>1.8684277844364765</v>
      </c>
      <c r="I59" s="143">
        <v>0.91967213114754098</v>
      </c>
      <c r="J59" s="143">
        <v>1.909052455072437</v>
      </c>
      <c r="K59" s="8">
        <v>112.14076442484391</v>
      </c>
      <c r="L59" s="8">
        <v>65.127607802672287</v>
      </c>
    </row>
    <row r="60" spans="1:12">
      <c r="A60" s="97">
        <v>2017</v>
      </c>
      <c r="B60" s="143">
        <v>1.673704278297949</v>
      </c>
      <c r="C60" s="143">
        <v>1.6384663906938841</v>
      </c>
      <c r="D60" s="143">
        <v>2.0977283122218604</v>
      </c>
      <c r="E60" s="143">
        <v>0.79786513274695903</v>
      </c>
      <c r="F60" s="143">
        <v>0.78106701480253271</v>
      </c>
      <c r="G60" s="143">
        <v>1.9861446060736392</v>
      </c>
      <c r="H60" s="143">
        <v>1.8211716827678484</v>
      </c>
      <c r="I60" s="143">
        <v>0.91693811074918563</v>
      </c>
      <c r="J60" s="143">
        <v>1.896177115409807</v>
      </c>
      <c r="K60" s="8">
        <v>111.96970292531994</v>
      </c>
      <c r="L60" s="8">
        <v>65.11609843050671</v>
      </c>
    </row>
    <row r="61" spans="1:12">
      <c r="A61" s="97">
        <v>2018</v>
      </c>
      <c r="B61" s="143">
        <v>1.6630303052033735</v>
      </c>
      <c r="C61" s="143">
        <v>1.6074523459859962</v>
      </c>
      <c r="D61" s="143">
        <v>2.0782336456066663</v>
      </c>
      <c r="E61" s="143">
        <v>0.80021334883061768</v>
      </c>
      <c r="F61" s="143">
        <v>0.77347046583723167</v>
      </c>
      <c r="G61" s="143">
        <v>1.9749645246300425</v>
      </c>
      <c r="H61" s="143">
        <v>1.8109202400109345</v>
      </c>
      <c r="I61" s="143">
        <v>0.91693811074918563</v>
      </c>
      <c r="J61" s="143">
        <v>1.8719178234867586</v>
      </c>
      <c r="K61" s="8">
        <v>111.79890236602381</v>
      </c>
      <c r="L61" s="8">
        <v>65.104591092281154</v>
      </c>
    </row>
    <row r="62" spans="1:12">
      <c r="A62" s="97">
        <v>2019</v>
      </c>
      <c r="B62" s="143">
        <v>1.6547280665007147</v>
      </c>
      <c r="C62" s="143">
        <v>1.5967243557544486</v>
      </c>
      <c r="D62" s="143">
        <v>2.066501914273001</v>
      </c>
      <c r="E62" s="143">
        <v>0.80073870489631327</v>
      </c>
      <c r="F62" s="143">
        <v>0.77267015565101915</v>
      </c>
      <c r="G62" s="143">
        <v>1.9513696827658804</v>
      </c>
      <c r="H62" s="143">
        <v>1.771679744288247</v>
      </c>
      <c r="I62" s="143">
        <v>0.90791599353796448</v>
      </c>
      <c r="J62" s="143">
        <v>1.8432614456483583</v>
      </c>
      <c r="K62" s="8">
        <v>111.62836234891269</v>
      </c>
      <c r="L62" s="8">
        <v>65.09308578763617</v>
      </c>
    </row>
    <row r="65" spans="1:13">
      <c r="B65" s="356" t="s">
        <v>68</v>
      </c>
      <c r="C65" s="356"/>
      <c r="D65" s="356"/>
      <c r="E65" s="356" t="s">
        <v>67</v>
      </c>
      <c r="F65" s="356"/>
      <c r="G65" s="356" t="s">
        <v>68</v>
      </c>
      <c r="H65" s="356"/>
      <c r="I65" s="143" t="s">
        <v>67</v>
      </c>
      <c r="J65" s="356" t="s">
        <v>68</v>
      </c>
      <c r="K65" s="356"/>
      <c r="L65" s="356"/>
    </row>
    <row r="66" spans="1:13">
      <c r="A66" s="27" t="s">
        <v>357</v>
      </c>
      <c r="B66" s="143" t="s">
        <v>87</v>
      </c>
      <c r="C66" s="143" t="s">
        <v>87</v>
      </c>
      <c r="D66" s="143">
        <f>D24-D4</f>
        <v>-0.40839613756258686</v>
      </c>
      <c r="E66" s="143" t="s">
        <v>87</v>
      </c>
      <c r="F66" s="143" t="s">
        <v>87</v>
      </c>
      <c r="G66" s="143" t="s">
        <v>87</v>
      </c>
      <c r="H66" s="143" t="s">
        <v>87</v>
      </c>
      <c r="I66" s="143" t="s">
        <v>87</v>
      </c>
      <c r="J66" s="143" t="s">
        <v>87</v>
      </c>
      <c r="K66" s="143" t="s">
        <v>87</v>
      </c>
      <c r="L66" s="143" t="s">
        <v>87</v>
      </c>
      <c r="M66" s="143"/>
    </row>
    <row r="67" spans="1:13">
      <c r="A67" s="27" t="s">
        <v>210</v>
      </c>
      <c r="B67" s="143">
        <f>B43-B24</f>
        <v>8.3086497738344312E-2</v>
      </c>
      <c r="C67" s="143">
        <f t="shared" ref="C67:D67" si="0">C43-C24</f>
        <v>-6.1265606792593852E-2</v>
      </c>
      <c r="D67" s="143">
        <f t="shared" si="0"/>
        <v>-0.40043706239671684</v>
      </c>
      <c r="E67" s="143">
        <f t="shared" ref="E67:I67" si="1">IFERROR(100*_xlfn.RRI(19,E24,E43),"..")</f>
        <v>1.0401461903243758</v>
      </c>
      <c r="F67" s="143">
        <f t="shared" si="1"/>
        <v>0.63104755632878984</v>
      </c>
      <c r="G67" s="143">
        <f t="shared" ref="G67:H67" si="2">G43-G24</f>
        <v>-5.6057512254949593E-2</v>
      </c>
      <c r="H67" s="143">
        <f t="shared" si="2"/>
        <v>0.12827003293040096</v>
      </c>
      <c r="I67" s="143">
        <f t="shared" si="1"/>
        <v>0.45785871252403965</v>
      </c>
      <c r="J67" s="143" t="s">
        <v>87</v>
      </c>
      <c r="K67" s="143" t="s">
        <v>87</v>
      </c>
      <c r="L67" s="143">
        <f t="shared" ref="L67" si="3">L43-L24</f>
        <v>-2.9356060606060623</v>
      </c>
      <c r="M67" s="143"/>
    </row>
    <row r="68" spans="1:13">
      <c r="A68" s="27" t="s">
        <v>170</v>
      </c>
      <c r="B68" s="143">
        <f>B51-B43</f>
        <v>-0.14836591110711095</v>
      </c>
      <c r="C68" s="143">
        <f t="shared" ref="C68:D68" si="4">C51-C43</f>
        <v>-4.4909032119458736E-2</v>
      </c>
      <c r="D68" s="143">
        <f t="shared" si="4"/>
        <v>-0.1993763181457866</v>
      </c>
      <c r="E68" s="143">
        <f t="shared" ref="E68:I68" si="5">IFERROR(100*_xlfn.RRI(8,E43,E51),"..")</f>
        <v>4.0398765593585573E-2</v>
      </c>
      <c r="F68" s="143">
        <f t="shared" si="5"/>
        <v>0.76325032676500815</v>
      </c>
      <c r="G68" s="143">
        <f t="shared" ref="G68:H68" si="6">G51-G43</f>
        <v>-0.14978576637765428</v>
      </c>
      <c r="H68" s="143">
        <f t="shared" si="6"/>
        <v>-7.3992926055428399E-2</v>
      </c>
      <c r="I68" s="143">
        <f t="shared" si="5"/>
        <v>0.38495202795305605</v>
      </c>
      <c r="J68" s="143">
        <f t="shared" ref="J68:L68" si="7">J51-J43</f>
        <v>-0.14477483054393581</v>
      </c>
      <c r="K68" s="143">
        <f t="shared" si="7"/>
        <v>2.1596500820120497</v>
      </c>
      <c r="L68" s="143">
        <f t="shared" si="7"/>
        <v>5.3912601626016254</v>
      </c>
      <c r="M68" s="143"/>
    </row>
    <row r="69" spans="1:13">
      <c r="A69" s="27" t="s">
        <v>211</v>
      </c>
      <c r="B69" s="143">
        <f>B62-B51</f>
        <v>-8.5844435929822716E-2</v>
      </c>
      <c r="C69" s="143">
        <f t="shared" ref="C69:D69" si="8">C62-C51</f>
        <v>-0.23635277869650206</v>
      </c>
      <c r="D69" s="143">
        <f t="shared" si="8"/>
        <v>-0.17993941637105682</v>
      </c>
      <c r="E69" s="143">
        <f t="shared" ref="E69:I69" si="9">IFERROR(100*_xlfn.RRI(11,E51,E62),"..")</f>
        <v>0.29965400911031725</v>
      </c>
      <c r="F69" s="143">
        <f t="shared" si="9"/>
        <v>-0.49469726724205021</v>
      </c>
      <c r="G69" s="143">
        <f t="shared" ref="G69:H69" si="10">G62-G51</f>
        <v>-0.22432318662616479</v>
      </c>
      <c r="H69" s="143">
        <f t="shared" si="10"/>
        <v>-0.25598338873693405</v>
      </c>
      <c r="I69" s="143">
        <f t="shared" si="9"/>
        <v>-0.23735615733594395</v>
      </c>
      <c r="J69" s="143">
        <f t="shared" ref="J69:L69" si="11">J62-J51</f>
        <v>-0.251697571871345</v>
      </c>
      <c r="K69" s="143">
        <f t="shared" si="11"/>
        <v>7.4348139618159053</v>
      </c>
      <c r="L69" s="143">
        <f t="shared" si="11"/>
        <v>2.4101589583678802</v>
      </c>
      <c r="M69" s="143"/>
    </row>
    <row r="70" spans="1:13">
      <c r="A70" s="27" t="s">
        <v>69</v>
      </c>
      <c r="B70" s="143" t="s">
        <v>87</v>
      </c>
      <c r="C70" s="143" t="s">
        <v>87</v>
      </c>
      <c r="D70" s="143">
        <f>D62-D4</f>
        <v>-1.1881489344761471</v>
      </c>
      <c r="E70" s="143" t="s">
        <v>87</v>
      </c>
      <c r="F70" s="143" t="s">
        <v>87</v>
      </c>
      <c r="G70" s="143" t="s">
        <v>87</v>
      </c>
      <c r="H70" s="143" t="s">
        <v>87</v>
      </c>
      <c r="I70" s="143">
        <f t="shared" ref="I70" si="12">IFERROR(100*_xlfn.RRI(43,I19,I62),"..")</f>
        <v>0.17922945447716998</v>
      </c>
      <c r="J70" s="143" t="s">
        <v>87</v>
      </c>
      <c r="K70" s="143" t="s">
        <v>87</v>
      </c>
      <c r="L70" s="143" t="s">
        <v>87</v>
      </c>
      <c r="M70" s="143"/>
    </row>
    <row r="73" spans="1:13">
      <c r="A73" s="5"/>
      <c r="B73" s="5" t="s">
        <v>301</v>
      </c>
      <c r="C73" s="5"/>
      <c r="D73" s="5" t="s">
        <v>340</v>
      </c>
      <c r="E73" s="5"/>
      <c r="F73" s="5"/>
      <c r="G73" s="5"/>
      <c r="H73" s="5"/>
      <c r="I73" s="5"/>
      <c r="J73" s="5"/>
      <c r="K73" s="5"/>
    </row>
    <row r="74" spans="1:13">
      <c r="A74" s="5"/>
      <c r="B74" s="5"/>
      <c r="C74" s="5"/>
      <c r="D74" s="5" t="s">
        <v>341</v>
      </c>
      <c r="E74" s="5"/>
      <c r="F74" s="5"/>
      <c r="G74" s="5"/>
      <c r="H74" s="5"/>
      <c r="I74" s="5"/>
      <c r="J74" s="5"/>
      <c r="K74" s="5"/>
    </row>
    <row r="75" spans="1:13">
      <c r="A75" s="5"/>
      <c r="B75" s="5"/>
      <c r="C75" s="5"/>
      <c r="D75" s="5" t="s">
        <v>342</v>
      </c>
      <c r="E75" s="5"/>
      <c r="F75" s="5"/>
      <c r="G75" s="5"/>
      <c r="H75" s="5"/>
      <c r="I75" s="5"/>
      <c r="J75" s="5"/>
      <c r="K75" s="5"/>
    </row>
    <row r="76" spans="1:13">
      <c r="A76" s="5"/>
      <c r="B76" s="5"/>
      <c r="C76" s="5"/>
      <c r="D76" s="5" t="s">
        <v>343</v>
      </c>
      <c r="E76" s="5"/>
      <c r="F76" s="5"/>
      <c r="G76" s="5"/>
      <c r="H76" s="5"/>
      <c r="I76" s="5"/>
      <c r="J76" s="5"/>
      <c r="K76" s="5"/>
    </row>
    <row r="77" spans="1:13" ht="47" customHeight="1">
      <c r="A77" s="5"/>
      <c r="B77" s="5"/>
      <c r="C77" s="5"/>
      <c r="D77" s="327" t="s">
        <v>358</v>
      </c>
      <c r="E77" s="327"/>
      <c r="F77" s="327"/>
      <c r="G77" s="327"/>
      <c r="H77" s="327"/>
      <c r="I77" s="327"/>
      <c r="J77" s="327"/>
      <c r="K77" s="327"/>
    </row>
    <row r="78" spans="1:13" ht="52" customHeight="1">
      <c r="A78" s="5"/>
      <c r="B78" s="5"/>
      <c r="C78" s="5"/>
      <c r="D78" s="327" t="s">
        <v>359</v>
      </c>
      <c r="E78" s="327"/>
      <c r="F78" s="327"/>
      <c r="G78" s="327"/>
      <c r="H78" s="327"/>
      <c r="I78" s="327"/>
      <c r="J78" s="327"/>
      <c r="K78" s="327"/>
    </row>
  </sheetData>
  <mergeCells count="6">
    <mergeCell ref="D77:K77"/>
    <mergeCell ref="D78:K78"/>
    <mergeCell ref="B65:D65"/>
    <mergeCell ref="E65:F65"/>
    <mergeCell ref="G65:H65"/>
    <mergeCell ref="J65:L65"/>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9E78F-90F9-1B44-B1A8-85A4EEE3117B}">
  <sheetPr codeName="Sheet67"/>
  <dimension ref="A1:E73"/>
  <sheetViews>
    <sheetView zoomScale="75" workbookViewId="0">
      <selection activeCell="H46" sqref="H46"/>
    </sheetView>
  </sheetViews>
  <sheetFormatPr baseColWidth="10" defaultColWidth="10.83203125" defaultRowHeight="16"/>
  <cols>
    <col min="1" max="1" width="20.1640625" style="5" customWidth="1"/>
    <col min="2" max="5" width="17.83203125" style="5" customWidth="1"/>
    <col min="6" max="16384" width="10.83203125" style="5"/>
  </cols>
  <sheetData>
    <row r="1" spans="1:5">
      <c r="A1" s="19" t="s">
        <v>685</v>
      </c>
    </row>
    <row r="2" spans="1:5">
      <c r="A2" s="5" t="s">
        <v>364</v>
      </c>
    </row>
    <row r="4" spans="1:5">
      <c r="B4" s="135" t="s">
        <v>365</v>
      </c>
      <c r="C4" s="135" t="s">
        <v>366</v>
      </c>
      <c r="D4" s="135" t="s">
        <v>367</v>
      </c>
      <c r="E4" s="5" t="s">
        <v>368</v>
      </c>
    </row>
    <row r="5" spans="1:5">
      <c r="A5" s="5">
        <v>1976</v>
      </c>
      <c r="B5" s="8">
        <v>20.3</v>
      </c>
      <c r="C5" s="8">
        <v>15.5</v>
      </c>
      <c r="D5" s="143"/>
      <c r="E5" s="143"/>
    </row>
    <row r="6" spans="1:5">
      <c r="A6" s="5">
        <v>1977</v>
      </c>
      <c r="B6" s="8">
        <v>18.600000000000001</v>
      </c>
      <c r="C6" s="8">
        <v>14</v>
      </c>
      <c r="D6" s="143"/>
      <c r="E6" s="143"/>
    </row>
    <row r="7" spans="1:5">
      <c r="A7" s="5">
        <v>1978</v>
      </c>
      <c r="B7" s="8">
        <v>21.3</v>
      </c>
      <c r="C7" s="8">
        <v>15.8</v>
      </c>
      <c r="D7" s="143"/>
      <c r="E7" s="143"/>
    </row>
    <row r="8" spans="1:5">
      <c r="A8" s="5">
        <v>1979</v>
      </c>
      <c r="B8" s="8">
        <v>19.8</v>
      </c>
      <c r="C8" s="8">
        <v>13.8</v>
      </c>
      <c r="D8" s="143"/>
      <c r="E8" s="143"/>
    </row>
    <row r="9" spans="1:5">
      <c r="A9" s="5">
        <v>1980</v>
      </c>
      <c r="B9" s="8">
        <v>18.3</v>
      </c>
      <c r="C9" s="8">
        <v>12.5</v>
      </c>
      <c r="D9" s="143"/>
      <c r="E9" s="143"/>
    </row>
    <row r="10" spans="1:5">
      <c r="A10" s="5">
        <v>1981</v>
      </c>
      <c r="B10" s="8">
        <v>20.5</v>
      </c>
      <c r="C10" s="8">
        <v>15</v>
      </c>
      <c r="D10" s="143"/>
      <c r="E10" s="143"/>
    </row>
    <row r="11" spans="1:5">
      <c r="A11" s="5">
        <v>1982</v>
      </c>
      <c r="B11" s="8">
        <v>20.399999999999999</v>
      </c>
      <c r="C11" s="8">
        <v>15.1</v>
      </c>
      <c r="D11" s="143"/>
      <c r="E11" s="143"/>
    </row>
    <row r="12" spans="1:5">
      <c r="A12" s="5">
        <v>1983</v>
      </c>
      <c r="B12" s="8">
        <v>20.9</v>
      </c>
      <c r="C12" s="8">
        <v>18.2</v>
      </c>
      <c r="D12" s="143"/>
      <c r="E12" s="143"/>
    </row>
    <row r="13" spans="1:5">
      <c r="A13" s="5">
        <v>1984</v>
      </c>
      <c r="B13" s="8">
        <v>20</v>
      </c>
      <c r="C13" s="8">
        <v>15.5</v>
      </c>
      <c r="D13" s="143"/>
      <c r="E13" s="143"/>
    </row>
    <row r="14" spans="1:5">
      <c r="A14" s="5">
        <v>1985</v>
      </c>
      <c r="B14" s="8">
        <v>16.100000000000001</v>
      </c>
      <c r="C14" s="8">
        <v>12.1</v>
      </c>
      <c r="D14" s="143"/>
      <c r="E14" s="143"/>
    </row>
    <row r="15" spans="1:5">
      <c r="A15" s="5">
        <v>1986</v>
      </c>
      <c r="B15" s="8">
        <v>15.8</v>
      </c>
      <c r="C15" s="8">
        <v>11.8</v>
      </c>
      <c r="D15" s="143"/>
      <c r="E15" s="143"/>
    </row>
    <row r="16" spans="1:5">
      <c r="A16" s="5">
        <v>1987</v>
      </c>
      <c r="B16" s="8">
        <v>16.8</v>
      </c>
      <c r="C16" s="8">
        <v>12.7</v>
      </c>
      <c r="D16" s="143"/>
      <c r="E16" s="143"/>
    </row>
    <row r="17" spans="1:5">
      <c r="A17" s="5">
        <v>1988</v>
      </c>
      <c r="B17" s="8">
        <v>15.7</v>
      </c>
      <c r="C17" s="8">
        <v>11.1</v>
      </c>
      <c r="D17" s="143"/>
      <c r="E17" s="143"/>
    </row>
    <row r="18" spans="1:5">
      <c r="A18" s="5">
        <v>1989</v>
      </c>
      <c r="B18" s="8">
        <v>14.4</v>
      </c>
      <c r="C18" s="8">
        <v>10.3</v>
      </c>
      <c r="D18" s="143"/>
      <c r="E18" s="143"/>
    </row>
    <row r="19" spans="1:5">
      <c r="A19" s="5">
        <v>1990</v>
      </c>
      <c r="B19" s="8">
        <v>15.7</v>
      </c>
      <c r="C19" s="8">
        <v>10.6</v>
      </c>
      <c r="D19" s="143"/>
      <c r="E19" s="143"/>
    </row>
    <row r="20" spans="1:5">
      <c r="A20" s="5">
        <v>1991</v>
      </c>
      <c r="B20" s="8">
        <v>15.2</v>
      </c>
      <c r="C20" s="8">
        <v>11.8</v>
      </c>
      <c r="D20" s="143"/>
      <c r="E20" s="143"/>
    </row>
    <row r="21" spans="1:5">
      <c r="A21" s="5">
        <v>1992</v>
      </c>
      <c r="B21" s="8">
        <v>14.5</v>
      </c>
      <c r="C21" s="8">
        <v>11.8</v>
      </c>
      <c r="D21" s="143"/>
      <c r="E21" s="143"/>
    </row>
    <row r="22" spans="1:5">
      <c r="A22" s="5">
        <v>1993</v>
      </c>
      <c r="B22" s="8">
        <v>14.6</v>
      </c>
      <c r="C22" s="8">
        <v>12.4</v>
      </c>
      <c r="D22" s="143"/>
      <c r="E22" s="143"/>
    </row>
    <row r="23" spans="1:5">
      <c r="A23" s="5">
        <v>1994</v>
      </c>
      <c r="B23" s="8">
        <v>14.8</v>
      </c>
      <c r="C23" s="8">
        <v>12.9</v>
      </c>
      <c r="D23" s="143"/>
      <c r="E23" s="143"/>
    </row>
    <row r="24" spans="1:5">
      <c r="A24" s="5">
        <v>1995</v>
      </c>
      <c r="B24" s="8">
        <v>15</v>
      </c>
      <c r="C24" s="8">
        <v>12.7</v>
      </c>
      <c r="D24" s="143"/>
      <c r="E24" s="143"/>
    </row>
    <row r="25" spans="1:5">
      <c r="A25" s="5">
        <v>1996</v>
      </c>
      <c r="B25" s="8">
        <v>14.8</v>
      </c>
      <c r="C25" s="8">
        <v>12</v>
      </c>
      <c r="D25" s="143"/>
      <c r="E25" s="143"/>
    </row>
    <row r="26" spans="1:5">
      <c r="A26" s="5">
        <v>1997</v>
      </c>
      <c r="B26" s="8">
        <v>15.8</v>
      </c>
      <c r="C26" s="8">
        <v>13.5</v>
      </c>
      <c r="D26" s="143"/>
      <c r="E26" s="143"/>
    </row>
    <row r="27" spans="1:5">
      <c r="A27" s="5">
        <v>1998</v>
      </c>
      <c r="B27" s="8">
        <v>14.6</v>
      </c>
      <c r="C27" s="8">
        <v>11.4</v>
      </c>
      <c r="D27" s="143"/>
      <c r="E27" s="143"/>
    </row>
    <row r="28" spans="1:5">
      <c r="A28" s="5">
        <v>1999</v>
      </c>
      <c r="B28" s="8">
        <v>16.5</v>
      </c>
      <c r="C28" s="8">
        <v>10.3</v>
      </c>
      <c r="D28" s="143"/>
      <c r="E28" s="143"/>
    </row>
    <row r="29" spans="1:5">
      <c r="A29" s="5">
        <v>2000</v>
      </c>
      <c r="B29" s="8">
        <v>14.8</v>
      </c>
      <c r="C29" s="8">
        <v>9.1999999999999993</v>
      </c>
      <c r="D29" s="143"/>
      <c r="E29" s="143"/>
    </row>
    <row r="30" spans="1:5">
      <c r="A30" s="5">
        <v>2001</v>
      </c>
      <c r="B30" s="8">
        <v>15</v>
      </c>
      <c r="C30" s="8">
        <v>8.6999999999999993</v>
      </c>
      <c r="D30" s="143"/>
      <c r="E30" s="143"/>
    </row>
    <row r="31" spans="1:5">
      <c r="A31" s="5">
        <v>2002</v>
      </c>
      <c r="B31" s="8">
        <v>16.7</v>
      </c>
      <c r="C31" s="8">
        <v>9.8000000000000007</v>
      </c>
      <c r="D31" s="143"/>
      <c r="E31" s="143"/>
    </row>
    <row r="32" spans="1:5">
      <c r="A32" s="5">
        <v>2003</v>
      </c>
      <c r="B32" s="8">
        <v>17.2</v>
      </c>
      <c r="C32" s="8">
        <v>9.6999999999999993</v>
      </c>
      <c r="D32" s="143"/>
      <c r="E32" s="143"/>
    </row>
    <row r="33" spans="1:5">
      <c r="A33" s="5">
        <v>2004</v>
      </c>
      <c r="B33" s="8">
        <v>18.100000000000001</v>
      </c>
      <c r="C33" s="8">
        <v>8.6999999999999993</v>
      </c>
      <c r="D33" s="143"/>
      <c r="E33" s="143"/>
    </row>
    <row r="34" spans="1:5">
      <c r="A34" s="5">
        <v>2005</v>
      </c>
      <c r="B34" s="8">
        <v>17.5</v>
      </c>
      <c r="C34" s="8">
        <v>9.6</v>
      </c>
      <c r="D34" s="143"/>
      <c r="E34" s="143"/>
    </row>
    <row r="35" spans="1:5">
      <c r="A35" s="5">
        <v>2006</v>
      </c>
      <c r="B35" s="8">
        <v>16.5</v>
      </c>
      <c r="C35" s="8">
        <v>8.6</v>
      </c>
      <c r="D35" s="8">
        <v>19.2</v>
      </c>
      <c r="E35" s="143"/>
    </row>
    <row r="36" spans="1:5">
      <c r="A36" s="5">
        <v>2007</v>
      </c>
      <c r="B36" s="8">
        <v>16.2</v>
      </c>
      <c r="C36" s="8">
        <v>7.4</v>
      </c>
      <c r="D36" s="8">
        <v>16.3</v>
      </c>
      <c r="E36" s="143"/>
    </row>
    <row r="37" spans="1:5">
      <c r="A37" s="5">
        <v>2008</v>
      </c>
      <c r="B37" s="8">
        <v>16.7</v>
      </c>
      <c r="C37" s="8">
        <v>7.2</v>
      </c>
      <c r="D37" s="8">
        <v>14.8</v>
      </c>
      <c r="E37" s="143"/>
    </row>
    <row r="38" spans="1:5">
      <c r="A38" s="5">
        <v>2009</v>
      </c>
      <c r="B38" s="8">
        <v>14.8</v>
      </c>
      <c r="C38" s="8">
        <v>7.2</v>
      </c>
      <c r="D38" s="8">
        <v>14.2</v>
      </c>
      <c r="E38" s="143"/>
    </row>
    <row r="39" spans="1:5">
      <c r="A39" s="5">
        <v>2010</v>
      </c>
      <c r="B39" s="8">
        <v>15.4</v>
      </c>
      <c r="C39" s="8">
        <v>5.7</v>
      </c>
      <c r="D39" s="8">
        <v>13.7</v>
      </c>
      <c r="E39" s="143"/>
    </row>
    <row r="40" spans="1:5">
      <c r="A40" s="5">
        <v>2011</v>
      </c>
      <c r="B40" s="8">
        <v>13.4</v>
      </c>
      <c r="C40" s="8">
        <v>6.3</v>
      </c>
      <c r="D40" s="8">
        <v>12.6</v>
      </c>
      <c r="E40" s="143"/>
    </row>
    <row r="41" spans="1:5">
      <c r="A41" s="5">
        <v>2012</v>
      </c>
      <c r="B41" s="8">
        <v>16.100000000000001</v>
      </c>
      <c r="C41" s="8">
        <v>6.9</v>
      </c>
      <c r="D41" s="8">
        <v>14.2</v>
      </c>
      <c r="E41" s="143"/>
    </row>
    <row r="42" spans="1:5">
      <c r="A42" s="5">
        <v>2013</v>
      </c>
      <c r="B42" s="8">
        <v>14.7</v>
      </c>
      <c r="C42" s="8">
        <v>6.7</v>
      </c>
      <c r="D42" s="8">
        <v>12.9</v>
      </c>
      <c r="E42" s="143"/>
    </row>
    <row r="43" spans="1:5">
      <c r="A43" s="5">
        <v>2014</v>
      </c>
      <c r="B43" s="8">
        <v>15.9</v>
      </c>
      <c r="C43" s="8">
        <v>6.7</v>
      </c>
      <c r="D43" s="8">
        <v>12.3</v>
      </c>
      <c r="E43" s="143"/>
    </row>
    <row r="44" spans="1:5">
      <c r="A44" s="5">
        <v>2015</v>
      </c>
      <c r="B44" s="8">
        <v>16.899999999999999</v>
      </c>
      <c r="C44" s="8">
        <v>7.4</v>
      </c>
      <c r="D44" s="8">
        <v>14</v>
      </c>
      <c r="E44" s="8">
        <v>16.100000000000001</v>
      </c>
    </row>
    <row r="45" spans="1:5">
      <c r="A45" s="5">
        <v>2016</v>
      </c>
      <c r="B45" s="8">
        <v>14.7</v>
      </c>
      <c r="C45" s="8">
        <v>5.0999999999999996</v>
      </c>
      <c r="D45" s="8">
        <v>11.8</v>
      </c>
      <c r="E45" s="8">
        <v>13.6</v>
      </c>
    </row>
    <row r="46" spans="1:5">
      <c r="A46" s="5">
        <v>2017</v>
      </c>
      <c r="B46" s="8">
        <v>15</v>
      </c>
      <c r="C46" s="8">
        <v>5.6</v>
      </c>
      <c r="D46" s="8">
        <v>9.6999999999999993</v>
      </c>
      <c r="E46" s="8">
        <v>12.1</v>
      </c>
    </row>
    <row r="47" spans="1:5">
      <c r="A47" s="5">
        <v>2018</v>
      </c>
      <c r="B47" s="8">
        <v>13.8</v>
      </c>
      <c r="C47" s="8">
        <v>4.9000000000000004</v>
      </c>
      <c r="D47" s="8">
        <v>7.9</v>
      </c>
      <c r="E47" s="8">
        <v>10</v>
      </c>
    </row>
    <row r="48" spans="1:5">
      <c r="A48" s="5">
        <v>2019</v>
      </c>
      <c r="B48" s="8">
        <v>14.9</v>
      </c>
      <c r="C48" s="8">
        <v>4.5</v>
      </c>
      <c r="D48" s="8">
        <v>7.8</v>
      </c>
      <c r="E48" s="8">
        <v>9.4</v>
      </c>
    </row>
    <row r="49" spans="1:5">
      <c r="B49" s="8"/>
      <c r="C49" s="8"/>
      <c r="D49" s="8"/>
    </row>
    <row r="51" spans="1:5">
      <c r="B51" s="135" t="s">
        <v>365</v>
      </c>
      <c r="C51" s="135" t="s">
        <v>366</v>
      </c>
      <c r="D51" s="135" t="s">
        <v>367</v>
      </c>
      <c r="E51" s="5" t="s">
        <v>368</v>
      </c>
    </row>
    <row r="52" spans="1:5">
      <c r="A52" s="5" t="s">
        <v>369</v>
      </c>
      <c r="B52" s="143">
        <f t="shared" ref="B52:C52" si="0">((B48-B5)/B5)*100</f>
        <v>-26.600985221674879</v>
      </c>
      <c r="C52" s="143">
        <f t="shared" si="0"/>
        <v>-70.967741935483872</v>
      </c>
      <c r="D52" s="143" t="s">
        <v>87</v>
      </c>
      <c r="E52" s="143" t="s">
        <v>87</v>
      </c>
    </row>
    <row r="53" spans="1:5">
      <c r="A53" s="5" t="s">
        <v>370</v>
      </c>
      <c r="B53" s="143">
        <f t="shared" ref="B53:C53" si="1">((B29-B5)/B5)*100</f>
        <v>-27.093596059113302</v>
      </c>
      <c r="C53" s="143">
        <f t="shared" si="1"/>
        <v>-40.645161290322584</v>
      </c>
      <c r="D53" s="143" t="s">
        <v>87</v>
      </c>
      <c r="E53" s="143" t="s">
        <v>87</v>
      </c>
    </row>
    <row r="54" spans="1:5">
      <c r="A54" s="5" t="s">
        <v>234</v>
      </c>
      <c r="B54" s="143">
        <f t="shared" ref="B54:C54" si="2">((B48-B29)/B29)*100</f>
        <v>0.67567567567567333</v>
      </c>
      <c r="C54" s="143">
        <f t="shared" si="2"/>
        <v>-51.086956521739125</v>
      </c>
      <c r="D54" s="143" t="s">
        <v>87</v>
      </c>
      <c r="E54" s="143" t="s">
        <v>87</v>
      </c>
    </row>
    <row r="55" spans="1:5">
      <c r="A55" s="5" t="s">
        <v>371</v>
      </c>
      <c r="B55" s="143">
        <f>100*(B48-B44)/B44</f>
        <v>-11.83431952662721</v>
      </c>
      <c r="C55" s="143">
        <f t="shared" ref="C55:E55" si="3">100*(C48-C44)/C44</f>
        <v>-39.189189189189193</v>
      </c>
      <c r="D55" s="143">
        <f t="shared" si="3"/>
        <v>-44.285714285714285</v>
      </c>
      <c r="E55" s="143">
        <f t="shared" si="3"/>
        <v>-41.614906832298139</v>
      </c>
    </row>
    <row r="56" spans="1:5">
      <c r="A56" s="5" t="s">
        <v>372</v>
      </c>
      <c r="B56" s="143">
        <f t="shared" ref="B56:D56" si="4">((B48-B35)/B35)*100</f>
        <v>-9.6969696969696937</v>
      </c>
      <c r="C56" s="143">
        <f t="shared" si="4"/>
        <v>-47.674418604651159</v>
      </c>
      <c r="D56" s="143">
        <f t="shared" si="4"/>
        <v>-59.375</v>
      </c>
      <c r="E56" s="143" t="s">
        <v>87</v>
      </c>
    </row>
    <row r="58" spans="1:5">
      <c r="B58" s="135" t="s">
        <v>365</v>
      </c>
      <c r="C58" s="135" t="s">
        <v>366</v>
      </c>
      <c r="D58" s="135" t="s">
        <v>367</v>
      </c>
      <c r="E58" s="5" t="s">
        <v>368</v>
      </c>
    </row>
    <row r="59" spans="1:5">
      <c r="A59" s="5" t="s">
        <v>22</v>
      </c>
      <c r="B59" s="8">
        <f t="shared" ref="B59:C59" si="5">B48-B5</f>
        <v>-5.4</v>
      </c>
      <c r="C59" s="8">
        <f t="shared" si="5"/>
        <v>-11</v>
      </c>
      <c r="D59" s="143" t="s">
        <v>87</v>
      </c>
      <c r="E59" s="143" t="s">
        <v>87</v>
      </c>
    </row>
    <row r="60" spans="1:5">
      <c r="A60" s="5" t="s">
        <v>23</v>
      </c>
      <c r="B60" s="8">
        <f t="shared" ref="B60:C60" si="6">B29-B5</f>
        <v>-5.5</v>
      </c>
      <c r="C60" s="8">
        <f t="shared" si="6"/>
        <v>-6.3000000000000007</v>
      </c>
      <c r="D60" s="143" t="s">
        <v>87</v>
      </c>
      <c r="E60" s="143" t="s">
        <v>87</v>
      </c>
    </row>
    <row r="61" spans="1:5">
      <c r="A61" s="5" t="s">
        <v>24</v>
      </c>
      <c r="B61" s="8">
        <f t="shared" ref="B61:C61" si="7">B48-B29</f>
        <v>9.9999999999999645E-2</v>
      </c>
      <c r="C61" s="8">
        <f t="shared" si="7"/>
        <v>-4.6999999999999993</v>
      </c>
      <c r="D61" s="143" t="s">
        <v>87</v>
      </c>
      <c r="E61" s="143" t="s">
        <v>87</v>
      </c>
    </row>
    <row r="62" spans="1:5">
      <c r="A62" s="5" t="s">
        <v>373</v>
      </c>
      <c r="B62" s="8">
        <f>B48-B44</f>
        <v>-1.9999999999999982</v>
      </c>
      <c r="C62" s="8">
        <f t="shared" ref="C62:E62" si="8">C48-C44</f>
        <v>-2.9000000000000004</v>
      </c>
      <c r="D62" s="8">
        <f t="shared" si="8"/>
        <v>-6.2</v>
      </c>
      <c r="E62" s="8">
        <f t="shared" si="8"/>
        <v>-6.7000000000000011</v>
      </c>
    </row>
    <row r="63" spans="1:5">
      <c r="A63" s="5" t="s">
        <v>374</v>
      </c>
      <c r="B63" s="8">
        <f t="shared" ref="B63:D63" si="9">B48-B35</f>
        <v>-1.5999999999999996</v>
      </c>
      <c r="C63" s="8">
        <f t="shared" si="9"/>
        <v>-4.0999999999999996</v>
      </c>
      <c r="D63" s="8">
        <f t="shared" si="9"/>
        <v>-11.399999999999999</v>
      </c>
      <c r="E63" s="143" t="s">
        <v>87</v>
      </c>
    </row>
    <row r="66" spans="1:2">
      <c r="A66" s="5" t="s">
        <v>375</v>
      </c>
    </row>
    <row r="67" spans="1:2">
      <c r="A67" s="5">
        <v>1</v>
      </c>
      <c r="B67" s="5" t="s">
        <v>376</v>
      </c>
    </row>
    <row r="68" spans="1:2">
      <c r="A68" s="5">
        <v>2</v>
      </c>
      <c r="B68" s="5" t="s">
        <v>377</v>
      </c>
    </row>
    <row r="69" spans="1:2">
      <c r="A69" s="5">
        <v>3</v>
      </c>
      <c r="B69" s="5" t="s">
        <v>378</v>
      </c>
    </row>
    <row r="70" spans="1:2">
      <c r="A70" s="5">
        <v>4</v>
      </c>
      <c r="B70" s="5" t="s">
        <v>379</v>
      </c>
    </row>
    <row r="73" spans="1:2">
      <c r="A73" s="5" t="s">
        <v>686</v>
      </c>
    </row>
  </sheetData>
  <hyperlinks>
    <hyperlink ref="B70" r:id="rId1" display="https://www150.statcan.gc.ca/n1/pub/75f0002m/75f0002m2020002-eng.htm" xr:uid="{E0C93CDA-63ED-9E46-9518-472454371F8E}"/>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21437-2E74-DD42-AD69-14E49A602C4C}">
  <sheetPr codeName="Sheet68"/>
  <dimension ref="A1:J69"/>
  <sheetViews>
    <sheetView zoomScale="85" workbookViewId="0"/>
  </sheetViews>
  <sheetFormatPr baseColWidth="10" defaultColWidth="10.83203125" defaultRowHeight="16"/>
  <cols>
    <col min="1" max="1" width="19.6640625" style="5" customWidth="1"/>
    <col min="2" max="16384" width="10.83203125" style="5"/>
  </cols>
  <sheetData>
    <row r="1" spans="1:10">
      <c r="A1" s="19" t="s">
        <v>687</v>
      </c>
    </row>
    <row r="3" spans="1:10" ht="32" customHeight="1">
      <c r="B3" s="137" t="s">
        <v>365</v>
      </c>
      <c r="C3" s="137" t="s">
        <v>366</v>
      </c>
      <c r="D3" s="137" t="s">
        <v>367</v>
      </c>
      <c r="E3" s="137" t="s">
        <v>368</v>
      </c>
    </row>
    <row r="4" spans="1:10">
      <c r="A4" s="6">
        <v>1976</v>
      </c>
      <c r="B4" s="143">
        <v>4.5877659574468082</v>
      </c>
      <c r="C4" s="143">
        <v>3.5128805620608898</v>
      </c>
      <c r="D4" s="143" t="s">
        <v>87</v>
      </c>
      <c r="E4" s="143" t="s">
        <v>87</v>
      </c>
    </row>
    <row r="5" spans="1:10">
      <c r="A5" s="6">
        <v>1977</v>
      </c>
      <c r="B5" s="143">
        <v>4.0139064475347661</v>
      </c>
      <c r="C5" s="143">
        <v>3.1735537190082646</v>
      </c>
      <c r="D5" s="143" t="s">
        <v>87</v>
      </c>
      <c r="E5" s="143" t="s">
        <v>87</v>
      </c>
    </row>
    <row r="6" spans="1:10">
      <c r="A6" s="6">
        <v>1978</v>
      </c>
      <c r="B6" s="143">
        <v>4.8105436573311371</v>
      </c>
      <c r="C6" s="143">
        <v>3.7709497206703912</v>
      </c>
      <c r="D6" s="143" t="s">
        <v>87</v>
      </c>
      <c r="E6" s="143" t="s">
        <v>87</v>
      </c>
      <c r="H6" s="20"/>
      <c r="I6" s="135"/>
      <c r="J6" s="143"/>
    </row>
    <row r="7" spans="1:10">
      <c r="A7" s="6">
        <v>1979</v>
      </c>
      <c r="B7" s="143">
        <v>4.3492165014390789</v>
      </c>
      <c r="C7" s="143">
        <v>3.1772575250836121</v>
      </c>
      <c r="D7" s="143" t="s">
        <v>87</v>
      </c>
      <c r="E7" s="143" t="s">
        <v>87</v>
      </c>
      <c r="H7" s="20"/>
      <c r="I7" s="135"/>
      <c r="J7" s="143"/>
    </row>
    <row r="8" spans="1:10">
      <c r="A8" s="6">
        <v>1980</v>
      </c>
      <c r="B8" s="143">
        <v>4.1163018621365568</v>
      </c>
      <c r="C8" s="143">
        <v>3.0780243378668577</v>
      </c>
      <c r="D8" s="143" t="s">
        <v>87</v>
      </c>
      <c r="E8" s="143" t="s">
        <v>87</v>
      </c>
      <c r="H8" s="20"/>
      <c r="I8" s="135"/>
      <c r="J8" s="143"/>
    </row>
    <row r="9" spans="1:10">
      <c r="A9" s="6">
        <v>1981</v>
      </c>
      <c r="B9" s="143">
        <v>4.8155737704918034</v>
      </c>
      <c r="C9" s="143">
        <v>3.6775106082036775</v>
      </c>
      <c r="D9" s="143" t="s">
        <v>87</v>
      </c>
      <c r="E9" s="143" t="s">
        <v>87</v>
      </c>
      <c r="H9" s="20"/>
      <c r="I9" s="135"/>
      <c r="J9" s="143"/>
    </row>
    <row r="10" spans="1:10">
      <c r="A10" s="6">
        <v>1982</v>
      </c>
      <c r="B10" s="143">
        <v>4.716041182331451</v>
      </c>
      <c r="C10" s="143">
        <v>3.4369885433715219</v>
      </c>
      <c r="D10" s="143" t="s">
        <v>87</v>
      </c>
      <c r="E10" s="143" t="s">
        <v>87</v>
      </c>
      <c r="H10" s="20"/>
      <c r="I10" s="135"/>
      <c r="J10" s="143"/>
    </row>
    <row r="11" spans="1:10">
      <c r="A11" s="6">
        <v>1983</v>
      </c>
      <c r="B11" s="143">
        <v>4.5680546923555001</v>
      </c>
      <c r="C11" s="143">
        <v>3.6686729721983378</v>
      </c>
      <c r="D11" s="143" t="s">
        <v>87</v>
      </c>
      <c r="E11" s="143" t="s">
        <v>87</v>
      </c>
    </row>
    <row r="12" spans="1:10">
      <c r="A12" s="6">
        <v>1984</v>
      </c>
      <c r="B12" s="143">
        <v>4.3132456408687672</v>
      </c>
      <c r="C12" s="143">
        <v>3.1575898030127463</v>
      </c>
      <c r="D12" s="143" t="s">
        <v>87</v>
      </c>
      <c r="E12" s="143" t="s">
        <v>87</v>
      </c>
    </row>
    <row r="13" spans="1:10">
      <c r="A13" s="6">
        <v>1985</v>
      </c>
      <c r="B13" s="143">
        <v>3.7073170731707319</v>
      </c>
      <c r="C13" s="143">
        <v>2.5835866261398177</v>
      </c>
      <c r="D13" s="143" t="s">
        <v>87</v>
      </c>
      <c r="E13" s="143" t="s">
        <v>87</v>
      </c>
    </row>
    <row r="14" spans="1:10">
      <c r="A14" s="6">
        <v>1986</v>
      </c>
      <c r="B14" s="143">
        <v>3.755868544600939</v>
      </c>
      <c r="C14" s="143">
        <v>2.6800129157248951</v>
      </c>
      <c r="D14" s="143" t="s">
        <v>87</v>
      </c>
      <c r="E14" s="143" t="s">
        <v>87</v>
      </c>
    </row>
    <row r="15" spans="1:10">
      <c r="A15" s="6">
        <v>1987</v>
      </c>
      <c r="B15" s="143">
        <v>3.997312730937185</v>
      </c>
      <c r="C15" s="143">
        <v>2.9230269568041574</v>
      </c>
      <c r="D15" s="143" t="s">
        <v>87</v>
      </c>
      <c r="E15" s="143" t="s">
        <v>87</v>
      </c>
    </row>
    <row r="16" spans="1:10">
      <c r="A16" s="6">
        <v>1988</v>
      </c>
      <c r="B16" s="143">
        <v>3.8580778504994835</v>
      </c>
      <c r="C16" s="143">
        <v>2.7777777777777777</v>
      </c>
      <c r="D16" s="143" t="s">
        <v>87</v>
      </c>
      <c r="E16" s="143" t="s">
        <v>87</v>
      </c>
    </row>
    <row r="17" spans="1:5">
      <c r="A17" s="6">
        <v>1989</v>
      </c>
      <c r="B17" s="143">
        <v>3.7076648841354722</v>
      </c>
      <c r="C17" s="143">
        <v>2.7316352897748248</v>
      </c>
      <c r="D17" s="143" t="s">
        <v>87</v>
      </c>
      <c r="E17" s="143" t="s">
        <v>87</v>
      </c>
    </row>
    <row r="18" spans="1:5">
      <c r="A18" s="6">
        <v>1990</v>
      </c>
      <c r="B18" s="143">
        <v>3.6167512690355328</v>
      </c>
      <c r="C18" s="143">
        <v>2.4122807017543861</v>
      </c>
      <c r="D18" s="143" t="s">
        <v>87</v>
      </c>
      <c r="E18" s="143" t="s">
        <v>87</v>
      </c>
    </row>
    <row r="19" spans="1:5">
      <c r="A19" s="6">
        <v>1991</v>
      </c>
      <c r="B19" s="143">
        <v>3.5372848948374762</v>
      </c>
      <c r="C19" s="143">
        <v>2.3842528416967008</v>
      </c>
      <c r="D19" s="143" t="s">
        <v>87</v>
      </c>
      <c r="E19" s="143" t="s">
        <v>87</v>
      </c>
    </row>
    <row r="20" spans="1:5">
      <c r="A20" s="6">
        <v>1992</v>
      </c>
      <c r="B20" s="143">
        <v>3.2287541882424611</v>
      </c>
      <c r="C20" s="143">
        <v>2.3388632036986672</v>
      </c>
      <c r="D20" s="143" t="s">
        <v>87</v>
      </c>
      <c r="E20" s="143" t="s">
        <v>87</v>
      </c>
    </row>
    <row r="21" spans="1:5">
      <c r="A21" s="6">
        <v>1993</v>
      </c>
      <c r="B21" s="143">
        <v>3.202633941933553</v>
      </c>
      <c r="C21" s="143">
        <v>2.274450341167551</v>
      </c>
      <c r="D21" s="143" t="s">
        <v>87</v>
      </c>
      <c r="E21" s="143" t="s">
        <v>87</v>
      </c>
    </row>
    <row r="22" spans="1:5">
      <c r="A22" s="6">
        <v>1994</v>
      </c>
      <c r="B22" s="143">
        <v>3.2162001191185228</v>
      </c>
      <c r="C22" s="143">
        <v>2.3624026137220406</v>
      </c>
      <c r="D22" s="143" t="s">
        <v>87</v>
      </c>
      <c r="E22" s="143" t="s">
        <v>87</v>
      </c>
    </row>
    <row r="23" spans="1:5">
      <c r="A23" s="6">
        <v>1995</v>
      </c>
      <c r="B23" s="143">
        <v>3.1847133757961785</v>
      </c>
      <c r="C23" s="143">
        <v>2.2398843930635839</v>
      </c>
      <c r="D23" s="143" t="s">
        <v>87</v>
      </c>
      <c r="E23" s="143" t="s">
        <v>87</v>
      </c>
    </row>
    <row r="24" spans="1:5">
      <c r="A24" s="6">
        <v>1996</v>
      </c>
      <c r="B24" s="143">
        <v>2.9411764705882355</v>
      </c>
      <c r="C24" s="143">
        <v>2.0013645667500568</v>
      </c>
      <c r="D24" s="143" t="s">
        <v>87</v>
      </c>
      <c r="E24" s="143" t="s">
        <v>87</v>
      </c>
    </row>
    <row r="25" spans="1:5">
      <c r="A25" s="6">
        <v>1997</v>
      </c>
      <c r="B25" s="143">
        <v>3.1266846361185983</v>
      </c>
      <c r="C25" s="143">
        <v>2.2607901347339574</v>
      </c>
      <c r="D25" s="143" t="s">
        <v>87</v>
      </c>
      <c r="E25" s="143" t="s">
        <v>87</v>
      </c>
    </row>
    <row r="26" spans="1:5">
      <c r="A26" s="6">
        <v>1998</v>
      </c>
      <c r="B26" s="143">
        <v>2.821729957805907</v>
      </c>
      <c r="C26" s="143">
        <v>2.0590424212354255</v>
      </c>
      <c r="D26" s="143" t="s">
        <v>87</v>
      </c>
      <c r="E26" s="143" t="s">
        <v>87</v>
      </c>
    </row>
    <row r="27" spans="1:5">
      <c r="A27" s="6">
        <v>1999</v>
      </c>
      <c r="B27" s="143">
        <v>3.2746955345060895</v>
      </c>
      <c r="C27" s="143">
        <v>1.9684019684019685</v>
      </c>
      <c r="D27" s="143" t="s">
        <v>87</v>
      </c>
      <c r="E27" s="143" t="s">
        <v>87</v>
      </c>
    </row>
    <row r="28" spans="1:5">
      <c r="A28" s="6">
        <v>2000</v>
      </c>
      <c r="B28" s="143">
        <v>2.8154327424400418</v>
      </c>
      <c r="C28" s="143">
        <v>1.7900080149612609</v>
      </c>
      <c r="D28" s="143" t="s">
        <v>87</v>
      </c>
      <c r="E28" s="143" t="s">
        <v>87</v>
      </c>
    </row>
    <row r="29" spans="1:5">
      <c r="A29" s="6">
        <v>2001</v>
      </c>
      <c r="B29" s="143">
        <v>2.9108229690394283</v>
      </c>
      <c r="C29" s="143">
        <v>1.8551236749116609</v>
      </c>
      <c r="D29" s="143" t="s">
        <v>87</v>
      </c>
      <c r="E29" s="143" t="s">
        <v>87</v>
      </c>
    </row>
    <row r="30" spans="1:5">
      <c r="A30" s="6">
        <v>2002</v>
      </c>
      <c r="B30" s="143">
        <v>3.0870445344129553</v>
      </c>
      <c r="C30" s="143">
        <v>2.0056497175141241</v>
      </c>
      <c r="D30" s="143" t="s">
        <v>87</v>
      </c>
      <c r="E30" s="143" t="s">
        <v>87</v>
      </c>
    </row>
    <row r="31" spans="1:5">
      <c r="A31" s="6">
        <v>2003</v>
      </c>
      <c r="B31" s="143">
        <v>3.0584781012967945</v>
      </c>
      <c r="C31" s="143">
        <v>1.9755147468002225</v>
      </c>
      <c r="D31" s="143" t="s">
        <v>87</v>
      </c>
      <c r="E31" s="143" t="s">
        <v>87</v>
      </c>
    </row>
    <row r="32" spans="1:5">
      <c r="A32" s="6">
        <v>2004</v>
      </c>
      <c r="B32" s="143">
        <v>3.1548757170172084</v>
      </c>
      <c r="C32" s="143">
        <v>1.777150916784203</v>
      </c>
      <c r="D32" s="143" t="s">
        <v>87</v>
      </c>
      <c r="E32" s="143" t="s">
        <v>87</v>
      </c>
    </row>
    <row r="33" spans="1:5">
      <c r="A33" s="6">
        <v>2005</v>
      </c>
      <c r="B33" s="143">
        <v>3.1028585389689716</v>
      </c>
      <c r="C33" s="143">
        <v>2.0576131687242798</v>
      </c>
      <c r="D33" s="143" t="s">
        <v>87</v>
      </c>
      <c r="E33" s="143" t="s">
        <v>87</v>
      </c>
    </row>
    <row r="34" spans="1:5">
      <c r="A34" s="6">
        <v>2006</v>
      </c>
      <c r="B34" s="143">
        <v>2.787538065120637</v>
      </c>
      <c r="C34" s="143">
        <v>1.6926016926016927</v>
      </c>
      <c r="D34" s="143">
        <v>2.8063799717343025</v>
      </c>
      <c r="E34" s="143" t="s">
        <v>87</v>
      </c>
    </row>
    <row r="35" spans="1:5">
      <c r="A35" s="6">
        <v>2007</v>
      </c>
      <c r="B35" s="143">
        <v>2.744546094299789</v>
      </c>
      <c r="C35" s="143">
        <v>1.6343825665859564</v>
      </c>
      <c r="D35" s="143">
        <v>2.6345166331770487</v>
      </c>
      <c r="E35" s="143" t="s">
        <v>87</v>
      </c>
    </row>
    <row r="36" spans="1:5">
      <c r="A36" s="6">
        <v>2008</v>
      </c>
      <c r="B36" s="143">
        <v>2.7765029830197339</v>
      </c>
      <c r="C36" s="143">
        <v>1.6804058338617629</v>
      </c>
      <c r="D36" s="143">
        <v>2.6550868486352357</v>
      </c>
      <c r="E36" s="143" t="s">
        <v>87</v>
      </c>
    </row>
    <row r="37" spans="1:5">
      <c r="A37" s="6">
        <v>2009</v>
      </c>
      <c r="B37" s="143">
        <v>2.3957409050576755</v>
      </c>
      <c r="C37" s="143">
        <v>1.5925480769230769</v>
      </c>
      <c r="D37" s="143">
        <v>2.3361306418689045</v>
      </c>
      <c r="E37" s="143" t="s">
        <v>87</v>
      </c>
    </row>
    <row r="38" spans="1:5">
      <c r="A38" s="6">
        <v>2010</v>
      </c>
      <c r="B38" s="143">
        <v>2.4944320712694878</v>
      </c>
      <c r="C38" s="143">
        <v>1.2868801004394226</v>
      </c>
      <c r="D38" s="143">
        <v>2.4539877300613497</v>
      </c>
      <c r="E38" s="143" t="s">
        <v>87</v>
      </c>
    </row>
    <row r="39" spans="1:5">
      <c r="A39" s="6">
        <v>2011</v>
      </c>
      <c r="B39" s="143">
        <v>2.1997755331088666</v>
      </c>
      <c r="C39" s="143">
        <v>1.421068890948409</v>
      </c>
      <c r="D39" s="143">
        <v>2.1586109807602063</v>
      </c>
      <c r="E39" s="143" t="s">
        <v>87</v>
      </c>
    </row>
    <row r="40" spans="1:5">
      <c r="A40" s="6">
        <v>2012</v>
      </c>
      <c r="B40" s="143">
        <v>2.5392726490208735</v>
      </c>
      <c r="C40" s="143">
        <v>1.502651738361815</v>
      </c>
      <c r="D40" s="143">
        <v>2.4186046511627906</v>
      </c>
      <c r="E40" s="143" t="s">
        <v>87</v>
      </c>
    </row>
    <row r="41" spans="1:5">
      <c r="A41" s="6">
        <v>2013</v>
      </c>
      <c r="B41" s="143">
        <v>2.3401950162513541</v>
      </c>
      <c r="C41" s="143">
        <v>1.4592019058963668</v>
      </c>
      <c r="D41" s="143">
        <v>2.2558195344372449</v>
      </c>
      <c r="E41" s="143" t="s">
        <v>87</v>
      </c>
    </row>
    <row r="42" spans="1:5">
      <c r="A42" s="6">
        <v>2014</v>
      </c>
      <c r="B42" s="143">
        <v>2.5680761567412</v>
      </c>
      <c r="C42" s="143">
        <v>1.611842105263158</v>
      </c>
      <c r="D42" s="143">
        <v>2.3017902813299234</v>
      </c>
      <c r="E42" s="143" t="s">
        <v>87</v>
      </c>
    </row>
    <row r="43" spans="1:5">
      <c r="A43" s="6">
        <v>2015</v>
      </c>
      <c r="B43" s="143">
        <v>2.4703755774251857</v>
      </c>
      <c r="C43" s="143">
        <v>1.6759776536312849</v>
      </c>
      <c r="D43" s="143">
        <v>2.4067956583294006</v>
      </c>
      <c r="E43" s="143">
        <v>2.3058730784391015</v>
      </c>
    </row>
    <row r="44" spans="1:5">
      <c r="A44" s="6">
        <v>2016</v>
      </c>
      <c r="B44" s="143">
        <v>2.3401950162513541</v>
      </c>
      <c r="C44" s="143">
        <v>1.2847222222222223</v>
      </c>
      <c r="D44" s="143">
        <v>2.3000802353570475</v>
      </c>
      <c r="E44" s="143">
        <v>2.179176755447942</v>
      </c>
    </row>
    <row r="45" spans="1:5">
      <c r="A45" s="6">
        <v>2017</v>
      </c>
      <c r="B45" s="143">
        <v>2.4347056219566179</v>
      </c>
      <c r="C45" s="143">
        <v>1.4674302075876879</v>
      </c>
      <c r="D45" s="143">
        <v>2.0802812774685027</v>
      </c>
      <c r="E45" s="143">
        <v>2.1251193887297037</v>
      </c>
    </row>
    <row r="46" spans="1:5">
      <c r="A46" s="6">
        <v>2018</v>
      </c>
      <c r="B46" s="143">
        <v>2.2590024602997092</v>
      </c>
      <c r="C46" s="143">
        <v>1.3498312710911136</v>
      </c>
      <c r="D46" s="143">
        <v>1.8279231011660888</v>
      </c>
      <c r="E46" s="143">
        <v>1.8578960582475521</v>
      </c>
    </row>
    <row r="47" spans="1:5">
      <c r="A47" s="6">
        <v>2019</v>
      </c>
      <c r="B47" s="143">
        <v>2.4988743809095002</v>
      </c>
      <c r="C47" s="143">
        <v>1.375</v>
      </c>
      <c r="D47" s="143">
        <v>1.9173553719008265</v>
      </c>
      <c r="E47" s="143">
        <v>1.8766756032171581</v>
      </c>
    </row>
    <row r="50" spans="1:5" ht="32" customHeight="1">
      <c r="B50" s="135" t="s">
        <v>365</v>
      </c>
      <c r="C50" s="135" t="s">
        <v>366</v>
      </c>
      <c r="D50" s="137" t="s">
        <v>367</v>
      </c>
      <c r="E50" s="137" t="s">
        <v>368</v>
      </c>
    </row>
    <row r="51" spans="1:5">
      <c r="A51" s="5" t="s">
        <v>369</v>
      </c>
      <c r="B51" s="143">
        <f t="shared" ref="B51:C51" si="0">((B47-B4)/B4)*100</f>
        <v>-45.531781610320451</v>
      </c>
      <c r="C51" s="143">
        <f t="shared" si="0"/>
        <v>-60.858333333333334</v>
      </c>
      <c r="D51" s="143" t="s">
        <v>87</v>
      </c>
      <c r="E51" s="143" t="s">
        <v>87</v>
      </c>
    </row>
    <row r="52" spans="1:5">
      <c r="A52" s="5" t="s">
        <v>370</v>
      </c>
      <c r="B52" s="143">
        <f t="shared" ref="B52:C52" si="1">((B28-B4)/B4)*100</f>
        <v>-38.63172688942285</v>
      </c>
      <c r="C52" s="143">
        <f t="shared" si="1"/>
        <v>-49.044438507436105</v>
      </c>
      <c r="D52" s="143" t="s">
        <v>87</v>
      </c>
      <c r="E52" s="143" t="s">
        <v>87</v>
      </c>
    </row>
    <row r="53" spans="1:5">
      <c r="A53" s="5" t="s">
        <v>234</v>
      </c>
      <c r="B53" s="143">
        <f t="shared" ref="B53:C53" si="2">((B47-B28)/B28)*100</f>
        <v>-11.243684026214423</v>
      </c>
      <c r="C53" s="143">
        <f t="shared" si="2"/>
        <v>-23.184701492537311</v>
      </c>
      <c r="D53" s="143" t="s">
        <v>87</v>
      </c>
      <c r="E53" s="143" t="s">
        <v>87</v>
      </c>
    </row>
    <row r="54" spans="1:5">
      <c r="A54" s="5" t="s">
        <v>372</v>
      </c>
      <c r="B54" s="143">
        <f t="shared" ref="B54:D54" si="3">((B47-B34)/B34)*100</f>
        <v>-10.355506452918847</v>
      </c>
      <c r="C54" s="143">
        <f t="shared" si="3"/>
        <v>-18.764112903225811</v>
      </c>
      <c r="D54" s="143">
        <f t="shared" si="3"/>
        <v>-31.678696712051845</v>
      </c>
      <c r="E54" s="143" t="s">
        <v>87</v>
      </c>
    </row>
    <row r="55" spans="1:5">
      <c r="A55" s="5" t="s">
        <v>371</v>
      </c>
      <c r="B55" s="143">
        <f>100*(B47-B43)/B43</f>
        <v>1.1536222971414809</v>
      </c>
      <c r="C55" s="143">
        <f t="shared" ref="C55:E55" si="4">100*(C47-C43)/C43</f>
        <v>-17.958333333333332</v>
      </c>
      <c r="D55" s="143">
        <f t="shared" si="4"/>
        <v>-20.335764057689186</v>
      </c>
      <c r="E55" s="143">
        <f t="shared" si="4"/>
        <v>-18.613230677573853</v>
      </c>
    </row>
    <row r="56" spans="1:5">
      <c r="B56" s="135"/>
      <c r="C56" s="135"/>
      <c r="D56" s="135"/>
    </row>
    <row r="57" spans="1:5" ht="32" customHeight="1">
      <c r="B57" s="135" t="s">
        <v>365</v>
      </c>
      <c r="C57" s="135" t="s">
        <v>366</v>
      </c>
      <c r="D57" s="137" t="s">
        <v>367</v>
      </c>
      <c r="E57" s="137" t="s">
        <v>368</v>
      </c>
    </row>
    <row r="58" spans="1:5">
      <c r="A58" s="5" t="s">
        <v>22</v>
      </c>
      <c r="B58" s="8">
        <f t="shared" ref="B58:C58" si="5">B47-B4</f>
        <v>-2.0888915765373079</v>
      </c>
      <c r="C58" s="8">
        <f t="shared" si="5"/>
        <v>-2.1378805620608898</v>
      </c>
      <c r="D58" s="143" t="s">
        <v>87</v>
      </c>
      <c r="E58" s="143" t="s">
        <v>87</v>
      </c>
    </row>
    <row r="59" spans="1:5">
      <c r="A59" s="5" t="s">
        <v>23</v>
      </c>
      <c r="B59" s="8">
        <f t="shared" ref="B59:C59" si="6">B28-B4</f>
        <v>-1.7723332150067663</v>
      </c>
      <c r="C59" s="8">
        <f t="shared" si="6"/>
        <v>-1.7228725470996289</v>
      </c>
      <c r="D59" s="143" t="s">
        <v>87</v>
      </c>
      <c r="E59" s="143" t="s">
        <v>87</v>
      </c>
    </row>
    <row r="60" spans="1:5">
      <c r="A60" s="5" t="s">
        <v>24</v>
      </c>
      <c r="B60" s="8">
        <f t="shared" ref="B60:C60" si="7">B47-B28</f>
        <v>-0.31655836153054162</v>
      </c>
      <c r="C60" s="8">
        <f t="shared" si="7"/>
        <v>-0.41500801496126094</v>
      </c>
      <c r="D60" s="143" t="s">
        <v>87</v>
      </c>
      <c r="E60" s="143" t="s">
        <v>87</v>
      </c>
    </row>
    <row r="61" spans="1:5">
      <c r="A61" s="5" t="s">
        <v>374</v>
      </c>
      <c r="B61" s="8">
        <f t="shared" ref="B61:D61" si="8">B47-B34</f>
        <v>-0.28866368421113675</v>
      </c>
      <c r="C61" s="8">
        <f t="shared" si="8"/>
        <v>-0.31760169260169269</v>
      </c>
      <c r="D61" s="8">
        <f t="shared" si="8"/>
        <v>-0.88902459983347604</v>
      </c>
      <c r="E61" s="143" t="s">
        <v>87</v>
      </c>
    </row>
    <row r="62" spans="1:5">
      <c r="A62" s="5" t="s">
        <v>373</v>
      </c>
      <c r="B62" s="8">
        <f>B47-B43</f>
        <v>2.849880348431455E-2</v>
      </c>
      <c r="C62" s="8">
        <f t="shared" ref="C62:E62" si="9">C47-C43</f>
        <v>-0.30097765363128492</v>
      </c>
      <c r="D62" s="8">
        <f t="shared" si="9"/>
        <v>-0.48944028642857407</v>
      </c>
      <c r="E62" s="8">
        <f t="shared" si="9"/>
        <v>-0.4291974752219434</v>
      </c>
    </row>
    <row r="65" spans="1:2">
      <c r="A65" s="5" t="s">
        <v>153</v>
      </c>
    </row>
    <row r="66" spans="1:2">
      <c r="A66" s="5">
        <v>1</v>
      </c>
      <c r="B66" s="5" t="s">
        <v>381</v>
      </c>
    </row>
    <row r="69" spans="1:2">
      <c r="A69" s="5" t="s">
        <v>686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E99EC-CBCF-DE45-866F-9E8C4944C813}">
  <dimension ref="A1:J73"/>
  <sheetViews>
    <sheetView zoomScale="89" zoomScaleNormal="89" workbookViewId="0"/>
  </sheetViews>
  <sheetFormatPr baseColWidth="10" defaultColWidth="10.83203125" defaultRowHeight="16"/>
  <cols>
    <col min="1" max="1" width="24.5" style="5" customWidth="1"/>
    <col min="2" max="5" width="17.83203125" style="5" customWidth="1"/>
    <col min="6" max="16384" width="10.83203125" style="5"/>
  </cols>
  <sheetData>
    <row r="1" spans="1:10">
      <c r="A1" s="19" t="s">
        <v>688</v>
      </c>
    </row>
    <row r="2" spans="1:10">
      <c r="A2" s="5" t="s">
        <v>364</v>
      </c>
    </row>
    <row r="3" spans="1:10">
      <c r="F3" s="186"/>
    </row>
    <row r="4" spans="1:10" ht="17">
      <c r="B4" s="187" t="s">
        <v>365</v>
      </c>
      <c r="C4" s="187" t="s">
        <v>366</v>
      </c>
      <c r="D4" s="187" t="s">
        <v>368</v>
      </c>
      <c r="E4" s="187" t="s">
        <v>367</v>
      </c>
      <c r="F4" s="187"/>
      <c r="G4" s="187"/>
      <c r="H4" s="187"/>
      <c r="I4" s="187"/>
      <c r="J4" s="187"/>
    </row>
    <row r="5" spans="1:10">
      <c r="A5" s="5">
        <v>1976</v>
      </c>
      <c r="B5" s="8">
        <v>156.15384615384616</v>
      </c>
      <c r="C5" s="8">
        <v>119.23076923076923</v>
      </c>
      <c r="D5" s="8"/>
      <c r="E5" s="8"/>
      <c r="F5" s="8"/>
      <c r="G5" s="115"/>
      <c r="H5" s="115"/>
      <c r="I5" s="115"/>
      <c r="J5" s="115"/>
    </row>
    <row r="6" spans="1:10">
      <c r="A6" s="5">
        <v>1977</v>
      </c>
      <c r="B6" s="8">
        <v>136.76470588235296</v>
      </c>
      <c r="C6" s="8">
        <v>107.69230769230769</v>
      </c>
      <c r="D6" s="8"/>
      <c r="E6" s="8"/>
      <c r="F6" s="8"/>
      <c r="G6" s="115"/>
      <c r="H6" s="115"/>
      <c r="I6" s="115"/>
      <c r="J6" s="115"/>
    </row>
    <row r="7" spans="1:10">
      <c r="A7" s="5">
        <v>1978</v>
      </c>
      <c r="B7" s="8">
        <v>165.11627906976744</v>
      </c>
      <c r="C7" s="8">
        <v>129.50819672131149</v>
      </c>
      <c r="D7" s="8"/>
      <c r="E7" s="8"/>
      <c r="F7" s="8"/>
      <c r="G7" s="115"/>
      <c r="H7" s="115"/>
      <c r="I7" s="115"/>
      <c r="J7" s="115"/>
    </row>
    <row r="8" spans="1:10">
      <c r="A8" s="5">
        <v>1979</v>
      </c>
      <c r="B8" s="8">
        <v>151.14503816793894</v>
      </c>
      <c r="C8" s="8">
        <v>109.52380952380953</v>
      </c>
      <c r="D8" s="8"/>
      <c r="E8" s="8"/>
      <c r="F8" s="8"/>
      <c r="G8" s="115"/>
      <c r="H8" s="115"/>
      <c r="I8" s="115"/>
      <c r="J8" s="115"/>
    </row>
    <row r="9" spans="1:10">
      <c r="A9" s="5">
        <v>1980</v>
      </c>
      <c r="B9" s="8">
        <v>144.09448818897638</v>
      </c>
      <c r="C9" s="8">
        <v>107.75862068965517</v>
      </c>
      <c r="D9" s="8"/>
      <c r="E9" s="8"/>
      <c r="F9" s="8"/>
      <c r="G9" s="115"/>
      <c r="H9" s="115"/>
      <c r="I9" s="115"/>
      <c r="J9" s="115"/>
    </row>
    <row r="10" spans="1:10">
      <c r="A10" s="5">
        <v>1981</v>
      </c>
      <c r="B10" s="8">
        <v>170.83333333333334</v>
      </c>
      <c r="C10" s="8">
        <v>129.31034482758622</v>
      </c>
      <c r="D10" s="8"/>
      <c r="E10" s="8"/>
      <c r="F10" s="8"/>
      <c r="G10" s="115"/>
      <c r="H10" s="115"/>
      <c r="I10" s="115"/>
      <c r="J10" s="115"/>
    </row>
    <row r="11" spans="1:10">
      <c r="A11" s="5">
        <v>1982</v>
      </c>
      <c r="B11" s="8">
        <v>167.21311475409834</v>
      </c>
      <c r="C11" s="8">
        <v>121.77419354838709</v>
      </c>
      <c r="D11" s="8"/>
      <c r="E11" s="8"/>
      <c r="F11" s="8"/>
      <c r="G11" s="115"/>
      <c r="H11" s="115"/>
      <c r="I11" s="115"/>
      <c r="J11" s="115"/>
    </row>
    <row r="12" spans="1:10">
      <c r="A12" s="5">
        <v>1983</v>
      </c>
      <c r="B12" s="8">
        <v>162.01550387596899</v>
      </c>
      <c r="C12" s="8">
        <v>130</v>
      </c>
      <c r="D12" s="8"/>
      <c r="E12" s="8"/>
      <c r="F12" s="8"/>
      <c r="G12" s="115"/>
      <c r="H12" s="115"/>
      <c r="I12" s="115"/>
      <c r="J12" s="115"/>
    </row>
    <row r="13" spans="1:10">
      <c r="A13" s="5">
        <v>1984</v>
      </c>
      <c r="B13" s="8">
        <v>153.84615384615384</v>
      </c>
      <c r="C13" s="8">
        <v>113.13868613138686</v>
      </c>
      <c r="D13" s="8"/>
      <c r="E13" s="8"/>
      <c r="F13" s="8"/>
      <c r="G13" s="115"/>
      <c r="H13" s="115"/>
      <c r="I13" s="115"/>
      <c r="J13" s="115"/>
    </row>
    <row r="14" spans="1:10">
      <c r="A14" s="5">
        <v>1985</v>
      </c>
      <c r="B14" s="8">
        <v>133.05785123966945</v>
      </c>
      <c r="C14" s="8">
        <v>93.07692307692308</v>
      </c>
      <c r="D14" s="8"/>
      <c r="E14" s="8"/>
      <c r="F14" s="8"/>
      <c r="G14" s="115"/>
      <c r="H14" s="115"/>
      <c r="I14" s="115"/>
      <c r="J14" s="115"/>
    </row>
    <row r="15" spans="1:10">
      <c r="A15" s="5">
        <v>1986</v>
      </c>
      <c r="B15" s="8">
        <v>136.20689655172413</v>
      </c>
      <c r="C15" s="8">
        <v>97.52066115702479</v>
      </c>
      <c r="D15" s="8"/>
      <c r="E15" s="8"/>
      <c r="F15" s="8"/>
      <c r="G15" s="115"/>
      <c r="H15" s="115"/>
      <c r="I15" s="115"/>
      <c r="J15" s="115"/>
    </row>
    <row r="16" spans="1:10">
      <c r="A16" s="5">
        <v>1987</v>
      </c>
      <c r="B16" s="8">
        <v>146.08695652173913</v>
      </c>
      <c r="C16" s="8">
        <v>106.72268907563024</v>
      </c>
      <c r="D16" s="8"/>
      <c r="E16" s="8"/>
      <c r="F16" s="8"/>
      <c r="G16" s="115"/>
      <c r="H16" s="115"/>
      <c r="I16" s="115"/>
      <c r="J16" s="115"/>
    </row>
    <row r="17" spans="1:10">
      <c r="A17" s="5">
        <v>1988</v>
      </c>
      <c r="B17" s="8">
        <v>141.44144144144144</v>
      </c>
      <c r="C17" s="8">
        <v>102.77777777777777</v>
      </c>
      <c r="D17" s="8"/>
      <c r="E17" s="8"/>
      <c r="F17" s="8"/>
      <c r="G17" s="115"/>
      <c r="H17" s="115"/>
      <c r="I17" s="115"/>
      <c r="J17" s="115"/>
    </row>
    <row r="18" spans="1:10">
      <c r="A18" s="5">
        <v>1989</v>
      </c>
      <c r="B18" s="8">
        <v>137.14285714285714</v>
      </c>
      <c r="C18" s="8">
        <v>100.98039215686275</v>
      </c>
      <c r="D18" s="8"/>
      <c r="E18" s="8"/>
      <c r="F18" s="8"/>
      <c r="G18" s="115"/>
      <c r="H18" s="115"/>
      <c r="I18" s="115"/>
      <c r="J18" s="115"/>
    </row>
    <row r="19" spans="1:10">
      <c r="A19" s="5">
        <v>1990</v>
      </c>
      <c r="B19" s="8">
        <v>134.18803418803421</v>
      </c>
      <c r="C19" s="8">
        <v>89.830508474576263</v>
      </c>
      <c r="D19" s="8"/>
      <c r="E19" s="8"/>
      <c r="F19" s="8"/>
      <c r="G19" s="115"/>
      <c r="H19" s="115"/>
      <c r="I19" s="115"/>
      <c r="J19" s="115"/>
    </row>
    <row r="20" spans="1:10">
      <c r="A20" s="5">
        <v>1991</v>
      </c>
      <c r="B20" s="8">
        <v>132.17391304347825</v>
      </c>
      <c r="C20" s="8">
        <v>89.393939393939405</v>
      </c>
      <c r="D20" s="8"/>
      <c r="E20" s="8"/>
      <c r="F20" s="8"/>
      <c r="G20" s="115"/>
      <c r="H20" s="115"/>
      <c r="I20" s="115"/>
      <c r="J20" s="115"/>
    </row>
    <row r="21" spans="1:10">
      <c r="A21" s="5">
        <v>1992</v>
      </c>
      <c r="B21" s="8">
        <v>122.88135593220338</v>
      </c>
      <c r="C21" s="8">
        <v>88.721804511278194</v>
      </c>
      <c r="D21" s="8"/>
      <c r="E21" s="8"/>
      <c r="F21" s="8"/>
      <c r="G21" s="115"/>
      <c r="H21" s="115"/>
      <c r="I21" s="115"/>
      <c r="J21" s="115"/>
    </row>
    <row r="22" spans="1:10">
      <c r="A22" s="5">
        <v>1993</v>
      </c>
      <c r="B22" s="8">
        <v>122.68907563025209</v>
      </c>
      <c r="C22" s="8">
        <v>87.943262411347519</v>
      </c>
      <c r="D22" s="8"/>
      <c r="E22" s="8"/>
      <c r="F22" s="8"/>
      <c r="G22" s="115"/>
      <c r="H22" s="115"/>
      <c r="I22" s="115"/>
      <c r="J22" s="115"/>
    </row>
    <row r="23" spans="1:10">
      <c r="A23" s="5">
        <v>1994</v>
      </c>
      <c r="B23" s="8">
        <v>125.42372881355931</v>
      </c>
      <c r="C23" s="8">
        <v>92.142857142857139</v>
      </c>
      <c r="D23" s="8"/>
      <c r="E23" s="8"/>
      <c r="F23" s="8"/>
      <c r="G23" s="115"/>
      <c r="H23" s="115"/>
      <c r="I23" s="115"/>
      <c r="J23" s="115"/>
    </row>
    <row r="24" spans="1:10">
      <c r="A24" s="5">
        <v>1995</v>
      </c>
      <c r="B24" s="8">
        <v>123.96694214876034</v>
      </c>
      <c r="C24" s="8">
        <v>87.58620689655173</v>
      </c>
      <c r="D24" s="8"/>
      <c r="E24" s="8"/>
      <c r="F24" s="8"/>
      <c r="G24" s="115"/>
      <c r="H24" s="115"/>
      <c r="I24" s="115"/>
      <c r="J24" s="115"/>
    </row>
    <row r="25" spans="1:10">
      <c r="A25" s="5">
        <v>1996</v>
      </c>
      <c r="B25" s="8">
        <v>116.53543307086615</v>
      </c>
      <c r="C25" s="8">
        <v>78.94736842105263</v>
      </c>
      <c r="D25" s="8"/>
      <c r="E25" s="8"/>
      <c r="F25" s="8"/>
      <c r="G25" s="115"/>
      <c r="H25" s="115"/>
      <c r="I25" s="115"/>
      <c r="J25" s="115"/>
    </row>
    <row r="26" spans="1:10">
      <c r="A26" s="5">
        <v>1997</v>
      </c>
      <c r="B26" s="8">
        <v>124.40944881889764</v>
      </c>
      <c r="C26" s="8">
        <v>90</v>
      </c>
      <c r="D26" s="8"/>
      <c r="E26" s="8"/>
      <c r="F26" s="8"/>
      <c r="G26" s="115"/>
      <c r="H26" s="115"/>
      <c r="I26" s="115"/>
      <c r="J26" s="115"/>
    </row>
    <row r="27" spans="1:10">
      <c r="A27" s="5">
        <v>1998</v>
      </c>
      <c r="B27" s="8">
        <v>113.17829457364341</v>
      </c>
      <c r="C27" s="8">
        <v>83.211678832116789</v>
      </c>
      <c r="D27" s="8"/>
      <c r="E27" s="8"/>
      <c r="F27" s="8"/>
      <c r="G27" s="115"/>
      <c r="H27" s="115"/>
      <c r="I27" s="115"/>
      <c r="J27" s="115"/>
    </row>
    <row r="28" spans="1:10">
      <c r="A28" s="5">
        <v>1999</v>
      </c>
      <c r="B28" s="8">
        <v>133.06451612903226</v>
      </c>
      <c r="C28" s="8">
        <v>79.230769230769226</v>
      </c>
      <c r="D28" s="8"/>
      <c r="E28" s="8"/>
      <c r="F28" s="8"/>
      <c r="G28" s="115"/>
      <c r="H28" s="115"/>
      <c r="I28" s="115"/>
      <c r="J28" s="115"/>
    </row>
    <row r="29" spans="1:10">
      <c r="A29" s="5">
        <v>2000</v>
      </c>
      <c r="B29" s="8">
        <v>115.625</v>
      </c>
      <c r="C29" s="8">
        <v>73.599999999999994</v>
      </c>
      <c r="D29" s="8"/>
      <c r="E29" s="8"/>
      <c r="F29" s="8"/>
      <c r="G29" s="115"/>
      <c r="H29" s="115"/>
      <c r="I29" s="115"/>
      <c r="J29" s="115"/>
    </row>
    <row r="30" spans="1:10">
      <c r="A30" s="5">
        <v>2001</v>
      </c>
      <c r="B30" s="8">
        <v>120</v>
      </c>
      <c r="C30" s="8">
        <v>77.678571428571416</v>
      </c>
      <c r="D30" s="8"/>
      <c r="E30" s="8"/>
      <c r="F30" s="8"/>
      <c r="G30" s="115"/>
      <c r="H30" s="115"/>
      <c r="I30" s="115"/>
      <c r="J30" s="115"/>
    </row>
    <row r="31" spans="1:10">
      <c r="A31" s="5">
        <v>2002</v>
      </c>
      <c r="B31" s="8">
        <v>129.45736434108528</v>
      </c>
      <c r="C31" s="8">
        <v>84.482758620689665</v>
      </c>
      <c r="D31" s="8"/>
      <c r="E31" s="8"/>
      <c r="F31" s="8"/>
      <c r="G31" s="115"/>
      <c r="H31" s="115"/>
      <c r="I31" s="115"/>
      <c r="J31" s="115"/>
    </row>
    <row r="32" spans="1:10">
      <c r="A32" s="5">
        <v>2003</v>
      </c>
      <c r="B32" s="8">
        <v>130.30303030303031</v>
      </c>
      <c r="C32" s="8">
        <v>83.620689655172413</v>
      </c>
      <c r="D32" s="8"/>
      <c r="E32" s="8"/>
      <c r="F32" s="8"/>
      <c r="G32" s="115"/>
      <c r="H32" s="115"/>
      <c r="I32" s="115"/>
      <c r="J32" s="115"/>
    </row>
    <row r="33" spans="1:10">
      <c r="A33" s="5">
        <v>2004</v>
      </c>
      <c r="B33" s="8">
        <v>135.07462686567166</v>
      </c>
      <c r="C33" s="8">
        <v>76.315789473684191</v>
      </c>
      <c r="D33" s="8"/>
      <c r="E33" s="8"/>
      <c r="F33" s="8"/>
      <c r="G33" s="115"/>
      <c r="H33" s="115"/>
      <c r="I33" s="115"/>
      <c r="J33" s="115"/>
    </row>
    <row r="34" spans="1:10">
      <c r="A34" s="5">
        <v>2005</v>
      </c>
      <c r="B34" s="8">
        <v>134.61538461538461</v>
      </c>
      <c r="C34" s="8">
        <v>88.888888888888886</v>
      </c>
      <c r="D34" s="8"/>
      <c r="E34" s="8"/>
      <c r="F34" s="8"/>
      <c r="G34" s="115"/>
      <c r="H34" s="115"/>
      <c r="I34" s="115"/>
      <c r="J34" s="115"/>
    </row>
    <row r="35" spans="1:10">
      <c r="A35" s="5">
        <v>2006</v>
      </c>
      <c r="B35" s="8">
        <v>123.13432835820895</v>
      </c>
      <c r="C35" s="8">
        <v>74.782608695652172</v>
      </c>
      <c r="D35" s="8">
        <v>123.07692307692308</v>
      </c>
      <c r="E35" s="8"/>
      <c r="F35" s="8"/>
      <c r="G35" s="115"/>
      <c r="H35" s="115"/>
      <c r="I35" s="115"/>
      <c r="J35" s="115"/>
    </row>
    <row r="36" spans="1:10">
      <c r="A36" s="5">
        <v>2007</v>
      </c>
      <c r="B36" s="8">
        <v>121.80451127819548</v>
      </c>
      <c r="C36" s="8">
        <v>71.84466019417475</v>
      </c>
      <c r="D36" s="8">
        <v>117.2661870503597</v>
      </c>
      <c r="E36" s="8"/>
      <c r="F36" s="8"/>
      <c r="G36" s="115"/>
      <c r="H36" s="115"/>
      <c r="I36" s="115"/>
      <c r="J36" s="115"/>
    </row>
    <row r="37" spans="1:10">
      <c r="A37" s="5">
        <v>2008</v>
      </c>
      <c r="B37" s="8">
        <v>124.62686567164178</v>
      </c>
      <c r="C37" s="8">
        <v>74.226804123711347</v>
      </c>
      <c r="D37" s="8">
        <v>119.35483870967741</v>
      </c>
      <c r="E37" s="8"/>
      <c r="F37" s="8"/>
      <c r="G37" s="115"/>
      <c r="H37" s="115"/>
      <c r="I37" s="115"/>
      <c r="J37" s="115"/>
    </row>
    <row r="38" spans="1:10">
      <c r="A38" s="5">
        <v>2009</v>
      </c>
      <c r="B38" s="8">
        <v>108.02919708029198</v>
      </c>
      <c r="C38" s="8">
        <v>71.287128712871294</v>
      </c>
      <c r="D38" s="8">
        <v>105.97014925373134</v>
      </c>
      <c r="E38" s="8"/>
      <c r="F38" s="8"/>
      <c r="G38" s="115"/>
      <c r="H38" s="115"/>
      <c r="I38" s="115"/>
      <c r="J38" s="115"/>
    </row>
    <row r="39" spans="1:10">
      <c r="A39" s="5">
        <v>2010</v>
      </c>
      <c r="B39" s="8">
        <v>114.07407407407408</v>
      </c>
      <c r="C39" s="8">
        <v>59.375</v>
      </c>
      <c r="D39" s="8">
        <v>111.3821138211382</v>
      </c>
      <c r="E39" s="8"/>
      <c r="F39" s="8"/>
      <c r="G39" s="115"/>
      <c r="H39" s="115"/>
      <c r="I39" s="115"/>
      <c r="J39" s="115"/>
    </row>
    <row r="40" spans="1:10">
      <c r="A40" s="5">
        <v>2011</v>
      </c>
      <c r="B40" s="8">
        <v>100.75187969924812</v>
      </c>
      <c r="C40" s="8">
        <v>65.625</v>
      </c>
      <c r="D40" s="8">
        <v>99.212598425196859</v>
      </c>
      <c r="E40" s="8"/>
      <c r="F40" s="8"/>
      <c r="G40" s="115"/>
      <c r="H40" s="115"/>
      <c r="I40" s="115"/>
      <c r="J40" s="115"/>
    </row>
    <row r="41" spans="1:10">
      <c r="A41" s="5">
        <v>2012</v>
      </c>
      <c r="B41" s="8">
        <v>117.51824817518251</v>
      </c>
      <c r="C41" s="8">
        <v>69</v>
      </c>
      <c r="D41" s="8">
        <v>111.81102362204724</v>
      </c>
      <c r="E41" s="8"/>
      <c r="F41" s="8"/>
      <c r="G41" s="115"/>
      <c r="H41" s="115"/>
      <c r="I41" s="115"/>
      <c r="J41" s="115"/>
    </row>
    <row r="42" spans="1:10">
      <c r="A42" s="5">
        <v>2013</v>
      </c>
      <c r="B42" s="8">
        <v>109.70149253731343</v>
      </c>
      <c r="C42" s="8">
        <v>68.367346938775512</v>
      </c>
      <c r="D42" s="8">
        <v>106.61157024793388</v>
      </c>
      <c r="E42" s="8"/>
      <c r="F42" s="8"/>
      <c r="G42" s="115"/>
      <c r="H42" s="115"/>
      <c r="I42" s="115"/>
      <c r="J42" s="115"/>
    </row>
    <row r="43" spans="1:10">
      <c r="A43" s="5">
        <v>2014</v>
      </c>
      <c r="B43" s="8">
        <v>122.30769230769231</v>
      </c>
      <c r="C43" s="8">
        <v>76.136363636363626</v>
      </c>
      <c r="D43" s="8">
        <v>108.84955752212389</v>
      </c>
      <c r="E43" s="8"/>
      <c r="F43" s="8"/>
      <c r="G43" s="115"/>
      <c r="H43" s="115"/>
      <c r="I43" s="115"/>
      <c r="J43" s="115"/>
    </row>
    <row r="44" spans="1:10">
      <c r="A44" s="5">
        <v>2015</v>
      </c>
      <c r="B44" s="8">
        <v>119.01408450704224</v>
      </c>
      <c r="C44" s="8">
        <v>80.434782608695656</v>
      </c>
      <c r="D44" s="8">
        <v>115.70247933884298</v>
      </c>
      <c r="E44" s="8">
        <v>111.03448275862071</v>
      </c>
      <c r="F44" s="8"/>
      <c r="G44" s="115"/>
      <c r="H44" s="115"/>
      <c r="I44" s="115"/>
      <c r="J44" s="115"/>
    </row>
    <row r="45" spans="1:10">
      <c r="A45" s="5">
        <v>2016</v>
      </c>
      <c r="B45" s="8">
        <v>113.07692307692308</v>
      </c>
      <c r="C45" s="8">
        <v>62.962962962962962</v>
      </c>
      <c r="D45" s="8">
        <v>111.32075471698114</v>
      </c>
      <c r="E45" s="8">
        <v>106.25</v>
      </c>
      <c r="F45" s="8"/>
      <c r="G45" s="115"/>
      <c r="H45" s="115"/>
      <c r="I45" s="115"/>
      <c r="J45" s="115"/>
    </row>
    <row r="46" spans="1:10">
      <c r="A46" s="5">
        <v>2017</v>
      </c>
      <c r="B46" s="8">
        <v>119.04761904761905</v>
      </c>
      <c r="C46" s="8">
        <v>71.794871794871796</v>
      </c>
      <c r="D46" s="8">
        <v>102.10526315789473</v>
      </c>
      <c r="E46" s="8">
        <v>103.41880341880342</v>
      </c>
      <c r="F46" s="8"/>
      <c r="G46" s="115"/>
      <c r="H46" s="115"/>
      <c r="I46" s="115"/>
      <c r="J46" s="115"/>
    </row>
    <row r="47" spans="1:10">
      <c r="A47" s="5">
        <v>2018</v>
      </c>
      <c r="B47" s="8">
        <v>112.19512195121951</v>
      </c>
      <c r="C47" s="8">
        <v>67.123287671232887</v>
      </c>
      <c r="D47" s="8">
        <v>90.804597701149433</v>
      </c>
      <c r="E47" s="8">
        <v>90.909090909090907</v>
      </c>
      <c r="F47" s="8"/>
      <c r="G47" s="115"/>
      <c r="H47" s="115"/>
      <c r="I47" s="115"/>
      <c r="J47" s="115"/>
    </row>
    <row r="48" spans="1:10">
      <c r="A48" s="5">
        <v>2019</v>
      </c>
      <c r="B48" s="8">
        <v>123.14049586776859</v>
      </c>
      <c r="C48" s="8">
        <v>69.230769230769226</v>
      </c>
      <c r="D48" s="8">
        <v>95.121951219512198</v>
      </c>
      <c r="E48" s="8">
        <v>93.069306930693074</v>
      </c>
      <c r="F48" s="8"/>
      <c r="G48" s="115"/>
      <c r="H48" s="115"/>
      <c r="I48" s="115"/>
      <c r="J48" s="115"/>
    </row>
    <row r="49" spans="1:5">
      <c r="B49" s="8"/>
      <c r="C49" s="8"/>
      <c r="D49" s="8"/>
    </row>
    <row r="51" spans="1:5">
      <c r="B51" s="186" t="s">
        <v>365</v>
      </c>
      <c r="C51" s="186" t="s">
        <v>366</v>
      </c>
      <c r="D51" s="186" t="s">
        <v>367</v>
      </c>
      <c r="E51" s="5" t="s">
        <v>368</v>
      </c>
    </row>
    <row r="52" spans="1:5">
      <c r="A52" s="5" t="s">
        <v>369</v>
      </c>
      <c r="B52" s="188">
        <f>((B48-B5)/B5)*100</f>
        <v>-21.141554370394498</v>
      </c>
      <c r="C52" s="188">
        <f t="shared" ref="C52" si="0">((C48-C5)/C5)*100</f>
        <v>-41.935483870967744</v>
      </c>
      <c r="D52" s="188" t="s">
        <v>87</v>
      </c>
      <c r="E52" s="188" t="s">
        <v>87</v>
      </c>
    </row>
    <row r="53" spans="1:5">
      <c r="A53" s="5" t="s">
        <v>370</v>
      </c>
      <c r="B53" s="188">
        <f t="shared" ref="B53:C53" si="1">((B29-B5)/B5)*100</f>
        <v>-25.95443349753695</v>
      </c>
      <c r="C53" s="188">
        <f t="shared" si="1"/>
        <v>-38.270967741935486</v>
      </c>
      <c r="D53" s="188" t="s">
        <v>87</v>
      </c>
      <c r="E53" s="188" t="s">
        <v>87</v>
      </c>
    </row>
    <row r="54" spans="1:5">
      <c r="A54" s="5" t="s">
        <v>234</v>
      </c>
      <c r="B54" s="188">
        <f t="shared" ref="B54:C54" si="2">((B48-B29)/B29)*100</f>
        <v>6.4998883180701332</v>
      </c>
      <c r="C54" s="188">
        <f t="shared" si="2"/>
        <v>-5.9364548494983262</v>
      </c>
      <c r="D54" s="188" t="s">
        <v>87</v>
      </c>
      <c r="E54" s="188" t="s">
        <v>87</v>
      </c>
    </row>
    <row r="55" spans="1:5">
      <c r="A55" s="5" t="s">
        <v>371</v>
      </c>
      <c r="B55" s="188">
        <f>100*(B48-B44)/B44</f>
        <v>3.4671622084209579</v>
      </c>
      <c r="C55" s="188">
        <f t="shared" ref="C55:E55" si="3">100*(C48-C44)/C44</f>
        <v>-13.92931392931394</v>
      </c>
      <c r="D55" s="188">
        <f t="shared" si="3"/>
        <v>-17.78745644599303</v>
      </c>
      <c r="E55" s="188">
        <f t="shared" si="3"/>
        <v>-16.179816739437932</v>
      </c>
    </row>
    <row r="56" spans="1:5">
      <c r="A56" s="5" t="s">
        <v>372</v>
      </c>
      <c r="B56" s="188">
        <f t="shared" ref="B56:D56" si="4">((B48-B35)/B35)*100</f>
        <v>5.0087653393485667E-3</v>
      </c>
      <c r="C56" s="188">
        <f t="shared" si="4"/>
        <v>-7.423971377459754</v>
      </c>
      <c r="D56" s="188">
        <f t="shared" si="4"/>
        <v>-22.713414634146343</v>
      </c>
      <c r="E56" s="188" t="s">
        <v>87</v>
      </c>
    </row>
    <row r="58" spans="1:5">
      <c r="B58" s="186" t="s">
        <v>365</v>
      </c>
      <c r="C58" s="186" t="s">
        <v>366</v>
      </c>
      <c r="D58" s="186" t="s">
        <v>367</v>
      </c>
      <c r="E58" s="5" t="s">
        <v>368</v>
      </c>
    </row>
    <row r="59" spans="1:5">
      <c r="A59" s="5" t="s">
        <v>22</v>
      </c>
      <c r="B59" s="8">
        <f t="shared" ref="B59:C59" si="5">B48-B5</f>
        <v>-33.013350286077568</v>
      </c>
      <c r="C59" s="8">
        <f t="shared" si="5"/>
        <v>-50</v>
      </c>
      <c r="D59" s="188" t="s">
        <v>87</v>
      </c>
      <c r="E59" s="188" t="s">
        <v>87</v>
      </c>
    </row>
    <row r="60" spans="1:5">
      <c r="A60" s="5" t="s">
        <v>23</v>
      </c>
      <c r="B60" s="8">
        <f t="shared" ref="B60:C60" si="6">B29-B5</f>
        <v>-40.52884615384616</v>
      </c>
      <c r="C60" s="8">
        <f t="shared" si="6"/>
        <v>-45.630769230769232</v>
      </c>
      <c r="D60" s="188" t="s">
        <v>87</v>
      </c>
      <c r="E60" s="188" t="s">
        <v>87</v>
      </c>
    </row>
    <row r="61" spans="1:5">
      <c r="A61" s="5" t="s">
        <v>24</v>
      </c>
      <c r="B61" s="8">
        <f t="shared" ref="B61:C61" si="7">B48-B29</f>
        <v>7.5154958677685926</v>
      </c>
      <c r="C61" s="8">
        <f t="shared" si="7"/>
        <v>-4.3692307692307679</v>
      </c>
      <c r="D61" s="188" t="s">
        <v>87</v>
      </c>
      <c r="E61" s="188" t="s">
        <v>87</v>
      </c>
    </row>
    <row r="62" spans="1:5">
      <c r="A62" s="5" t="s">
        <v>373</v>
      </c>
      <c r="B62" s="8">
        <f>B48-B44</f>
        <v>4.1264113607263511</v>
      </c>
      <c r="C62" s="8">
        <f t="shared" ref="C62:D62" si="8">C48-C44</f>
        <v>-11.204013377926429</v>
      </c>
      <c r="D62" s="8">
        <f t="shared" si="8"/>
        <v>-20.580528119330779</v>
      </c>
      <c r="E62" s="8">
        <f>E48-E44</f>
        <v>-17.965175827927638</v>
      </c>
    </row>
    <row r="63" spans="1:5">
      <c r="A63" s="5" t="s">
        <v>374</v>
      </c>
      <c r="B63" s="8">
        <f t="shared" ref="B63:D63" si="9">B48-B35</f>
        <v>6.1675095596456231E-3</v>
      </c>
      <c r="C63" s="8">
        <f>C48-C35</f>
        <v>-5.5518394648829457</v>
      </c>
      <c r="D63" s="8">
        <f t="shared" si="9"/>
        <v>-27.954971857410882</v>
      </c>
      <c r="E63" s="188" t="s">
        <v>87</v>
      </c>
    </row>
    <row r="66" spans="1:2">
      <c r="A66" s="5" t="s">
        <v>375</v>
      </c>
    </row>
    <row r="67" spans="1:2">
      <c r="A67" s="5">
        <v>1</v>
      </c>
      <c r="B67" s="5" t="s">
        <v>376</v>
      </c>
    </row>
    <row r="68" spans="1:2">
      <c r="A68" s="5">
        <v>2</v>
      </c>
      <c r="B68" s="5" t="s">
        <v>377</v>
      </c>
    </row>
    <row r="69" spans="1:2">
      <c r="A69" s="5">
        <v>3</v>
      </c>
      <c r="B69" s="5" t="s">
        <v>378</v>
      </c>
    </row>
    <row r="70" spans="1:2">
      <c r="A70" s="5">
        <v>4</v>
      </c>
      <c r="B70" s="5" t="s">
        <v>379</v>
      </c>
    </row>
    <row r="73" spans="1:2">
      <c r="A73" s="5" t="s">
        <v>686</v>
      </c>
    </row>
  </sheetData>
  <hyperlinks>
    <hyperlink ref="B70" r:id="rId1" display="https://www150.statcan.gc.ca/n1/pub/75f0002m/75f0002m2020002-eng.htm" xr:uid="{4F3B3B5C-BE4E-8340-9621-8CDFA9CC0EE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E5E3B-FAE5-E343-BD5F-90C67D5DFA35}">
  <sheetPr codeName="Sheet6"/>
  <dimension ref="A1:F17"/>
  <sheetViews>
    <sheetView workbookViewId="0"/>
  </sheetViews>
  <sheetFormatPr baseColWidth="10" defaultColWidth="11" defaultRowHeight="16"/>
  <cols>
    <col min="1" max="1" width="21.5" style="5" customWidth="1"/>
    <col min="2" max="2" width="21.83203125" style="5" customWidth="1"/>
    <col min="3" max="3" width="22.5" style="5" customWidth="1"/>
    <col min="4" max="4" width="21.6640625" style="5" customWidth="1"/>
    <col min="5" max="5" width="20.1640625" style="5" customWidth="1"/>
    <col min="6" max="6" width="21.5" style="5" customWidth="1"/>
    <col min="7" max="16384" width="11" style="5"/>
  </cols>
  <sheetData>
    <row r="1" spans="1:6">
      <c r="A1" s="19" t="s">
        <v>610</v>
      </c>
    </row>
    <row r="3" spans="1:6">
      <c r="A3" s="325" t="s">
        <v>34</v>
      </c>
      <c r="B3" s="325"/>
      <c r="C3" s="325"/>
      <c r="D3" s="325"/>
      <c r="E3" s="325"/>
      <c r="F3" s="325"/>
    </row>
    <row r="4" spans="1:6" ht="17">
      <c r="A4" s="30" t="s">
        <v>13</v>
      </c>
      <c r="B4" s="30" t="s">
        <v>35</v>
      </c>
      <c r="C4" s="30" t="s">
        <v>36</v>
      </c>
      <c r="D4" s="30" t="s">
        <v>37</v>
      </c>
      <c r="E4" s="30" t="s">
        <v>38</v>
      </c>
      <c r="F4" s="30" t="s">
        <v>39</v>
      </c>
    </row>
    <row r="5" spans="1:6" ht="17">
      <c r="A5" s="29" t="s">
        <v>9</v>
      </c>
      <c r="B5" s="40">
        <v>0.6109146940485255</v>
      </c>
      <c r="C5" s="41">
        <v>0.93878707817698359</v>
      </c>
      <c r="D5" s="41">
        <v>0.66522945882212525</v>
      </c>
      <c r="E5" s="41">
        <v>1.067890522494408</v>
      </c>
      <c r="F5" s="41">
        <v>0.59845966210745338</v>
      </c>
    </row>
    <row r="6" spans="1:6" ht="17">
      <c r="A6" s="29" t="s">
        <v>10</v>
      </c>
      <c r="B6" s="40">
        <v>0.37383856768782309</v>
      </c>
      <c r="C6" s="41">
        <v>0.59803464469738721</v>
      </c>
      <c r="D6" s="41">
        <v>0.40966122677228434</v>
      </c>
      <c r="E6" s="41">
        <v>1.474929158437277</v>
      </c>
      <c r="F6" s="41">
        <v>0.22466520187505168</v>
      </c>
    </row>
    <row r="7" spans="1:6" ht="17">
      <c r="A7" s="29" t="s">
        <v>11</v>
      </c>
      <c r="B7" s="40">
        <v>0.91117982302195699</v>
      </c>
      <c r="C7" s="41">
        <v>1.3708614931932761</v>
      </c>
      <c r="D7" s="41">
        <v>0.98898247741860956</v>
      </c>
      <c r="E7" s="41">
        <v>0.55606938793051341</v>
      </c>
      <c r="F7" s="41">
        <v>1.0726143988739834</v>
      </c>
    </row>
    <row r="8" spans="1:6">
      <c r="A8" s="137"/>
      <c r="B8" s="137"/>
      <c r="C8" s="137"/>
      <c r="D8" s="137"/>
      <c r="E8" s="137"/>
      <c r="F8" s="137"/>
    </row>
    <row r="9" spans="1:6" ht="16" customHeight="1">
      <c r="A9" s="326" t="s">
        <v>40</v>
      </c>
      <c r="B9" s="326"/>
      <c r="C9" s="326"/>
      <c r="D9" s="326"/>
      <c r="E9" s="326"/>
      <c r="F9" s="326"/>
    </row>
    <row r="10" spans="1:6" ht="17">
      <c r="A10" s="30" t="s">
        <v>31</v>
      </c>
      <c r="B10" s="30" t="s">
        <v>35</v>
      </c>
      <c r="C10" s="30" t="s">
        <v>36</v>
      </c>
      <c r="D10" s="30" t="s">
        <v>37</v>
      </c>
      <c r="E10" s="30" t="s">
        <v>38</v>
      </c>
      <c r="F10" s="30" t="s">
        <v>39</v>
      </c>
    </row>
    <row r="11" spans="1:6" ht="17">
      <c r="A11" s="29" t="s">
        <v>9</v>
      </c>
      <c r="B11" s="41">
        <v>0.1</v>
      </c>
      <c r="C11" s="41">
        <v>2.2400000000000002</v>
      </c>
      <c r="D11" s="41">
        <v>0.35</v>
      </c>
      <c r="E11" s="41">
        <v>1.02</v>
      </c>
      <c r="F11" s="41">
        <v>0.41</v>
      </c>
    </row>
    <row r="12" spans="1:6" ht="17">
      <c r="A12" s="29" t="s">
        <v>10</v>
      </c>
      <c r="B12" s="42">
        <v>-0.39</v>
      </c>
      <c r="C12" s="42">
        <v>2.08</v>
      </c>
      <c r="D12" s="42">
        <v>-0.23</v>
      </c>
      <c r="E12" s="42">
        <v>1.3</v>
      </c>
      <c r="F12" s="42">
        <v>-0.13</v>
      </c>
    </row>
    <row r="13" spans="1:6" ht="17">
      <c r="A13" s="29" t="s">
        <v>11</v>
      </c>
      <c r="B13" s="42">
        <v>0.72</v>
      </c>
      <c r="C13" s="42">
        <v>2.4500000000000002</v>
      </c>
      <c r="D13" s="42">
        <v>1.0900000000000001</v>
      </c>
      <c r="E13" s="42">
        <v>0.66</v>
      </c>
      <c r="F13" s="42">
        <v>1.1000000000000001</v>
      </c>
    </row>
    <row r="15" spans="1:6" ht="16" customHeight="1">
      <c r="A15" s="327" t="s">
        <v>41</v>
      </c>
      <c r="B15" s="327"/>
    </row>
    <row r="17" spans="1:4">
      <c r="A17" s="73"/>
      <c r="B17" s="73"/>
      <c r="C17" s="73"/>
      <c r="D17" s="73"/>
    </row>
  </sheetData>
  <mergeCells count="3">
    <mergeCell ref="A3:F3"/>
    <mergeCell ref="A9:F9"/>
    <mergeCell ref="A15:B15"/>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333FF-FA45-A746-9480-0494D5E4BB89}">
  <sheetPr codeName="Sheet69"/>
  <dimension ref="A1:N53"/>
  <sheetViews>
    <sheetView zoomScale="88" zoomScaleNormal="75" workbookViewId="0"/>
  </sheetViews>
  <sheetFormatPr baseColWidth="10" defaultColWidth="10.83203125" defaultRowHeight="16"/>
  <cols>
    <col min="1" max="1" width="20.33203125" style="5" customWidth="1"/>
    <col min="2" max="16384" width="10.83203125" style="5"/>
  </cols>
  <sheetData>
    <row r="1" spans="1:13">
      <c r="A1" s="19" t="s">
        <v>689</v>
      </c>
    </row>
    <row r="2" spans="1:13">
      <c r="A2" s="19"/>
    </row>
    <row r="3" spans="1:13">
      <c r="A3" s="5" t="s">
        <v>382</v>
      </c>
      <c r="B3" s="77"/>
      <c r="C3" s="77"/>
      <c r="D3" s="77"/>
      <c r="E3" s="77"/>
      <c r="F3" s="77"/>
      <c r="G3" s="77"/>
    </row>
    <row r="4" spans="1:13">
      <c r="B4" s="77"/>
      <c r="C4" s="77"/>
      <c r="D4" s="77"/>
      <c r="E4" s="77"/>
      <c r="F4" s="77"/>
      <c r="G4" s="77"/>
      <c r="H4" s="331" t="s">
        <v>42</v>
      </c>
      <c r="I4" s="332"/>
      <c r="J4" s="332"/>
      <c r="K4" s="332"/>
      <c r="L4" s="332"/>
      <c r="M4" s="332"/>
    </row>
    <row r="5" spans="1:13">
      <c r="B5" s="328" t="s">
        <v>362</v>
      </c>
      <c r="C5" s="328"/>
      <c r="D5" s="328" t="s">
        <v>361</v>
      </c>
      <c r="E5" s="328"/>
      <c r="F5" s="328" t="s">
        <v>363</v>
      </c>
      <c r="G5" s="328"/>
      <c r="H5" s="331" t="s">
        <v>362</v>
      </c>
      <c r="I5" s="332"/>
      <c r="J5" s="332" t="s">
        <v>361</v>
      </c>
      <c r="K5" s="332"/>
      <c r="L5" s="332" t="s">
        <v>363</v>
      </c>
      <c r="M5" s="332"/>
    </row>
    <row r="6" spans="1:13" ht="17">
      <c r="B6" s="137" t="s">
        <v>383</v>
      </c>
      <c r="C6" s="137" t="s">
        <v>384</v>
      </c>
      <c r="D6" s="137" t="s">
        <v>383</v>
      </c>
      <c r="E6" s="137" t="s">
        <v>384</v>
      </c>
      <c r="F6" s="137" t="s">
        <v>383</v>
      </c>
      <c r="G6" s="137" t="s">
        <v>384</v>
      </c>
      <c r="H6" s="128" t="s">
        <v>383</v>
      </c>
      <c r="I6" s="189" t="s">
        <v>384</v>
      </c>
      <c r="J6" s="189" t="s">
        <v>383</v>
      </c>
      <c r="K6" s="189" t="s">
        <v>384</v>
      </c>
      <c r="L6" s="189" t="s">
        <v>383</v>
      </c>
      <c r="M6" s="189" t="s">
        <v>384</v>
      </c>
    </row>
    <row r="7" spans="1:13">
      <c r="A7" s="5">
        <v>2006</v>
      </c>
      <c r="B7" s="8"/>
      <c r="C7" s="8">
        <v>26.7</v>
      </c>
      <c r="D7" s="8"/>
      <c r="E7" s="8">
        <v>18.8</v>
      </c>
      <c r="F7" s="8"/>
      <c r="G7" s="8">
        <v>10.6</v>
      </c>
      <c r="H7" s="130" t="s">
        <v>87</v>
      </c>
      <c r="I7" s="131">
        <v>19.2</v>
      </c>
      <c r="J7" s="131" t="s">
        <v>87</v>
      </c>
      <c r="K7" s="131">
        <v>16</v>
      </c>
      <c r="L7" s="131" t="s">
        <v>87</v>
      </c>
      <c r="M7" s="131">
        <v>7.6</v>
      </c>
    </row>
    <row r="8" spans="1:13">
      <c r="A8" s="5">
        <v>2007</v>
      </c>
      <c r="B8" s="8"/>
      <c r="C8" s="8">
        <v>22.2</v>
      </c>
      <c r="D8" s="8"/>
      <c r="E8" s="8">
        <v>16.399999999999999</v>
      </c>
      <c r="F8" s="8"/>
      <c r="G8" s="8">
        <v>7.6</v>
      </c>
      <c r="H8" s="130" t="s">
        <v>87</v>
      </c>
      <c r="I8" s="131">
        <v>17.2</v>
      </c>
      <c r="J8" s="131" t="s">
        <v>87</v>
      </c>
      <c r="K8" s="131">
        <v>14.4</v>
      </c>
      <c r="L8" s="131" t="s">
        <v>87</v>
      </c>
      <c r="M8" s="131">
        <v>6.5</v>
      </c>
    </row>
    <row r="9" spans="1:13">
      <c r="A9" s="5">
        <v>2008</v>
      </c>
      <c r="B9" s="8"/>
      <c r="C9" s="8">
        <v>20</v>
      </c>
      <c r="D9" s="8"/>
      <c r="E9" s="8">
        <v>15.2</v>
      </c>
      <c r="F9" s="8"/>
      <c r="G9" s="8">
        <v>6.2</v>
      </c>
      <c r="H9" s="130" t="s">
        <v>87</v>
      </c>
      <c r="I9" s="131">
        <v>14.1</v>
      </c>
      <c r="J9" s="131" t="s">
        <v>87</v>
      </c>
      <c r="K9" s="131">
        <v>13.1</v>
      </c>
      <c r="L9" s="131" t="s">
        <v>87</v>
      </c>
      <c r="M9" s="131">
        <v>6.2</v>
      </c>
    </row>
    <row r="10" spans="1:13">
      <c r="A10" s="5">
        <v>2009</v>
      </c>
      <c r="B10" s="8"/>
      <c r="C10" s="8">
        <v>18.7</v>
      </c>
      <c r="D10" s="8"/>
      <c r="E10" s="8">
        <v>14.6</v>
      </c>
      <c r="F10" s="8"/>
      <c r="G10" s="8">
        <v>7</v>
      </c>
      <c r="H10" s="130" t="s">
        <v>87</v>
      </c>
      <c r="I10" s="131">
        <v>15.5</v>
      </c>
      <c r="J10" s="131" t="s">
        <v>87</v>
      </c>
      <c r="K10" s="131">
        <v>14.2</v>
      </c>
      <c r="L10" s="131" t="s">
        <v>87</v>
      </c>
      <c r="M10" s="131">
        <v>6.6</v>
      </c>
    </row>
    <row r="11" spans="1:13">
      <c r="A11" s="5">
        <v>2010</v>
      </c>
      <c r="B11" s="8"/>
      <c r="C11" s="8">
        <v>15.6</v>
      </c>
      <c r="D11" s="8"/>
      <c r="E11" s="8">
        <v>14.6</v>
      </c>
      <c r="F11" s="8"/>
      <c r="G11" s="8">
        <v>7.4</v>
      </c>
      <c r="H11" s="130" t="s">
        <v>87</v>
      </c>
      <c r="I11" s="131">
        <v>13.3</v>
      </c>
      <c r="J11" s="131" t="s">
        <v>87</v>
      </c>
      <c r="K11" s="131">
        <v>13.3</v>
      </c>
      <c r="L11" s="131" t="s">
        <v>87</v>
      </c>
      <c r="M11" s="131">
        <v>5.8</v>
      </c>
    </row>
    <row r="12" spans="1:13">
      <c r="A12" s="5">
        <v>2011</v>
      </c>
      <c r="B12" s="8"/>
      <c r="C12" s="8">
        <v>14.1</v>
      </c>
      <c r="D12" s="8"/>
      <c r="E12" s="8">
        <v>13.3</v>
      </c>
      <c r="F12" s="8"/>
      <c r="G12" s="8">
        <v>7.6</v>
      </c>
      <c r="H12" s="130" t="s">
        <v>87</v>
      </c>
      <c r="I12" s="131">
        <v>14.3</v>
      </c>
      <c r="J12" s="131" t="s">
        <v>87</v>
      </c>
      <c r="K12" s="131">
        <v>13.5</v>
      </c>
      <c r="L12" s="131" t="s">
        <v>87</v>
      </c>
      <c r="M12" s="131">
        <v>6.8</v>
      </c>
    </row>
    <row r="13" spans="1:13">
      <c r="A13" s="5">
        <v>2012</v>
      </c>
      <c r="B13" s="8"/>
      <c r="C13" s="8">
        <v>17.5</v>
      </c>
      <c r="D13" s="8"/>
      <c r="E13" s="8">
        <v>14.5</v>
      </c>
      <c r="F13" s="8"/>
      <c r="G13" s="8">
        <v>9.6</v>
      </c>
      <c r="H13" s="130" t="s">
        <v>87</v>
      </c>
      <c r="I13" s="131">
        <v>15</v>
      </c>
      <c r="J13" s="131" t="s">
        <v>87</v>
      </c>
      <c r="K13" s="131">
        <v>13.6</v>
      </c>
      <c r="L13" s="131" t="s">
        <v>87</v>
      </c>
      <c r="M13" s="131">
        <v>5.3</v>
      </c>
    </row>
    <row r="14" spans="1:13">
      <c r="A14" s="5">
        <v>2013</v>
      </c>
      <c r="B14" s="8"/>
      <c r="C14" s="8">
        <v>17.8</v>
      </c>
      <c r="D14" s="8"/>
      <c r="E14" s="8">
        <v>13.1</v>
      </c>
      <c r="F14" s="8"/>
      <c r="G14" s="8">
        <v>7.2</v>
      </c>
      <c r="H14" s="130" t="s">
        <v>87</v>
      </c>
      <c r="I14" s="131">
        <v>14.5</v>
      </c>
      <c r="J14" s="131" t="s">
        <v>87</v>
      </c>
      <c r="K14" s="131">
        <v>13.3</v>
      </c>
      <c r="L14" s="131" t="s">
        <v>87</v>
      </c>
      <c r="M14" s="131">
        <v>4.2</v>
      </c>
    </row>
    <row r="15" spans="1:13">
      <c r="A15" s="5">
        <v>2014</v>
      </c>
      <c r="B15" s="8"/>
      <c r="C15" s="8">
        <v>17.8</v>
      </c>
      <c r="D15" s="8"/>
      <c r="E15" s="8">
        <v>12.5</v>
      </c>
      <c r="F15" s="8"/>
      <c r="G15" s="8">
        <v>6</v>
      </c>
      <c r="H15" s="130" t="s">
        <v>87</v>
      </c>
      <c r="I15" s="131">
        <v>12.4</v>
      </c>
      <c r="J15" s="131" t="s">
        <v>87</v>
      </c>
      <c r="K15" s="131">
        <v>12.6</v>
      </c>
      <c r="L15" s="131" t="s">
        <v>87</v>
      </c>
      <c r="M15" s="131">
        <v>4.5</v>
      </c>
    </row>
    <row r="16" spans="1:13">
      <c r="A16" s="5">
        <v>2015</v>
      </c>
      <c r="B16" s="8">
        <v>20.3</v>
      </c>
      <c r="C16" s="8">
        <v>15.1</v>
      </c>
      <c r="D16" s="8">
        <v>16.5</v>
      </c>
      <c r="E16" s="8">
        <v>15.3</v>
      </c>
      <c r="F16" s="8">
        <v>10.8</v>
      </c>
      <c r="G16" s="8">
        <v>9</v>
      </c>
      <c r="H16" s="130">
        <v>16.399999999999999</v>
      </c>
      <c r="I16" s="131">
        <v>13.3</v>
      </c>
      <c r="J16" s="131">
        <v>15.7</v>
      </c>
      <c r="K16" s="131">
        <v>13.4</v>
      </c>
      <c r="L16" s="131">
        <v>7</v>
      </c>
      <c r="M16" s="131">
        <v>5.0999999999999996</v>
      </c>
    </row>
    <row r="17" spans="1:13">
      <c r="A17" s="5">
        <v>2016</v>
      </c>
      <c r="B17" s="8">
        <v>16.5</v>
      </c>
      <c r="C17" s="8">
        <v>14.3</v>
      </c>
      <c r="D17" s="8">
        <v>14</v>
      </c>
      <c r="E17" s="8">
        <v>12.3</v>
      </c>
      <c r="F17" s="8">
        <v>9.6</v>
      </c>
      <c r="G17" s="8">
        <v>7.7</v>
      </c>
      <c r="H17" s="130">
        <v>14</v>
      </c>
      <c r="I17" s="131">
        <v>11</v>
      </c>
      <c r="J17" s="131">
        <v>14</v>
      </c>
      <c r="K17" s="131">
        <v>11.9</v>
      </c>
      <c r="L17" s="131">
        <v>7</v>
      </c>
      <c r="M17" s="131">
        <v>4.9000000000000004</v>
      </c>
    </row>
    <row r="18" spans="1:13">
      <c r="A18" s="5">
        <v>2017</v>
      </c>
      <c r="B18" s="8">
        <v>15.4</v>
      </c>
      <c r="C18" s="8">
        <v>13.1</v>
      </c>
      <c r="D18" s="8">
        <v>13.1</v>
      </c>
      <c r="E18" s="8">
        <v>10.8</v>
      </c>
      <c r="F18" s="8">
        <v>6.3</v>
      </c>
      <c r="G18" s="8">
        <v>3.6</v>
      </c>
      <c r="H18" s="130">
        <v>11.6</v>
      </c>
      <c r="I18" s="131">
        <v>9</v>
      </c>
      <c r="J18" s="131">
        <v>13.2</v>
      </c>
      <c r="K18" s="131">
        <v>11.1</v>
      </c>
      <c r="L18" s="131">
        <v>6</v>
      </c>
      <c r="M18" s="131">
        <v>3.9</v>
      </c>
    </row>
    <row r="19" spans="1:13">
      <c r="A19" s="5">
        <v>2018</v>
      </c>
      <c r="B19" s="8">
        <v>11.5</v>
      </c>
      <c r="C19" s="8">
        <v>7.9</v>
      </c>
      <c r="D19" s="8">
        <v>11.1</v>
      </c>
      <c r="E19" s="8">
        <v>9.6</v>
      </c>
      <c r="F19" s="8">
        <v>5.3</v>
      </c>
      <c r="G19" s="8">
        <v>2.7</v>
      </c>
      <c r="H19" s="130">
        <v>10.8</v>
      </c>
      <c r="I19" s="131">
        <v>8.1999999999999993</v>
      </c>
      <c r="J19" s="131">
        <v>12.5</v>
      </c>
      <c r="K19" s="131">
        <v>10.3</v>
      </c>
      <c r="L19" s="131">
        <v>5.6</v>
      </c>
      <c r="M19" s="131">
        <v>3.5</v>
      </c>
    </row>
    <row r="20" spans="1:13">
      <c r="A20" s="5">
        <v>2019</v>
      </c>
      <c r="B20" s="8">
        <v>12.4</v>
      </c>
      <c r="C20" s="8">
        <v>10.7</v>
      </c>
      <c r="D20" s="8">
        <v>9.9</v>
      </c>
      <c r="E20" s="8">
        <v>8.5</v>
      </c>
      <c r="F20" s="8">
        <v>5.6</v>
      </c>
      <c r="G20" s="8">
        <v>3.5</v>
      </c>
      <c r="H20" s="130">
        <v>9.6999999999999993</v>
      </c>
      <c r="I20" s="131">
        <v>7.6</v>
      </c>
      <c r="J20" s="131">
        <v>11.6</v>
      </c>
      <c r="K20" s="131">
        <v>9.6999999999999993</v>
      </c>
      <c r="L20" s="131">
        <v>5.4</v>
      </c>
      <c r="M20" s="131">
        <v>3.6</v>
      </c>
    </row>
    <row r="21" spans="1:13">
      <c r="B21" s="8"/>
      <c r="C21" s="8"/>
      <c r="D21" s="8"/>
      <c r="E21" s="8"/>
      <c r="F21" s="8"/>
      <c r="G21" s="8"/>
    </row>
    <row r="22" spans="1:13">
      <c r="B22" s="77"/>
      <c r="C22" s="77"/>
      <c r="D22" s="77"/>
      <c r="E22" s="77"/>
      <c r="F22" s="77"/>
      <c r="G22" s="77"/>
    </row>
    <row r="23" spans="1:13">
      <c r="B23" s="328" t="s">
        <v>362</v>
      </c>
      <c r="C23" s="328"/>
      <c r="D23" s="328" t="s">
        <v>361</v>
      </c>
      <c r="E23" s="328"/>
      <c r="F23" s="328" t="s">
        <v>363</v>
      </c>
      <c r="G23" s="328"/>
    </row>
    <row r="24" spans="1:13" ht="17">
      <c r="B24" s="137" t="s">
        <v>383</v>
      </c>
      <c r="C24" s="137" t="s">
        <v>384</v>
      </c>
      <c r="D24" s="137" t="s">
        <v>383</v>
      </c>
      <c r="E24" s="137" t="s">
        <v>384</v>
      </c>
      <c r="F24" s="137" t="s">
        <v>383</v>
      </c>
      <c r="G24" s="137" t="s">
        <v>384</v>
      </c>
    </row>
    <row r="25" spans="1:13">
      <c r="A25" s="5" t="s">
        <v>372</v>
      </c>
      <c r="B25" s="8" t="s">
        <v>87</v>
      </c>
      <c r="C25" s="8">
        <f>100*(C20-C7)/C7</f>
        <v>-59.925093632958806</v>
      </c>
      <c r="D25" s="8" t="s">
        <v>87</v>
      </c>
      <c r="E25" s="8">
        <f>100*(E20-E7)/E7</f>
        <v>-54.787234042553187</v>
      </c>
      <c r="F25" s="8" t="s">
        <v>87</v>
      </c>
      <c r="G25" s="8">
        <f>100*(G20-G7)/G7</f>
        <v>-66.981132075471706</v>
      </c>
    </row>
    <row r="26" spans="1:13">
      <c r="A26" s="5" t="s">
        <v>371</v>
      </c>
      <c r="B26" s="8">
        <f t="shared" ref="B26:G26" si="0">100*(B20-B16)/B16</f>
        <v>-38.916256157635466</v>
      </c>
      <c r="C26" s="8">
        <f t="shared" si="0"/>
        <v>-29.139072847682122</v>
      </c>
      <c r="D26" s="8">
        <f t="shared" si="0"/>
        <v>-40</v>
      </c>
      <c r="E26" s="8">
        <f t="shared" si="0"/>
        <v>-44.44444444444445</v>
      </c>
      <c r="F26" s="8">
        <f t="shared" si="0"/>
        <v>-48.148148148148152</v>
      </c>
      <c r="G26" s="8">
        <f t="shared" si="0"/>
        <v>-61.111111111111114</v>
      </c>
    </row>
    <row r="27" spans="1:13">
      <c r="A27" s="5" t="s">
        <v>374</v>
      </c>
      <c r="B27" s="8" t="s">
        <v>87</v>
      </c>
      <c r="C27" s="8">
        <f>C20-C7</f>
        <v>-16</v>
      </c>
      <c r="D27" s="8" t="s">
        <v>87</v>
      </c>
      <c r="E27" s="8">
        <f>E20-E7</f>
        <v>-10.3</v>
      </c>
      <c r="F27" s="8" t="s">
        <v>87</v>
      </c>
      <c r="G27" s="8">
        <f>G20-G7</f>
        <v>-7.1</v>
      </c>
    </row>
    <row r="28" spans="1:13">
      <c r="A28" s="5" t="s">
        <v>373</v>
      </c>
      <c r="B28" s="8">
        <f t="shared" ref="B28:G28" si="1">B20-B16</f>
        <v>-7.9</v>
      </c>
      <c r="C28" s="8">
        <f t="shared" si="1"/>
        <v>-4.4000000000000004</v>
      </c>
      <c r="D28" s="8">
        <f t="shared" si="1"/>
        <v>-6.6</v>
      </c>
      <c r="E28" s="8">
        <f t="shared" si="1"/>
        <v>-6.8000000000000007</v>
      </c>
      <c r="F28" s="8">
        <f t="shared" si="1"/>
        <v>-5.2000000000000011</v>
      </c>
      <c r="G28" s="8">
        <f t="shared" si="1"/>
        <v>-5.5</v>
      </c>
    </row>
    <row r="31" spans="1:13">
      <c r="A31" s="5" t="s">
        <v>385</v>
      </c>
    </row>
    <row r="32" spans="1:13">
      <c r="B32" s="77"/>
      <c r="C32" s="77"/>
      <c r="D32" s="77"/>
      <c r="E32" s="77"/>
      <c r="F32" s="77"/>
      <c r="G32" s="77"/>
      <c r="H32" s="328" t="s">
        <v>42</v>
      </c>
      <c r="I32" s="328"/>
      <c r="J32" s="328"/>
      <c r="K32" s="328"/>
      <c r="L32" s="328"/>
      <c r="M32" s="328"/>
    </row>
    <row r="33" spans="1:14">
      <c r="B33" s="328" t="s">
        <v>362</v>
      </c>
      <c r="C33" s="328"/>
      <c r="D33" s="328" t="s">
        <v>361</v>
      </c>
      <c r="E33" s="328"/>
      <c r="F33" s="328" t="s">
        <v>363</v>
      </c>
      <c r="G33" s="328"/>
      <c r="H33" s="328" t="s">
        <v>362</v>
      </c>
      <c r="I33" s="328"/>
      <c r="J33" s="328" t="s">
        <v>361</v>
      </c>
      <c r="K33" s="328"/>
      <c r="L33" s="328" t="s">
        <v>363</v>
      </c>
      <c r="M33" s="328"/>
      <c r="N33" s="270"/>
    </row>
    <row r="34" spans="1:14" ht="17">
      <c r="B34" s="137" t="s">
        <v>383</v>
      </c>
      <c r="C34" s="137" t="s">
        <v>384</v>
      </c>
      <c r="D34" s="137" t="s">
        <v>383</v>
      </c>
      <c r="E34" s="137" t="s">
        <v>384</v>
      </c>
      <c r="F34" s="137" t="s">
        <v>383</v>
      </c>
      <c r="G34" s="137" t="s">
        <v>384</v>
      </c>
      <c r="H34" s="137" t="s">
        <v>383</v>
      </c>
      <c r="I34" s="137" t="s">
        <v>384</v>
      </c>
      <c r="J34" s="137" t="s">
        <v>383</v>
      </c>
      <c r="K34" s="137" t="s">
        <v>384</v>
      </c>
      <c r="L34" s="137" t="s">
        <v>383</v>
      </c>
      <c r="M34" s="137" t="s">
        <v>384</v>
      </c>
      <c r="N34" s="137"/>
    </row>
    <row r="35" spans="1:14">
      <c r="A35" s="5">
        <v>2006</v>
      </c>
      <c r="B35" s="20" t="s">
        <v>87</v>
      </c>
      <c r="C35" s="20">
        <v>39000</v>
      </c>
      <c r="D35" s="20" t="s">
        <v>87</v>
      </c>
      <c r="E35" s="20">
        <v>89000</v>
      </c>
      <c r="F35" s="20" t="s">
        <v>87</v>
      </c>
      <c r="G35" s="20">
        <v>11000</v>
      </c>
      <c r="H35" s="20" t="s">
        <v>87</v>
      </c>
      <c r="I35" s="20">
        <v>1302000</v>
      </c>
      <c r="J35" s="20" t="s">
        <v>87</v>
      </c>
      <c r="K35" s="20">
        <v>3343000</v>
      </c>
      <c r="L35" s="20" t="s">
        <v>87</v>
      </c>
      <c r="M35" s="20">
        <v>308000</v>
      </c>
    </row>
    <row r="36" spans="1:14">
      <c r="A36" s="5">
        <v>2007</v>
      </c>
      <c r="B36" s="20" t="s">
        <v>87</v>
      </c>
      <c r="C36" s="20">
        <v>32000</v>
      </c>
      <c r="D36" s="20" t="s">
        <v>87</v>
      </c>
      <c r="E36" s="20">
        <v>78000</v>
      </c>
      <c r="F36" s="20" t="s">
        <v>87</v>
      </c>
      <c r="G36" s="20">
        <v>8000</v>
      </c>
      <c r="H36" s="20" t="s">
        <v>87</v>
      </c>
      <c r="I36" s="20">
        <v>1162000</v>
      </c>
      <c r="J36" s="20" t="s">
        <v>87</v>
      </c>
      <c r="K36" s="20">
        <v>3042000</v>
      </c>
      <c r="L36" s="20" t="s">
        <v>87</v>
      </c>
      <c r="M36" s="20">
        <v>274000</v>
      </c>
    </row>
    <row r="37" spans="1:14">
      <c r="A37" s="5">
        <v>2008</v>
      </c>
      <c r="B37" s="20" t="s">
        <v>87</v>
      </c>
      <c r="C37" s="20">
        <v>28000</v>
      </c>
      <c r="D37" s="20" t="s">
        <v>87</v>
      </c>
      <c r="E37" s="20">
        <v>72000</v>
      </c>
      <c r="F37" s="20" t="s">
        <v>87</v>
      </c>
      <c r="G37" s="20">
        <v>7000</v>
      </c>
      <c r="H37" s="20" t="s">
        <v>87</v>
      </c>
      <c r="I37" s="20">
        <v>956000</v>
      </c>
      <c r="J37" s="20" t="s">
        <v>87</v>
      </c>
      <c r="K37" s="20">
        <v>2807000</v>
      </c>
      <c r="L37" s="20" t="s">
        <v>87</v>
      </c>
      <c r="M37" s="20">
        <v>266000</v>
      </c>
    </row>
    <row r="38" spans="1:14">
      <c r="A38" s="5">
        <v>2009</v>
      </c>
      <c r="B38" s="20" t="s">
        <v>87</v>
      </c>
      <c r="C38" s="20">
        <v>26000</v>
      </c>
      <c r="D38" s="20" t="s">
        <v>87</v>
      </c>
      <c r="E38" s="20">
        <v>70000</v>
      </c>
      <c r="F38" s="20" t="s">
        <v>87</v>
      </c>
      <c r="G38" s="20">
        <v>8000</v>
      </c>
      <c r="H38" s="20" t="s">
        <v>87</v>
      </c>
      <c r="I38" s="20">
        <v>1047000</v>
      </c>
      <c r="J38" s="20" t="s">
        <v>87</v>
      </c>
      <c r="K38" s="20">
        <v>3069000</v>
      </c>
      <c r="L38" s="20" t="s">
        <v>87</v>
      </c>
      <c r="M38" s="20">
        <v>293000</v>
      </c>
    </row>
    <row r="39" spans="1:14">
      <c r="A39" s="5">
        <v>2010</v>
      </c>
      <c r="B39" s="20" t="s">
        <v>87</v>
      </c>
      <c r="C39" s="20">
        <v>21000</v>
      </c>
      <c r="D39" s="20" t="s">
        <v>87</v>
      </c>
      <c r="E39" s="20">
        <v>70000</v>
      </c>
      <c r="F39" s="20" t="s">
        <v>87</v>
      </c>
      <c r="G39" s="20">
        <v>8000</v>
      </c>
      <c r="H39" s="20" t="s">
        <v>87</v>
      </c>
      <c r="I39" s="20">
        <v>898000</v>
      </c>
      <c r="J39" s="20" t="s">
        <v>87</v>
      </c>
      <c r="K39" s="20">
        <v>2910000</v>
      </c>
      <c r="L39" s="20" t="s">
        <v>87</v>
      </c>
      <c r="M39" s="20">
        <v>268000</v>
      </c>
    </row>
    <row r="40" spans="1:14">
      <c r="A40" s="5">
        <v>2011</v>
      </c>
      <c r="B40" s="20" t="s">
        <v>87</v>
      </c>
      <c r="C40" s="20">
        <v>19000</v>
      </c>
      <c r="D40" s="20" t="s">
        <v>87</v>
      </c>
      <c r="E40" s="20">
        <v>64000</v>
      </c>
      <c r="F40" s="20" t="s">
        <v>87</v>
      </c>
      <c r="G40" s="20">
        <v>9000</v>
      </c>
      <c r="H40" s="20" t="s">
        <v>87</v>
      </c>
      <c r="I40" s="20">
        <v>965000</v>
      </c>
      <c r="J40" s="20" t="s">
        <v>87</v>
      </c>
      <c r="K40" s="20">
        <v>2971000</v>
      </c>
      <c r="L40" s="20" t="s">
        <v>87</v>
      </c>
      <c r="M40" s="20">
        <v>327000</v>
      </c>
    </row>
    <row r="41" spans="1:14">
      <c r="A41" s="5">
        <v>2012</v>
      </c>
      <c r="B41" s="20" t="s">
        <v>87</v>
      </c>
      <c r="C41" s="20">
        <v>24000</v>
      </c>
      <c r="D41" s="20" t="s">
        <v>87</v>
      </c>
      <c r="E41" s="20">
        <v>69000</v>
      </c>
      <c r="F41" s="20" t="s">
        <v>87</v>
      </c>
      <c r="G41" s="20">
        <v>12000</v>
      </c>
      <c r="H41" s="20" t="s">
        <v>87</v>
      </c>
      <c r="I41" s="20">
        <v>1009000</v>
      </c>
      <c r="J41" s="20" t="s">
        <v>87</v>
      </c>
      <c r="K41" s="20">
        <v>3026000</v>
      </c>
      <c r="L41" s="20" t="s">
        <v>87</v>
      </c>
      <c r="M41" s="20">
        <v>265000</v>
      </c>
    </row>
    <row r="42" spans="1:14">
      <c r="A42" s="5">
        <v>2013</v>
      </c>
      <c r="B42" s="20" t="s">
        <v>87</v>
      </c>
      <c r="C42" s="20">
        <v>24000</v>
      </c>
      <c r="D42" s="20" t="s">
        <v>87</v>
      </c>
      <c r="E42" s="20">
        <v>61000</v>
      </c>
      <c r="F42" s="20" t="s">
        <v>87</v>
      </c>
      <c r="G42" s="20">
        <v>9000</v>
      </c>
      <c r="H42" s="20" t="s">
        <v>87</v>
      </c>
      <c r="I42" s="20">
        <v>974000</v>
      </c>
      <c r="J42" s="20" t="s">
        <v>87</v>
      </c>
      <c r="K42" s="20">
        <v>2974000</v>
      </c>
      <c r="L42" s="20" t="s">
        <v>87</v>
      </c>
      <c r="M42" s="20">
        <v>219000</v>
      </c>
    </row>
    <row r="43" spans="1:14">
      <c r="A43" s="5">
        <v>2014</v>
      </c>
      <c r="B43" s="20" t="s">
        <v>87</v>
      </c>
      <c r="C43" s="20">
        <v>23000</v>
      </c>
      <c r="D43" s="20" t="s">
        <v>87</v>
      </c>
      <c r="E43" s="20">
        <v>58000</v>
      </c>
      <c r="F43" s="20" t="s">
        <v>87</v>
      </c>
      <c r="G43" s="20">
        <v>8000</v>
      </c>
      <c r="H43" s="20" t="s">
        <v>87</v>
      </c>
      <c r="I43" s="20">
        <v>836000</v>
      </c>
      <c r="J43" s="20" t="s">
        <v>87</v>
      </c>
      <c r="K43" s="20">
        <v>2831000</v>
      </c>
      <c r="L43" s="20" t="s">
        <v>87</v>
      </c>
      <c r="M43" s="20">
        <v>242000</v>
      </c>
    </row>
    <row r="44" spans="1:14">
      <c r="A44" s="5">
        <v>2015</v>
      </c>
      <c r="B44" s="20">
        <v>26000</v>
      </c>
      <c r="C44" s="20">
        <v>20000</v>
      </c>
      <c r="D44" s="20">
        <v>76000</v>
      </c>
      <c r="E44" s="20">
        <v>70000</v>
      </c>
      <c r="F44" s="20">
        <v>15000</v>
      </c>
      <c r="G44" s="20">
        <v>12000</v>
      </c>
      <c r="H44" s="20">
        <v>1115000</v>
      </c>
      <c r="I44" s="20">
        <v>900000</v>
      </c>
      <c r="J44" s="20">
        <v>3565000</v>
      </c>
      <c r="K44" s="20">
        <v>3049000</v>
      </c>
      <c r="L44" s="20">
        <v>394000</v>
      </c>
      <c r="M44" s="20">
        <v>289000</v>
      </c>
      <c r="N44" s="143"/>
    </row>
    <row r="45" spans="1:14">
      <c r="A45" s="5">
        <v>2016</v>
      </c>
      <c r="B45" s="20">
        <v>22000</v>
      </c>
      <c r="C45" s="20">
        <v>19000</v>
      </c>
      <c r="D45" s="20">
        <v>64000</v>
      </c>
      <c r="E45" s="20">
        <v>56000</v>
      </c>
      <c r="F45" s="20">
        <v>14000</v>
      </c>
      <c r="G45" s="20">
        <v>11000</v>
      </c>
      <c r="H45" s="20">
        <v>958000</v>
      </c>
      <c r="I45" s="20">
        <v>755000</v>
      </c>
      <c r="J45" s="20">
        <v>3180000</v>
      </c>
      <c r="K45" s="20">
        <v>2701000</v>
      </c>
      <c r="L45" s="20">
        <v>405000</v>
      </c>
      <c r="M45" s="20">
        <v>284000</v>
      </c>
      <c r="N45" s="143"/>
    </row>
    <row r="46" spans="1:14">
      <c r="A46" s="5">
        <v>2017</v>
      </c>
      <c r="B46" s="20">
        <v>20000</v>
      </c>
      <c r="C46" s="20">
        <v>17000</v>
      </c>
      <c r="D46" s="20">
        <v>60000</v>
      </c>
      <c r="E46" s="20">
        <v>49000</v>
      </c>
      <c r="F46" s="20">
        <v>9000</v>
      </c>
      <c r="G46" s="20">
        <v>5000</v>
      </c>
      <c r="H46" s="20">
        <v>803000</v>
      </c>
      <c r="I46" s="20">
        <v>622000</v>
      </c>
      <c r="J46" s="20">
        <v>3026000</v>
      </c>
      <c r="K46" s="20">
        <v>2553000</v>
      </c>
      <c r="L46" s="20">
        <v>360000</v>
      </c>
      <c r="M46" s="20">
        <v>238000</v>
      </c>
      <c r="N46" s="143"/>
    </row>
    <row r="47" spans="1:14">
      <c r="A47" s="5">
        <v>2018</v>
      </c>
      <c r="B47" s="20">
        <v>15000</v>
      </c>
      <c r="C47" s="20">
        <v>10000</v>
      </c>
      <c r="D47" s="20">
        <v>50000</v>
      </c>
      <c r="E47" s="20">
        <v>43000</v>
      </c>
      <c r="F47" s="20">
        <v>8000</v>
      </c>
      <c r="G47" s="20">
        <v>4000</v>
      </c>
      <c r="H47" s="20">
        <v>748000</v>
      </c>
      <c r="I47" s="20">
        <v>566000</v>
      </c>
      <c r="J47" s="20">
        <v>2883000</v>
      </c>
      <c r="K47" s="20">
        <v>2392000</v>
      </c>
      <c r="L47" s="20">
        <v>352000</v>
      </c>
      <c r="M47" s="20">
        <v>216000</v>
      </c>
      <c r="N47" s="143"/>
    </row>
    <row r="48" spans="1:14">
      <c r="A48" s="5">
        <v>2019</v>
      </c>
      <c r="B48" s="20">
        <v>17000</v>
      </c>
      <c r="C48" s="20">
        <v>14000</v>
      </c>
      <c r="D48" s="20">
        <v>45000</v>
      </c>
      <c r="E48" s="20">
        <v>39000</v>
      </c>
      <c r="F48" s="20">
        <v>9000</v>
      </c>
      <c r="G48" s="20">
        <v>6000</v>
      </c>
      <c r="H48" s="20">
        <v>680000</v>
      </c>
      <c r="I48" s="20">
        <v>533000</v>
      </c>
      <c r="J48" s="20">
        <v>2702000</v>
      </c>
      <c r="K48" s="20">
        <v>2256000</v>
      </c>
      <c r="L48" s="20">
        <v>349000</v>
      </c>
      <c r="M48" s="20">
        <v>236000</v>
      </c>
      <c r="N48" s="143"/>
    </row>
    <row r="50" spans="1:4">
      <c r="A50" s="5" t="s">
        <v>686</v>
      </c>
    </row>
    <row r="53" spans="1:4">
      <c r="B53" s="26"/>
      <c r="D53" s="26"/>
    </row>
  </sheetData>
  <mergeCells count="17">
    <mergeCell ref="H33:I33"/>
    <mergeCell ref="J33:K33"/>
    <mergeCell ref="L33:M33"/>
    <mergeCell ref="H5:I5"/>
    <mergeCell ref="H4:M4"/>
    <mergeCell ref="J5:K5"/>
    <mergeCell ref="L5:M5"/>
    <mergeCell ref="H32:M32"/>
    <mergeCell ref="B33:C33"/>
    <mergeCell ref="D33:E33"/>
    <mergeCell ref="F33:G33"/>
    <mergeCell ref="B5:C5"/>
    <mergeCell ref="D5:E5"/>
    <mergeCell ref="F5:G5"/>
    <mergeCell ref="B23:C23"/>
    <mergeCell ref="D23:E23"/>
    <mergeCell ref="F23:G23"/>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DDDB-C24A-D04D-907A-6C3F6FE54D95}">
  <sheetPr codeName="Sheet70"/>
  <dimension ref="A1:I42"/>
  <sheetViews>
    <sheetView zoomScale="125" workbookViewId="0"/>
  </sheetViews>
  <sheetFormatPr baseColWidth="10" defaultColWidth="10.83203125" defaultRowHeight="16"/>
  <cols>
    <col min="1" max="1" width="19.5" style="5" customWidth="1"/>
    <col min="2" max="16384" width="10.83203125" style="5"/>
  </cols>
  <sheetData>
    <row r="1" spans="1:9">
      <c r="A1" s="19" t="s">
        <v>690</v>
      </c>
    </row>
    <row r="2" spans="1:9">
      <c r="A2" s="19"/>
    </row>
    <row r="3" spans="1:9">
      <c r="B3" s="328" t="s">
        <v>45</v>
      </c>
      <c r="C3" s="328"/>
      <c r="D3" s="328" t="s">
        <v>362</v>
      </c>
      <c r="E3" s="328"/>
      <c r="F3" s="328" t="s">
        <v>361</v>
      </c>
      <c r="G3" s="328"/>
      <c r="H3" s="328" t="s">
        <v>363</v>
      </c>
      <c r="I3" s="328"/>
    </row>
    <row r="4" spans="1:9">
      <c r="B4" s="135" t="s">
        <v>383</v>
      </c>
      <c r="C4" s="135" t="s">
        <v>384</v>
      </c>
      <c r="D4" s="135" t="s">
        <v>383</v>
      </c>
      <c r="E4" s="135" t="s">
        <v>384</v>
      </c>
      <c r="F4" s="135" t="s">
        <v>383</v>
      </c>
      <c r="G4" s="135" t="s">
        <v>384</v>
      </c>
      <c r="H4" s="135" t="s">
        <v>383</v>
      </c>
      <c r="I4" s="135" t="s">
        <v>384</v>
      </c>
    </row>
    <row r="5" spans="1:9">
      <c r="A5" s="5">
        <v>2006</v>
      </c>
      <c r="B5" s="143" t="s">
        <v>87</v>
      </c>
      <c r="C5" s="143">
        <v>2.8063799717343025</v>
      </c>
      <c r="D5" s="143" t="s">
        <v>87</v>
      </c>
      <c r="E5" s="143">
        <v>2.9953917050691246</v>
      </c>
      <c r="F5" s="143" t="s">
        <v>87</v>
      </c>
      <c r="G5" s="143">
        <v>2.6622793897696679</v>
      </c>
      <c r="H5" s="143" t="s">
        <v>87</v>
      </c>
      <c r="I5" s="143">
        <v>3.5714285714285716</v>
      </c>
    </row>
    <row r="6" spans="1:9">
      <c r="A6" s="5">
        <v>2007</v>
      </c>
      <c r="B6" s="143" t="s">
        <v>87</v>
      </c>
      <c r="C6" s="143">
        <v>2.6345166331770487</v>
      </c>
      <c r="D6" s="143" t="s">
        <v>87</v>
      </c>
      <c r="E6" s="143">
        <v>2.7538726333907055</v>
      </c>
      <c r="F6" s="143" t="s">
        <v>87</v>
      </c>
      <c r="G6" s="143">
        <v>2.5641025641025643</v>
      </c>
      <c r="H6" s="143" t="s">
        <v>87</v>
      </c>
      <c r="I6" s="143">
        <v>2.9197080291970803</v>
      </c>
    </row>
    <row r="7" spans="1:9">
      <c r="A7" s="5">
        <v>2008</v>
      </c>
      <c r="B7" s="143" t="s">
        <v>87</v>
      </c>
      <c r="C7" s="143">
        <v>2.6550868486352357</v>
      </c>
      <c r="D7" s="143" t="s">
        <v>87</v>
      </c>
      <c r="E7" s="143">
        <v>2.9288702928870292</v>
      </c>
      <c r="F7" s="143" t="s">
        <v>87</v>
      </c>
      <c r="G7" s="143">
        <v>2.5650160313501957</v>
      </c>
      <c r="H7" s="143" t="s">
        <v>87</v>
      </c>
      <c r="I7" s="143">
        <v>2.6315789473684212</v>
      </c>
    </row>
    <row r="8" spans="1:9">
      <c r="A8" s="5">
        <v>2009</v>
      </c>
      <c r="B8" s="143" t="s">
        <v>87</v>
      </c>
      <c r="C8" s="143">
        <v>2.3361306418689045</v>
      </c>
      <c r="D8" s="143" t="s">
        <v>87</v>
      </c>
      <c r="E8" s="143">
        <v>2.483285577841452</v>
      </c>
      <c r="F8" s="143" t="s">
        <v>87</v>
      </c>
      <c r="G8" s="143">
        <v>2.2808732486151841</v>
      </c>
      <c r="H8" s="143" t="s">
        <v>87</v>
      </c>
      <c r="I8" s="143">
        <v>2.7303754266211606</v>
      </c>
    </row>
    <row r="9" spans="1:9">
      <c r="A9" s="5">
        <v>2010</v>
      </c>
      <c r="B9" s="143" t="s">
        <v>87</v>
      </c>
      <c r="C9" s="143">
        <v>2.4539877300613497</v>
      </c>
      <c r="D9" s="143" t="s">
        <v>87</v>
      </c>
      <c r="E9" s="143">
        <v>2.338530066815145</v>
      </c>
      <c r="F9" s="143" t="s">
        <v>87</v>
      </c>
      <c r="G9" s="143">
        <v>2.4054982817869415</v>
      </c>
      <c r="H9" s="143" t="s">
        <v>87</v>
      </c>
      <c r="I9" s="143">
        <v>2.9850746268656718</v>
      </c>
    </row>
    <row r="10" spans="1:9">
      <c r="A10" s="5">
        <v>2011</v>
      </c>
      <c r="B10" s="143" t="s">
        <v>87</v>
      </c>
      <c r="C10" s="143">
        <v>2.1586109807602063</v>
      </c>
      <c r="D10" s="143" t="s">
        <v>87</v>
      </c>
      <c r="E10" s="143">
        <v>1.9689119170984455</v>
      </c>
      <c r="F10" s="143" t="s">
        <v>87</v>
      </c>
      <c r="G10" s="143">
        <v>2.1541568495456076</v>
      </c>
      <c r="H10" s="143" t="s">
        <v>87</v>
      </c>
      <c r="I10" s="143">
        <v>2.7522935779816513</v>
      </c>
    </row>
    <row r="11" spans="1:9">
      <c r="A11" s="5">
        <v>2012</v>
      </c>
      <c r="B11" s="143" t="s">
        <v>87</v>
      </c>
      <c r="C11" s="143">
        <v>2.4186046511627906</v>
      </c>
      <c r="D11" s="143" t="s">
        <v>87</v>
      </c>
      <c r="E11" s="143">
        <v>2.3785926660059467</v>
      </c>
      <c r="F11" s="143" t="s">
        <v>87</v>
      </c>
      <c r="G11" s="143">
        <v>2.2802379378717781</v>
      </c>
      <c r="H11" s="143" t="s">
        <v>87</v>
      </c>
      <c r="I11" s="143">
        <v>4.5283018867924527</v>
      </c>
    </row>
    <row r="12" spans="1:9">
      <c r="A12" s="5">
        <v>2013</v>
      </c>
      <c r="B12" s="143" t="s">
        <v>87</v>
      </c>
      <c r="C12" s="143">
        <v>2.2558195344372449</v>
      </c>
      <c r="D12" s="143" t="s">
        <v>87</v>
      </c>
      <c r="E12" s="143">
        <v>2.4640657084188913</v>
      </c>
      <c r="F12" s="143" t="s">
        <v>87</v>
      </c>
      <c r="G12" s="143">
        <v>2.0511096166778748</v>
      </c>
      <c r="H12" s="143" t="s">
        <v>87</v>
      </c>
      <c r="I12" s="143">
        <v>4.1095890410958908</v>
      </c>
    </row>
    <row r="13" spans="1:9">
      <c r="A13" s="5">
        <v>2014</v>
      </c>
      <c r="B13" s="143" t="s">
        <v>87</v>
      </c>
      <c r="C13" s="143">
        <v>2.3017902813299234</v>
      </c>
      <c r="D13" s="143" t="s">
        <v>87</v>
      </c>
      <c r="E13" s="143">
        <v>2.7511961722488039</v>
      </c>
      <c r="F13" s="143" t="s">
        <v>87</v>
      </c>
      <c r="G13" s="143">
        <v>2.0487460261391734</v>
      </c>
      <c r="H13" s="143" t="s">
        <v>87</v>
      </c>
      <c r="I13" s="143">
        <v>3.3057851239669422</v>
      </c>
    </row>
    <row r="14" spans="1:9">
      <c r="A14" s="5">
        <v>2015</v>
      </c>
      <c r="B14" s="143">
        <v>2.3058730784391015</v>
      </c>
      <c r="C14" s="143">
        <v>2.4067956583294006</v>
      </c>
      <c r="D14" s="143">
        <v>2.3318385650224216</v>
      </c>
      <c r="E14" s="143">
        <v>2.2222222222222223</v>
      </c>
      <c r="F14" s="143">
        <v>2.1318373071528751</v>
      </c>
      <c r="G14" s="143">
        <v>2.295834699901607</v>
      </c>
      <c r="H14" s="143">
        <v>3.8071065989847717</v>
      </c>
      <c r="I14" s="143">
        <v>4.1522491349480966</v>
      </c>
    </row>
    <row r="15" spans="1:9">
      <c r="A15" s="5">
        <v>2016</v>
      </c>
      <c r="B15" s="143">
        <v>2.179176755447942</v>
      </c>
      <c r="C15" s="143">
        <v>2.3000802353570475</v>
      </c>
      <c r="D15" s="143">
        <v>2.2964509394572024</v>
      </c>
      <c r="E15" s="143">
        <v>2.5165562913907285</v>
      </c>
      <c r="F15" s="143">
        <v>2.0125786163522013</v>
      </c>
      <c r="G15" s="143">
        <v>2.0733061828952239</v>
      </c>
      <c r="H15" s="143">
        <v>3.4567901234567899</v>
      </c>
      <c r="I15" s="143">
        <v>3.8732394366197185</v>
      </c>
    </row>
    <row r="16" spans="1:9">
      <c r="A16" s="5">
        <v>2017</v>
      </c>
      <c r="B16" s="143">
        <v>2.1251193887297037</v>
      </c>
      <c r="C16" s="143">
        <v>2.0802812774685027</v>
      </c>
      <c r="D16" s="143">
        <v>2.4906600249066004</v>
      </c>
      <c r="E16" s="143">
        <v>2.733118971061093</v>
      </c>
      <c r="F16" s="143">
        <v>1.982815598149372</v>
      </c>
      <c r="G16" s="143">
        <v>1.919310614962789</v>
      </c>
      <c r="H16" s="143">
        <v>2.5</v>
      </c>
      <c r="I16" s="143">
        <v>2.1008403361344539</v>
      </c>
    </row>
    <row r="17" spans="1:9">
      <c r="A17" s="5">
        <v>2018</v>
      </c>
      <c r="B17" s="143">
        <v>1.8578960582475521</v>
      </c>
      <c r="C17" s="143">
        <v>1.8279231011660888</v>
      </c>
      <c r="D17" s="143">
        <v>2.0053475935828877</v>
      </c>
      <c r="E17" s="143">
        <v>1.7667844522968197</v>
      </c>
      <c r="F17" s="143">
        <v>1.734304543877905</v>
      </c>
      <c r="G17" s="143">
        <v>1.7976588628762542</v>
      </c>
      <c r="H17" s="143">
        <v>2.2727272727272729</v>
      </c>
      <c r="I17" s="143">
        <v>1.8518518518518519</v>
      </c>
    </row>
    <row r="18" spans="1:9">
      <c r="A18" s="5">
        <v>2019</v>
      </c>
      <c r="B18" s="143">
        <v>1.8766756032171581</v>
      </c>
      <c r="C18" s="143">
        <v>1.9173553719008265</v>
      </c>
      <c r="D18" s="143">
        <v>2.5</v>
      </c>
      <c r="E18" s="143">
        <v>2.6266416510318948</v>
      </c>
      <c r="F18" s="143">
        <v>1.6654330125832717</v>
      </c>
      <c r="G18" s="143">
        <v>1.7287234042553192</v>
      </c>
      <c r="H18" s="143">
        <v>2.5787965616045847</v>
      </c>
      <c r="I18" s="143">
        <v>2.5423728813559321</v>
      </c>
    </row>
    <row r="20" spans="1:9">
      <c r="A20" s="5" t="s">
        <v>374</v>
      </c>
      <c r="B20" s="143" t="s">
        <v>87</v>
      </c>
      <c r="C20" s="143">
        <f t="shared" ref="C20" si="0">C18-C5</f>
        <v>-0.88902459983347604</v>
      </c>
      <c r="D20" s="143" t="s">
        <v>87</v>
      </c>
      <c r="E20" s="143">
        <f t="shared" ref="E20" si="1">E18-E5</f>
        <v>-0.36875005403722971</v>
      </c>
      <c r="F20" s="143" t="s">
        <v>87</v>
      </c>
      <c r="G20" s="143">
        <f t="shared" ref="G20" si="2">G18-G5</f>
        <v>-0.93355598551434871</v>
      </c>
      <c r="H20" s="143" t="s">
        <v>87</v>
      </c>
      <c r="I20" s="143">
        <f t="shared" ref="I20" si="3">I18-I5</f>
        <v>-1.0290556900726395</v>
      </c>
    </row>
    <row r="21" spans="1:9">
      <c r="A21" s="5" t="s">
        <v>373</v>
      </c>
      <c r="B21" s="143">
        <f>B18-B14</f>
        <v>-0.4291974752219434</v>
      </c>
      <c r="C21" s="143">
        <f t="shared" ref="C21:D21" si="4">C18-C14</f>
        <v>-0.48944028642857407</v>
      </c>
      <c r="D21" s="143">
        <f t="shared" si="4"/>
        <v>0.16816143497757841</v>
      </c>
      <c r="E21" s="143">
        <f t="shared" ref="E21:I21" si="5">E18-E14</f>
        <v>0.40441942880967252</v>
      </c>
      <c r="F21" s="143">
        <f t="shared" si="5"/>
        <v>-0.46640429456960342</v>
      </c>
      <c r="G21" s="143">
        <f t="shared" si="5"/>
        <v>-0.56711129564628782</v>
      </c>
      <c r="H21" s="143">
        <f t="shared" si="5"/>
        <v>-1.228310037380187</v>
      </c>
      <c r="I21" s="143">
        <f t="shared" si="5"/>
        <v>-1.6098762535921645</v>
      </c>
    </row>
    <row r="24" spans="1:9">
      <c r="A24" s="5" t="s">
        <v>686</v>
      </c>
    </row>
    <row r="27" spans="1:9">
      <c r="B27" s="328"/>
      <c r="C27" s="328"/>
      <c r="D27" s="328"/>
      <c r="E27" s="328"/>
      <c r="F27" s="328"/>
      <c r="G27" s="328"/>
      <c r="H27" s="328"/>
      <c r="I27" s="328"/>
    </row>
    <row r="28" spans="1:9">
      <c r="B28" s="135"/>
      <c r="C28" s="135"/>
      <c r="D28" s="135"/>
      <c r="E28" s="135"/>
      <c r="F28" s="135"/>
      <c r="G28" s="135"/>
      <c r="H28" s="135"/>
      <c r="I28" s="135"/>
    </row>
    <row r="29" spans="1:9">
      <c r="B29" s="143"/>
      <c r="C29" s="143"/>
      <c r="D29" s="135"/>
      <c r="E29" s="143"/>
      <c r="F29" s="135"/>
      <c r="G29" s="143"/>
      <c r="H29" s="135"/>
      <c r="I29" s="143"/>
    </row>
    <row r="30" spans="1:9">
      <c r="B30" s="143"/>
      <c r="C30" s="143"/>
      <c r="D30" s="135"/>
      <c r="E30" s="143"/>
      <c r="F30" s="135"/>
      <c r="G30" s="143"/>
      <c r="H30" s="135"/>
      <c r="I30" s="143"/>
    </row>
    <row r="31" spans="1:9">
      <c r="B31" s="143"/>
      <c r="C31" s="143"/>
      <c r="D31" s="135"/>
      <c r="E31" s="143"/>
      <c r="F31" s="135"/>
      <c r="G31" s="143"/>
      <c r="H31" s="135"/>
      <c r="I31" s="143"/>
    </row>
    <row r="32" spans="1:9">
      <c r="B32" s="143"/>
      <c r="C32" s="143"/>
      <c r="D32" s="135"/>
      <c r="E32" s="143"/>
      <c r="F32" s="135"/>
      <c r="G32" s="143"/>
      <c r="H32" s="135"/>
      <c r="I32" s="143"/>
    </row>
    <row r="33" spans="2:9">
      <c r="B33" s="143"/>
      <c r="C33" s="143"/>
      <c r="D33" s="135"/>
      <c r="E33" s="143"/>
      <c r="F33" s="135"/>
      <c r="G33" s="143"/>
      <c r="H33" s="135"/>
      <c r="I33" s="143"/>
    </row>
    <row r="34" spans="2:9">
      <c r="B34" s="143"/>
      <c r="C34" s="143"/>
      <c r="D34" s="135"/>
      <c r="E34" s="143"/>
      <c r="F34" s="135"/>
      <c r="G34" s="143"/>
      <c r="H34" s="135"/>
      <c r="I34" s="143"/>
    </row>
    <row r="35" spans="2:9">
      <c r="B35" s="143"/>
      <c r="C35" s="143"/>
      <c r="D35" s="135"/>
      <c r="E35" s="143"/>
      <c r="F35" s="135"/>
      <c r="G35" s="143"/>
      <c r="H35" s="135"/>
      <c r="I35" s="143"/>
    </row>
    <row r="36" spans="2:9">
      <c r="B36" s="143"/>
      <c r="C36" s="143"/>
      <c r="D36" s="135"/>
      <c r="E36" s="143"/>
      <c r="F36" s="135"/>
      <c r="G36" s="143"/>
      <c r="H36" s="135"/>
      <c r="I36" s="143"/>
    </row>
    <row r="37" spans="2:9">
      <c r="B37" s="143"/>
      <c r="C37" s="143"/>
      <c r="D37" s="135"/>
      <c r="E37" s="143"/>
      <c r="F37" s="135"/>
      <c r="G37" s="143"/>
      <c r="H37" s="135"/>
      <c r="I37" s="143"/>
    </row>
    <row r="38" spans="2:9">
      <c r="B38" s="143"/>
      <c r="C38" s="143"/>
      <c r="D38" s="143"/>
      <c r="E38" s="143"/>
      <c r="F38" s="143"/>
      <c r="G38" s="143"/>
      <c r="H38" s="143"/>
      <c r="I38" s="143"/>
    </row>
    <row r="39" spans="2:9">
      <c r="B39" s="143"/>
      <c r="C39" s="143"/>
      <c r="D39" s="143"/>
      <c r="E39" s="143"/>
      <c r="F39" s="143"/>
      <c r="G39" s="143"/>
      <c r="H39" s="143"/>
      <c r="I39" s="143"/>
    </row>
    <row r="40" spans="2:9">
      <c r="B40" s="143"/>
      <c r="C40" s="143"/>
      <c r="D40" s="143"/>
      <c r="E40" s="143"/>
      <c r="F40" s="143"/>
      <c r="G40" s="143"/>
      <c r="H40" s="143"/>
      <c r="I40" s="143"/>
    </row>
    <row r="41" spans="2:9">
      <c r="B41" s="143"/>
      <c r="C41" s="143"/>
      <c r="D41" s="143"/>
      <c r="E41" s="143"/>
      <c r="F41" s="143"/>
      <c r="G41" s="143"/>
      <c r="H41" s="143"/>
      <c r="I41" s="143"/>
    </row>
    <row r="42" spans="2:9">
      <c r="B42" s="143"/>
      <c r="C42" s="143"/>
      <c r="D42" s="143"/>
      <c r="E42" s="143"/>
      <c r="F42" s="143"/>
      <c r="G42" s="143"/>
      <c r="H42" s="143"/>
      <c r="I42" s="143"/>
    </row>
  </sheetData>
  <mergeCells count="8">
    <mergeCell ref="D27:E27"/>
    <mergeCell ref="F27:G27"/>
    <mergeCell ref="H27:I27"/>
    <mergeCell ref="B27:C27"/>
    <mergeCell ref="B3:C3"/>
    <mergeCell ref="D3:E3"/>
    <mergeCell ref="F3:G3"/>
    <mergeCell ref="H3:I3"/>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2559A-DE11-4C4A-8CCA-C946564EA4DD}">
  <sheetPr codeName="Sheet71"/>
  <dimension ref="A1:P32"/>
  <sheetViews>
    <sheetView zoomScale="106" workbookViewId="0">
      <selection activeCell="L35" sqref="L35"/>
    </sheetView>
  </sheetViews>
  <sheetFormatPr baseColWidth="10" defaultColWidth="10.83203125" defaultRowHeight="16"/>
  <cols>
    <col min="1" max="1" width="20.83203125" style="5" customWidth="1"/>
    <col min="2" max="5" width="14.83203125" style="5" customWidth="1"/>
    <col min="6" max="16384" width="10.83203125" style="5"/>
  </cols>
  <sheetData>
    <row r="1" spans="1:16">
      <c r="A1" s="3" t="s">
        <v>691</v>
      </c>
    </row>
    <row r="2" spans="1:16">
      <c r="A2" s="5" t="s">
        <v>364</v>
      </c>
    </row>
    <row r="3" spans="1:16">
      <c r="B3" s="77"/>
      <c r="C3" s="77"/>
      <c r="H3" s="186"/>
      <c r="I3" s="186"/>
      <c r="J3" s="186"/>
      <c r="K3" s="186"/>
      <c r="M3" s="186"/>
      <c r="N3" s="186"/>
      <c r="O3" s="186"/>
      <c r="P3" s="186"/>
    </row>
    <row r="4" spans="1:16" ht="32" customHeight="1">
      <c r="B4" s="354" t="s">
        <v>386</v>
      </c>
      <c r="C4" s="354"/>
      <c r="D4" s="354" t="s">
        <v>78</v>
      </c>
      <c r="E4" s="354"/>
      <c r="H4" s="187"/>
      <c r="I4" s="187"/>
      <c r="J4" s="187"/>
      <c r="K4" s="187"/>
      <c r="M4" s="330"/>
      <c r="N4" s="330"/>
      <c r="O4" s="330"/>
      <c r="P4" s="330"/>
    </row>
    <row r="5" spans="1:16" ht="16" customHeight="1">
      <c r="B5" s="140" t="s">
        <v>383</v>
      </c>
      <c r="C5" s="140" t="s">
        <v>384</v>
      </c>
      <c r="D5" s="140" t="s">
        <v>383</v>
      </c>
      <c r="E5" s="140" t="s">
        <v>384</v>
      </c>
      <c r="H5" s="186"/>
      <c r="I5" s="186"/>
      <c r="J5" s="186"/>
      <c r="K5" s="186"/>
      <c r="M5" s="186"/>
      <c r="N5" s="186"/>
      <c r="O5" s="186"/>
      <c r="P5" s="186"/>
    </row>
    <row r="6" spans="1:16">
      <c r="A6" s="5">
        <v>2006</v>
      </c>
      <c r="C6" s="106">
        <v>15.8</v>
      </c>
      <c r="E6" s="106">
        <v>39.700000000000003</v>
      </c>
      <c r="H6" s="8"/>
      <c r="I6" s="8"/>
      <c r="J6" s="8"/>
      <c r="K6" s="8"/>
      <c r="M6" s="8"/>
      <c r="N6" s="201"/>
      <c r="O6" s="201"/>
      <c r="P6" s="201"/>
    </row>
    <row r="7" spans="1:16">
      <c r="A7" s="5">
        <v>2007</v>
      </c>
      <c r="C7" s="106">
        <v>13.5</v>
      </c>
      <c r="E7" s="106">
        <v>33.4</v>
      </c>
      <c r="H7" s="8"/>
      <c r="I7" s="8"/>
      <c r="J7" s="8"/>
      <c r="K7" s="8"/>
      <c r="M7" s="115"/>
      <c r="N7" s="115"/>
      <c r="O7" s="115"/>
      <c r="P7" s="115"/>
    </row>
    <row r="8" spans="1:16">
      <c r="A8" s="5">
        <v>2008</v>
      </c>
      <c r="C8" s="106">
        <v>11.3</v>
      </c>
      <c r="E8" s="106">
        <v>35.700000000000003</v>
      </c>
      <c r="H8" s="8"/>
      <c r="I8" s="8"/>
      <c r="J8" s="8"/>
      <c r="K8" s="8"/>
      <c r="M8" s="115"/>
      <c r="N8" s="115"/>
      <c r="O8" s="115"/>
      <c r="P8" s="115"/>
    </row>
    <row r="9" spans="1:16">
      <c r="A9" s="5">
        <v>2009</v>
      </c>
      <c r="C9" s="106">
        <v>10.7</v>
      </c>
      <c r="E9" s="106">
        <v>35.299999999999997</v>
      </c>
      <c r="H9" s="8"/>
      <c r="I9" s="8"/>
      <c r="J9" s="8"/>
      <c r="K9" s="8"/>
      <c r="M9" s="115"/>
      <c r="N9" s="115"/>
      <c r="O9" s="115"/>
      <c r="P9" s="115"/>
    </row>
    <row r="10" spans="1:16">
      <c r="A10" s="5">
        <v>2010</v>
      </c>
      <c r="C10" s="106">
        <v>10.7</v>
      </c>
      <c r="E10" s="106">
        <v>30.7</v>
      </c>
      <c r="H10" s="8"/>
      <c r="I10" s="8"/>
      <c r="J10" s="8"/>
      <c r="K10" s="8"/>
      <c r="M10" s="115"/>
      <c r="N10" s="115"/>
      <c r="O10" s="115"/>
      <c r="P10" s="115"/>
    </row>
    <row r="11" spans="1:16">
      <c r="A11" s="5">
        <v>2011</v>
      </c>
      <c r="C11" s="106">
        <v>9.5</v>
      </c>
      <c r="E11" s="106">
        <v>30.2</v>
      </c>
      <c r="H11" s="8"/>
      <c r="I11" s="8"/>
      <c r="J11" s="8"/>
      <c r="K11" s="8"/>
      <c r="M11" s="115"/>
      <c r="N11" s="115"/>
      <c r="O11" s="115"/>
      <c r="P11" s="115"/>
    </row>
    <row r="12" spans="1:16">
      <c r="A12" s="5">
        <v>2012</v>
      </c>
      <c r="C12" s="106">
        <v>10.7</v>
      </c>
      <c r="E12" s="106">
        <v>34.6</v>
      </c>
      <c r="H12" s="8"/>
      <c r="I12" s="8"/>
      <c r="J12" s="8"/>
      <c r="K12" s="8"/>
      <c r="M12" s="115"/>
      <c r="N12" s="115"/>
      <c r="O12" s="115"/>
      <c r="P12" s="115"/>
    </row>
    <row r="13" spans="1:16">
      <c r="A13" s="5">
        <v>2013</v>
      </c>
      <c r="C13" s="106">
        <v>9.9</v>
      </c>
      <c r="E13" s="106">
        <v>29.8</v>
      </c>
      <c r="H13" s="8"/>
      <c r="I13" s="8"/>
      <c r="J13" s="8"/>
      <c r="K13" s="8"/>
      <c r="M13" s="115"/>
      <c r="N13" s="115"/>
      <c r="O13" s="115"/>
      <c r="P13" s="115"/>
    </row>
    <row r="14" spans="1:16">
      <c r="A14" s="5">
        <v>2014</v>
      </c>
      <c r="C14" s="106">
        <v>10.1</v>
      </c>
      <c r="E14" s="106">
        <v>24.4</v>
      </c>
      <c r="H14" s="8"/>
      <c r="I14" s="8"/>
      <c r="J14" s="8"/>
      <c r="K14" s="8"/>
      <c r="M14" s="115"/>
      <c r="N14" s="115"/>
      <c r="O14" s="115"/>
      <c r="P14" s="115"/>
    </row>
    <row r="15" spans="1:16">
      <c r="A15" s="5">
        <v>2015</v>
      </c>
      <c r="B15" s="106">
        <v>12.3</v>
      </c>
      <c r="C15" s="106">
        <v>10.5</v>
      </c>
      <c r="D15" s="106">
        <v>36.6</v>
      </c>
      <c r="E15" s="106">
        <v>33.6</v>
      </c>
      <c r="H15" s="8"/>
      <c r="I15" s="8"/>
      <c r="J15" s="8"/>
      <c r="K15" s="8"/>
      <c r="M15" s="115"/>
      <c r="N15" s="115"/>
      <c r="O15" s="115"/>
      <c r="P15" s="115"/>
    </row>
    <row r="16" spans="1:16">
      <c r="A16" s="5">
        <v>2016</v>
      </c>
      <c r="B16" s="106">
        <v>9.6</v>
      </c>
      <c r="C16" s="106">
        <v>7.9</v>
      </c>
      <c r="D16" s="106">
        <v>35.200000000000003</v>
      </c>
      <c r="E16" s="106">
        <v>32.799999999999997</v>
      </c>
      <c r="H16" s="8"/>
      <c r="I16" s="8"/>
      <c r="J16" s="8"/>
      <c r="K16" s="8"/>
      <c r="M16" s="115"/>
      <c r="N16" s="115"/>
      <c r="O16" s="115"/>
      <c r="P16" s="115"/>
    </row>
    <row r="17" spans="1:16">
      <c r="A17" s="5">
        <v>2017</v>
      </c>
      <c r="B17" s="106">
        <v>9.1999999999999993</v>
      </c>
      <c r="C17" s="106">
        <v>7.5</v>
      </c>
      <c r="D17" s="106">
        <v>28.1</v>
      </c>
      <c r="E17" s="106">
        <v>21.8</v>
      </c>
      <c r="H17" s="8"/>
      <c r="I17" s="8"/>
      <c r="J17" s="8"/>
      <c r="K17" s="8"/>
      <c r="M17" s="115"/>
      <c r="N17" s="115"/>
      <c r="O17" s="115"/>
      <c r="P17" s="115"/>
    </row>
    <row r="18" spans="1:16">
      <c r="A18" s="5">
        <v>2018</v>
      </c>
      <c r="B18" s="106">
        <v>6.4</v>
      </c>
      <c r="C18" s="106">
        <v>4.7</v>
      </c>
      <c r="D18" s="106">
        <v>29.2</v>
      </c>
      <c r="E18" s="106">
        <v>24.7</v>
      </c>
      <c r="H18" s="8"/>
      <c r="I18" s="8"/>
      <c r="J18" s="8"/>
      <c r="K18" s="8"/>
      <c r="M18" s="115"/>
      <c r="N18" s="115"/>
      <c r="O18" s="115"/>
      <c r="P18" s="115"/>
    </row>
    <row r="19" spans="1:16">
      <c r="A19" s="5">
        <v>2019</v>
      </c>
      <c r="B19" s="106">
        <v>6.6</v>
      </c>
      <c r="C19" s="106">
        <v>5.7</v>
      </c>
      <c r="D19" s="106">
        <v>24.8</v>
      </c>
      <c r="E19" s="106">
        <v>19.3</v>
      </c>
      <c r="H19" s="8"/>
      <c r="I19" s="8"/>
      <c r="J19" s="8"/>
      <c r="K19" s="8"/>
      <c r="M19" s="115"/>
      <c r="N19" s="115"/>
      <c r="O19" s="115"/>
      <c r="P19" s="115"/>
    </row>
    <row r="20" spans="1:16">
      <c r="B20" s="106"/>
      <c r="C20" s="106"/>
      <c r="D20" s="106"/>
      <c r="E20" s="106"/>
      <c r="H20" s="8"/>
      <c r="I20" s="8"/>
      <c r="J20" s="8"/>
      <c r="K20" s="8"/>
    </row>
    <row r="21" spans="1:16">
      <c r="B21" s="106"/>
      <c r="C21" s="106"/>
      <c r="D21" s="106"/>
      <c r="E21" s="106"/>
    </row>
    <row r="22" spans="1:16" ht="32" customHeight="1">
      <c r="A22" s="343" t="s">
        <v>387</v>
      </c>
      <c r="B22" s="354" t="s">
        <v>386</v>
      </c>
      <c r="C22" s="354"/>
      <c r="D22" s="354" t="s">
        <v>78</v>
      </c>
      <c r="E22" s="354"/>
    </row>
    <row r="23" spans="1:16">
      <c r="A23" s="343"/>
      <c r="B23" s="140" t="s">
        <v>383</v>
      </c>
      <c r="C23" s="140" t="s">
        <v>384</v>
      </c>
      <c r="D23" s="140" t="s">
        <v>383</v>
      </c>
      <c r="E23" s="140" t="s">
        <v>384</v>
      </c>
    </row>
    <row r="24" spans="1:16" ht="17">
      <c r="A24" s="5" t="s">
        <v>372</v>
      </c>
      <c r="B24" s="107" t="s">
        <v>87</v>
      </c>
      <c r="C24" s="107">
        <f>100*(C19-C6)/C6</f>
        <v>-63.924050632911396</v>
      </c>
      <c r="D24" s="8" t="s">
        <v>87</v>
      </c>
      <c r="E24" s="8">
        <f t="shared" ref="E24" si="0">100*(E19-E6)/E6</f>
        <v>-51.385390428211586</v>
      </c>
    </row>
    <row r="25" spans="1:16">
      <c r="A25" s="5" t="s">
        <v>371</v>
      </c>
      <c r="B25" s="8">
        <f>100*(B19-B15)/B15</f>
        <v>-46.341463414634156</v>
      </c>
      <c r="C25" s="8">
        <f>100*(C19-C15)/C15</f>
        <v>-45.714285714285715</v>
      </c>
      <c r="D25" s="8">
        <f t="shared" ref="D25:E25" si="1">100*(D19-D15)/D15</f>
        <v>-32.240437158469945</v>
      </c>
      <c r="E25" s="8">
        <f t="shared" si="1"/>
        <v>-42.55952380952381</v>
      </c>
    </row>
    <row r="26" spans="1:16">
      <c r="A26" s="5" t="s">
        <v>374</v>
      </c>
      <c r="B26" s="8" t="s">
        <v>87</v>
      </c>
      <c r="C26" s="8">
        <f>C19-C6</f>
        <v>-10.100000000000001</v>
      </c>
      <c r="D26" s="8" t="s">
        <v>87</v>
      </c>
      <c r="E26" s="8">
        <f t="shared" ref="E26" si="2">E19-E6</f>
        <v>-20.400000000000002</v>
      </c>
    </row>
    <row r="27" spans="1:16">
      <c r="A27" s="5" t="s">
        <v>373</v>
      </c>
      <c r="B27" s="8">
        <f>B19-B15</f>
        <v>-5.7000000000000011</v>
      </c>
      <c r="C27" s="8">
        <f>C19-C15</f>
        <v>-4.8</v>
      </c>
      <c r="D27" s="8">
        <f t="shared" ref="D27:E27" si="3">D19-D15</f>
        <v>-11.8</v>
      </c>
      <c r="E27" s="8">
        <f t="shared" si="3"/>
        <v>-14.3</v>
      </c>
    </row>
    <row r="29" spans="1:16">
      <c r="A29" s="5" t="s">
        <v>686</v>
      </c>
    </row>
    <row r="32" spans="1:16">
      <c r="A32" s="25"/>
    </row>
  </sheetData>
  <mergeCells count="7">
    <mergeCell ref="A22:A23"/>
    <mergeCell ref="M4:N4"/>
    <mergeCell ref="O4:P4"/>
    <mergeCell ref="B4:C4"/>
    <mergeCell ref="D4:E4"/>
    <mergeCell ref="B22:C22"/>
    <mergeCell ref="D22:E2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BC11-0D41-AB46-A7FA-29E0D7A20FA0}">
  <sheetPr codeName="Sheet72"/>
  <dimension ref="A1:E24"/>
  <sheetViews>
    <sheetView zoomScale="103" workbookViewId="0"/>
  </sheetViews>
  <sheetFormatPr baseColWidth="10" defaultColWidth="11" defaultRowHeight="16"/>
  <cols>
    <col min="1" max="1" width="19.83203125" customWidth="1"/>
    <col min="2" max="5" width="14.83203125" customWidth="1"/>
  </cols>
  <sheetData>
    <row r="1" spans="1:5">
      <c r="A1" s="19" t="s">
        <v>692</v>
      </c>
      <c r="B1" s="5"/>
      <c r="C1" s="5"/>
      <c r="D1" s="5"/>
      <c r="E1" s="5"/>
    </row>
    <row r="2" spans="1:5" s="2" customFormat="1">
      <c r="A2" s="19"/>
      <c r="B2" s="5"/>
      <c r="C2" s="5"/>
      <c r="D2" s="5"/>
      <c r="E2" s="5"/>
    </row>
    <row r="3" spans="1:5" ht="16" customHeight="1">
      <c r="A3" s="5"/>
      <c r="B3" s="328" t="s">
        <v>386</v>
      </c>
      <c r="C3" s="328"/>
      <c r="D3" s="328" t="s">
        <v>78</v>
      </c>
      <c r="E3" s="328"/>
    </row>
    <row r="4" spans="1:5" ht="49" customHeight="1">
      <c r="A4" s="5"/>
      <c r="B4" s="137" t="s">
        <v>383</v>
      </c>
      <c r="C4" s="137" t="s">
        <v>384</v>
      </c>
      <c r="D4" s="135" t="s">
        <v>383</v>
      </c>
      <c r="E4" s="135" t="s">
        <v>384</v>
      </c>
    </row>
    <row r="5" spans="1:5">
      <c r="A5" s="5">
        <v>2006</v>
      </c>
      <c r="B5" s="135" t="s">
        <v>87</v>
      </c>
      <c r="C5" s="143">
        <v>2.8934160023619722</v>
      </c>
      <c r="D5" s="135" t="s">
        <v>87</v>
      </c>
      <c r="E5" s="143">
        <v>2.554278416347382</v>
      </c>
    </row>
    <row r="6" spans="1:5">
      <c r="A6" s="5">
        <v>2007</v>
      </c>
      <c r="B6" s="135" t="s">
        <v>87</v>
      </c>
      <c r="C6" s="143">
        <v>2.8197381671701915</v>
      </c>
      <c r="D6" s="135" t="s">
        <v>87</v>
      </c>
      <c r="E6" s="143">
        <v>2.2666666666666666</v>
      </c>
    </row>
    <row r="7" spans="1:5">
      <c r="A7" s="5">
        <v>2008</v>
      </c>
      <c r="B7" s="135" t="s">
        <v>87</v>
      </c>
      <c r="C7" s="143">
        <v>2.658564375237372</v>
      </c>
      <c r="D7" s="135" t="s">
        <v>87</v>
      </c>
      <c r="E7" s="143">
        <v>2.6485325697924123</v>
      </c>
    </row>
    <row r="8" spans="1:5">
      <c r="A8" s="5">
        <v>2009</v>
      </c>
      <c r="B8" s="135" t="s">
        <v>87</v>
      </c>
      <c r="C8" s="143">
        <v>2.268041237113402</v>
      </c>
      <c r="D8" s="135" t="s">
        <v>87</v>
      </c>
      <c r="E8" s="143">
        <v>2.4683122081387592</v>
      </c>
    </row>
    <row r="9" spans="1:5">
      <c r="A9" s="5">
        <v>2010</v>
      </c>
      <c r="B9" s="135" t="s">
        <v>87</v>
      </c>
      <c r="C9" s="143">
        <v>2.5484975275770254</v>
      </c>
      <c r="D9" s="135" t="s">
        <v>87</v>
      </c>
      <c r="E9" s="143">
        <v>2.2821576763485476</v>
      </c>
    </row>
    <row r="10" spans="1:5">
      <c r="A10" s="5">
        <v>2011</v>
      </c>
      <c r="B10" s="135" t="s">
        <v>87</v>
      </c>
      <c r="C10" s="143">
        <v>2.2813688212927756</v>
      </c>
      <c r="D10" s="135" t="s">
        <v>87</v>
      </c>
      <c r="E10" s="143">
        <v>1.9607843137254901</v>
      </c>
    </row>
    <row r="11" spans="1:5">
      <c r="A11" s="5">
        <v>2012</v>
      </c>
      <c r="B11" s="135" t="s">
        <v>87</v>
      </c>
      <c r="C11" s="143">
        <v>2.4031563845050217</v>
      </c>
      <c r="D11" s="135" t="s">
        <v>87</v>
      </c>
      <c r="E11" s="143">
        <v>2.513227513227513</v>
      </c>
    </row>
    <row r="12" spans="1:5">
      <c r="A12" s="5">
        <v>2013</v>
      </c>
      <c r="B12" s="135" t="s">
        <v>87</v>
      </c>
      <c r="C12" s="143">
        <v>2.2878228782287824</v>
      </c>
      <c r="D12" s="135" t="s">
        <v>87</v>
      </c>
      <c r="E12" s="143">
        <v>2.2649279341111872</v>
      </c>
    </row>
    <row r="13" spans="1:5">
      <c r="A13" s="5">
        <v>2014</v>
      </c>
      <c r="B13" s="135" t="s">
        <v>87</v>
      </c>
      <c r="C13" s="143">
        <v>2.549342105263158</v>
      </c>
      <c r="D13" s="135" t="s">
        <v>87</v>
      </c>
      <c r="E13" s="143">
        <v>1.8267929634641407</v>
      </c>
    </row>
    <row r="14" spans="1:5">
      <c r="A14" s="5">
        <v>2015</v>
      </c>
      <c r="B14" s="143">
        <v>2.3334356770033775</v>
      </c>
      <c r="C14" s="143">
        <v>2.4923312883435584</v>
      </c>
      <c r="D14" s="143">
        <v>2.2564667033571824</v>
      </c>
      <c r="E14" s="143">
        <v>2.3327194597912828</v>
      </c>
    </row>
    <row r="15" spans="1:5">
      <c r="A15" s="5">
        <v>2016</v>
      </c>
      <c r="B15" s="143">
        <v>2.0907158043940468</v>
      </c>
      <c r="C15" s="143">
        <v>2.2272727272727271</v>
      </c>
      <c r="D15" s="143">
        <v>2.324230098779779</v>
      </c>
      <c r="E15" s="143">
        <v>2.4025974025974026</v>
      </c>
    </row>
    <row r="16" spans="1:5">
      <c r="A16" s="5">
        <v>2017</v>
      </c>
      <c r="B16" s="143">
        <v>2.2230889235569422</v>
      </c>
      <c r="C16" s="143">
        <v>2.330193356470005</v>
      </c>
      <c r="D16" s="143">
        <v>1.9704433497536946</v>
      </c>
      <c r="E16" s="143">
        <v>1.7908309455587392</v>
      </c>
    </row>
    <row r="17" spans="1:5">
      <c r="A17" s="5">
        <v>2018</v>
      </c>
      <c r="B17" s="143">
        <v>1.7293558149589279</v>
      </c>
      <c r="C17" s="143">
        <v>1.648664013644116</v>
      </c>
      <c r="D17" s="143">
        <v>2.0359281437125749</v>
      </c>
      <c r="E17" s="143">
        <v>1.9801980198019802</v>
      </c>
    </row>
    <row r="18" spans="1:5">
      <c r="A18" s="5">
        <v>2019</v>
      </c>
      <c r="B18" s="143">
        <v>1.8670309653916211</v>
      </c>
      <c r="C18" s="143">
        <v>2.1052631578947367</v>
      </c>
      <c r="D18" s="143">
        <v>1.8904823989569752</v>
      </c>
      <c r="E18" s="143">
        <v>1.7490494296577948</v>
      </c>
    </row>
    <row r="19" spans="1:5">
      <c r="A19" s="5"/>
      <c r="B19" s="5"/>
      <c r="C19" s="5"/>
      <c r="D19" s="5"/>
      <c r="E19" s="5"/>
    </row>
    <row r="20" spans="1:5">
      <c r="A20" s="5" t="s">
        <v>374</v>
      </c>
      <c r="B20" s="143"/>
      <c r="C20" s="143">
        <f>C18-C5</f>
        <v>-0.78815284446723544</v>
      </c>
      <c r="D20" s="143"/>
      <c r="E20" s="143">
        <f>E18-E5</f>
        <v>-0.8052289866895872</v>
      </c>
    </row>
    <row r="21" spans="1:5" s="2" customFormat="1">
      <c r="A21" s="5" t="s">
        <v>373</v>
      </c>
      <c r="B21" s="143">
        <f>B18-B14</f>
        <v>-0.46640471161175645</v>
      </c>
      <c r="C21" s="143">
        <f>C18-C14</f>
        <v>-0.38706813044882171</v>
      </c>
      <c r="D21" s="143">
        <f>D18-D14</f>
        <v>-0.36598430440020713</v>
      </c>
      <c r="E21" s="143">
        <f>E18-E14</f>
        <v>-0.58367003013348806</v>
      </c>
    </row>
    <row r="24" spans="1:5">
      <c r="A24" s="5" t="s">
        <v>380</v>
      </c>
      <c r="B24" s="2"/>
      <c r="C24" s="2"/>
      <c r="D24" s="2"/>
      <c r="E24" s="2"/>
    </row>
  </sheetData>
  <mergeCells count="2">
    <mergeCell ref="B3:C3"/>
    <mergeCell ref="D3:E3"/>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3188-FCF3-8844-AC1C-AD3D89683AC9}">
  <sheetPr codeName="Sheet73"/>
  <dimension ref="A1:S92"/>
  <sheetViews>
    <sheetView zoomScale="87" zoomScaleNormal="87" workbookViewId="0"/>
  </sheetViews>
  <sheetFormatPr baseColWidth="10" defaultColWidth="10.83203125" defaultRowHeight="16"/>
  <cols>
    <col min="1" max="1" width="19.1640625" style="5" customWidth="1"/>
    <col min="2" max="16384" width="10.83203125" style="5"/>
  </cols>
  <sheetData>
    <row r="1" spans="1:19">
      <c r="A1" s="3" t="s">
        <v>693</v>
      </c>
    </row>
    <row r="2" spans="1:19">
      <c r="A2" s="3"/>
    </row>
    <row r="3" spans="1:19">
      <c r="A3" s="4" t="s">
        <v>388</v>
      </c>
    </row>
    <row r="4" spans="1:19">
      <c r="A4" s="4"/>
    </row>
    <row r="5" spans="1:19">
      <c r="A5" s="4"/>
    </row>
    <row r="6" spans="1:19" ht="30" customHeight="1">
      <c r="B6" s="328" t="s">
        <v>45</v>
      </c>
      <c r="C6" s="328"/>
      <c r="D6" s="328" t="s">
        <v>362</v>
      </c>
      <c r="E6" s="328"/>
      <c r="F6" s="328" t="s">
        <v>361</v>
      </c>
      <c r="G6" s="328"/>
      <c r="H6" s="328" t="s">
        <v>363</v>
      </c>
      <c r="I6" s="328"/>
      <c r="J6" s="357" t="s">
        <v>386</v>
      </c>
      <c r="K6" s="357"/>
      <c r="L6" s="357" t="s">
        <v>78</v>
      </c>
      <c r="M6" s="357"/>
      <c r="N6" s="357" t="s">
        <v>389</v>
      </c>
      <c r="O6" s="357"/>
      <c r="P6" s="357" t="s">
        <v>390</v>
      </c>
      <c r="Q6" s="357"/>
      <c r="R6" s="357" t="s">
        <v>391</v>
      </c>
      <c r="S6" s="357"/>
    </row>
    <row r="7" spans="1:19" ht="16" customHeight="1">
      <c r="B7" s="135" t="s">
        <v>383</v>
      </c>
      <c r="C7" s="135" t="s">
        <v>384</v>
      </c>
      <c r="D7" s="135" t="s">
        <v>383</v>
      </c>
      <c r="E7" s="135" t="s">
        <v>384</v>
      </c>
      <c r="F7" s="135" t="s">
        <v>383</v>
      </c>
      <c r="G7" s="135" t="s">
        <v>384</v>
      </c>
      <c r="H7" s="135" t="s">
        <v>383</v>
      </c>
      <c r="I7" s="135" t="s">
        <v>384</v>
      </c>
      <c r="J7" s="135" t="s">
        <v>383</v>
      </c>
      <c r="K7" s="135" t="s">
        <v>384</v>
      </c>
      <c r="L7" s="135" t="s">
        <v>383</v>
      </c>
      <c r="M7" s="135" t="s">
        <v>384</v>
      </c>
      <c r="N7" s="135" t="s">
        <v>383</v>
      </c>
      <c r="O7" s="135" t="s">
        <v>384</v>
      </c>
      <c r="P7" s="135" t="s">
        <v>383</v>
      </c>
      <c r="Q7" s="135" t="s">
        <v>384</v>
      </c>
      <c r="R7" s="135" t="s">
        <v>383</v>
      </c>
      <c r="S7" s="135" t="s">
        <v>384</v>
      </c>
    </row>
    <row r="8" spans="1:19">
      <c r="A8" s="5">
        <v>2006</v>
      </c>
      <c r="B8" s="105" t="s">
        <v>87</v>
      </c>
      <c r="C8" s="135">
        <v>139</v>
      </c>
      <c r="D8" s="105" t="s">
        <v>87</v>
      </c>
      <c r="E8" s="135">
        <v>39</v>
      </c>
      <c r="F8" s="105" t="s">
        <v>87</v>
      </c>
      <c r="G8" s="135">
        <v>89</v>
      </c>
      <c r="H8" s="105" t="s">
        <v>87</v>
      </c>
      <c r="I8" s="135">
        <v>11</v>
      </c>
      <c r="J8" s="105" t="s">
        <v>87</v>
      </c>
      <c r="K8" s="135">
        <v>98</v>
      </c>
      <c r="L8" s="105" t="s">
        <v>87</v>
      </c>
      <c r="M8" s="135">
        <v>40</v>
      </c>
      <c r="N8" s="105" t="s">
        <v>87</v>
      </c>
      <c r="O8" s="135">
        <v>32</v>
      </c>
      <c r="P8" s="105" t="s">
        <v>87</v>
      </c>
      <c r="Q8" s="135">
        <v>16</v>
      </c>
      <c r="R8" s="105" t="s">
        <v>87</v>
      </c>
      <c r="S8" s="135">
        <v>16</v>
      </c>
    </row>
    <row r="9" spans="1:19">
      <c r="A9" s="5">
        <v>2007</v>
      </c>
      <c r="B9" s="105" t="s">
        <v>87</v>
      </c>
      <c r="C9" s="135">
        <v>118</v>
      </c>
      <c r="D9" s="105" t="s">
        <v>87</v>
      </c>
      <c r="E9" s="135">
        <v>32</v>
      </c>
      <c r="F9" s="105" t="s">
        <v>87</v>
      </c>
      <c r="G9" s="135">
        <v>78</v>
      </c>
      <c r="H9" s="105" t="s">
        <v>87</v>
      </c>
      <c r="I9" s="135">
        <v>8</v>
      </c>
      <c r="J9" s="105" t="s">
        <v>87</v>
      </c>
      <c r="K9" s="135">
        <v>84</v>
      </c>
      <c r="L9" s="105" t="s">
        <v>87</v>
      </c>
      <c r="M9" s="135">
        <v>34</v>
      </c>
      <c r="N9" s="105" t="s">
        <v>87</v>
      </c>
      <c r="O9" s="135">
        <v>28</v>
      </c>
      <c r="P9" s="105" t="s">
        <v>87</v>
      </c>
      <c r="Q9" s="135">
        <v>14</v>
      </c>
      <c r="R9" s="105" t="s">
        <v>87</v>
      </c>
      <c r="S9" s="135">
        <v>14</v>
      </c>
    </row>
    <row r="10" spans="1:19">
      <c r="A10" s="5">
        <v>2008</v>
      </c>
      <c r="B10" s="105" t="s">
        <v>87</v>
      </c>
      <c r="C10" s="135">
        <v>107</v>
      </c>
      <c r="D10" s="105" t="s">
        <v>87</v>
      </c>
      <c r="E10" s="135">
        <v>28</v>
      </c>
      <c r="F10" s="105" t="s">
        <v>87</v>
      </c>
      <c r="G10" s="135">
        <v>72</v>
      </c>
      <c r="H10" s="105" t="s">
        <v>87</v>
      </c>
      <c r="I10" s="135">
        <v>7</v>
      </c>
      <c r="J10" s="105" t="s">
        <v>87</v>
      </c>
      <c r="K10" s="135">
        <v>70</v>
      </c>
      <c r="L10" s="105" t="s">
        <v>87</v>
      </c>
      <c r="M10" s="135">
        <v>37</v>
      </c>
      <c r="N10" s="105" t="s">
        <v>87</v>
      </c>
      <c r="O10" s="135">
        <v>32</v>
      </c>
      <c r="P10" s="105" t="s">
        <v>87</v>
      </c>
      <c r="Q10" s="135">
        <v>14</v>
      </c>
      <c r="R10" s="105" t="s">
        <v>87</v>
      </c>
      <c r="S10" s="135">
        <v>18</v>
      </c>
    </row>
    <row r="11" spans="1:19">
      <c r="A11" s="5">
        <v>2009</v>
      </c>
      <c r="B11" s="105" t="s">
        <v>87</v>
      </c>
      <c r="C11" s="135">
        <v>103</v>
      </c>
      <c r="D11" s="105" t="s">
        <v>87</v>
      </c>
      <c r="E11" s="135">
        <v>26</v>
      </c>
      <c r="F11" s="105" t="s">
        <v>87</v>
      </c>
      <c r="G11" s="135">
        <v>70</v>
      </c>
      <c r="H11" s="105" t="s">
        <v>87</v>
      </c>
      <c r="I11" s="135">
        <v>8</v>
      </c>
      <c r="J11" s="105" t="s">
        <v>87</v>
      </c>
      <c r="K11" s="135">
        <v>66</v>
      </c>
      <c r="L11" s="105" t="s">
        <v>87</v>
      </c>
      <c r="M11" s="135">
        <v>37</v>
      </c>
      <c r="N11" s="105" t="s">
        <v>87</v>
      </c>
      <c r="O11" s="135">
        <v>31</v>
      </c>
      <c r="P11" s="105" t="s">
        <v>87</v>
      </c>
      <c r="Q11" s="135">
        <v>14</v>
      </c>
      <c r="R11" s="105" t="s">
        <v>87</v>
      </c>
      <c r="S11" s="135">
        <v>18</v>
      </c>
    </row>
    <row r="12" spans="1:19">
      <c r="A12" s="5">
        <v>2010</v>
      </c>
      <c r="B12" s="105" t="s">
        <v>87</v>
      </c>
      <c r="C12" s="135">
        <v>100</v>
      </c>
      <c r="D12" s="105" t="s">
        <v>87</v>
      </c>
      <c r="E12" s="135">
        <v>21</v>
      </c>
      <c r="F12" s="105" t="s">
        <v>87</v>
      </c>
      <c r="G12" s="135">
        <v>70</v>
      </c>
      <c r="H12" s="105" t="s">
        <v>87</v>
      </c>
      <c r="I12" s="135">
        <v>8</v>
      </c>
      <c r="J12" s="105" t="s">
        <v>87</v>
      </c>
      <c r="K12" s="135">
        <v>67</v>
      </c>
      <c r="L12" s="105" t="s">
        <v>87</v>
      </c>
      <c r="M12" s="135">
        <v>33</v>
      </c>
      <c r="N12" s="105" t="s">
        <v>87</v>
      </c>
      <c r="O12" s="135">
        <v>27</v>
      </c>
      <c r="P12" s="105" t="s">
        <v>87</v>
      </c>
      <c r="Q12" s="135">
        <v>13</v>
      </c>
      <c r="R12" s="105" t="s">
        <v>87</v>
      </c>
      <c r="S12" s="135">
        <v>14</v>
      </c>
    </row>
    <row r="13" spans="1:19">
      <c r="A13" s="5">
        <v>2011</v>
      </c>
      <c r="B13" s="105" t="s">
        <v>87</v>
      </c>
      <c r="C13" s="135">
        <v>92</v>
      </c>
      <c r="D13" s="105" t="s">
        <v>87</v>
      </c>
      <c r="E13" s="135">
        <v>19</v>
      </c>
      <c r="F13" s="105" t="s">
        <v>87</v>
      </c>
      <c r="G13" s="135">
        <v>64</v>
      </c>
      <c r="H13" s="105" t="s">
        <v>87</v>
      </c>
      <c r="I13" s="135">
        <v>9</v>
      </c>
      <c r="J13" s="105" t="s">
        <v>87</v>
      </c>
      <c r="K13" s="135">
        <v>60</v>
      </c>
      <c r="L13" s="105" t="s">
        <v>87</v>
      </c>
      <c r="M13" s="135">
        <v>32</v>
      </c>
      <c r="N13" s="105" t="s">
        <v>87</v>
      </c>
      <c r="O13" s="135">
        <v>26</v>
      </c>
      <c r="P13" s="105" t="s">
        <v>87</v>
      </c>
      <c r="Q13" s="135">
        <v>11</v>
      </c>
      <c r="R13" s="105" t="s">
        <v>87</v>
      </c>
      <c r="S13" s="135">
        <v>16</v>
      </c>
    </row>
    <row r="14" spans="1:19">
      <c r="A14" s="5">
        <v>2012</v>
      </c>
      <c r="B14" s="105" t="s">
        <v>87</v>
      </c>
      <c r="C14" s="135">
        <v>104</v>
      </c>
      <c r="D14" s="105" t="s">
        <v>87</v>
      </c>
      <c r="E14" s="135">
        <v>24</v>
      </c>
      <c r="F14" s="105" t="s">
        <v>87</v>
      </c>
      <c r="G14" s="135">
        <v>69</v>
      </c>
      <c r="H14" s="105" t="s">
        <v>87</v>
      </c>
      <c r="I14" s="135">
        <v>12</v>
      </c>
      <c r="J14" s="105" t="s">
        <v>87</v>
      </c>
      <c r="K14" s="135">
        <v>67</v>
      </c>
      <c r="L14" s="105" t="s">
        <v>87</v>
      </c>
      <c r="M14" s="135">
        <v>38</v>
      </c>
      <c r="N14" s="105" t="s">
        <v>87</v>
      </c>
      <c r="O14" s="135">
        <v>29</v>
      </c>
      <c r="P14" s="105" t="s">
        <v>87</v>
      </c>
      <c r="Q14" s="135">
        <v>13</v>
      </c>
      <c r="R14" s="105" t="s">
        <v>87</v>
      </c>
      <c r="S14" s="135">
        <v>16</v>
      </c>
    </row>
    <row r="15" spans="1:19">
      <c r="A15" s="5">
        <v>2013</v>
      </c>
      <c r="B15" s="105" t="s">
        <v>87</v>
      </c>
      <c r="C15" s="135">
        <v>94</v>
      </c>
      <c r="D15" s="105" t="s">
        <v>87</v>
      </c>
      <c r="E15" s="135">
        <v>24</v>
      </c>
      <c r="F15" s="105" t="s">
        <v>87</v>
      </c>
      <c r="G15" s="135">
        <v>61</v>
      </c>
      <c r="H15" s="105" t="s">
        <v>87</v>
      </c>
      <c r="I15" s="135">
        <v>9</v>
      </c>
      <c r="J15" s="105" t="s">
        <v>87</v>
      </c>
      <c r="K15" s="135">
        <v>62</v>
      </c>
      <c r="L15" s="105" t="s">
        <v>87</v>
      </c>
      <c r="M15" s="135">
        <v>33</v>
      </c>
      <c r="N15" s="105" t="s">
        <v>87</v>
      </c>
      <c r="O15" s="135">
        <v>27</v>
      </c>
      <c r="P15" s="105" t="s">
        <v>87</v>
      </c>
      <c r="Q15" s="135">
        <v>13</v>
      </c>
      <c r="R15" s="105" t="s">
        <v>87</v>
      </c>
      <c r="S15" s="135">
        <v>14</v>
      </c>
    </row>
    <row r="16" spans="1:19">
      <c r="A16" s="5">
        <v>2014</v>
      </c>
      <c r="B16" s="105" t="s">
        <v>87</v>
      </c>
      <c r="C16" s="135">
        <v>90</v>
      </c>
      <c r="D16" s="105" t="s">
        <v>87</v>
      </c>
      <c r="E16" s="135">
        <v>23</v>
      </c>
      <c r="F16" s="105" t="s">
        <v>87</v>
      </c>
      <c r="G16" s="135">
        <v>58</v>
      </c>
      <c r="H16" s="105" t="s">
        <v>87</v>
      </c>
      <c r="I16" s="135">
        <v>8</v>
      </c>
      <c r="J16" s="105" t="s">
        <v>87</v>
      </c>
      <c r="K16" s="135">
        <v>62</v>
      </c>
      <c r="L16" s="105" t="s">
        <v>87</v>
      </c>
      <c r="M16" s="135">
        <v>27</v>
      </c>
      <c r="N16" s="105" t="s">
        <v>87</v>
      </c>
      <c r="O16" s="135">
        <v>21</v>
      </c>
      <c r="P16" s="105" t="s">
        <v>87</v>
      </c>
      <c r="Q16" s="135">
        <v>10</v>
      </c>
      <c r="R16" s="105" t="s">
        <v>87</v>
      </c>
      <c r="S16" s="135">
        <v>10</v>
      </c>
    </row>
    <row r="17" spans="1:19">
      <c r="A17" s="5">
        <v>2015</v>
      </c>
      <c r="B17" s="135">
        <v>117</v>
      </c>
      <c r="C17" s="135">
        <v>102</v>
      </c>
      <c r="D17" s="135">
        <v>26</v>
      </c>
      <c r="E17" s="135">
        <v>20</v>
      </c>
      <c r="F17" s="135">
        <v>76</v>
      </c>
      <c r="G17" s="135">
        <v>70</v>
      </c>
      <c r="H17" s="135">
        <v>15</v>
      </c>
      <c r="I17" s="135">
        <v>12</v>
      </c>
      <c r="J17" s="135">
        <v>76</v>
      </c>
      <c r="K17" s="135">
        <v>65</v>
      </c>
      <c r="L17" s="135">
        <v>41</v>
      </c>
      <c r="M17" s="135">
        <v>38</v>
      </c>
      <c r="N17" s="135">
        <v>33</v>
      </c>
      <c r="O17" s="135">
        <v>31</v>
      </c>
      <c r="P17" s="135">
        <v>18</v>
      </c>
      <c r="Q17" s="135">
        <v>17</v>
      </c>
      <c r="R17" s="135">
        <v>15</v>
      </c>
      <c r="S17" s="135">
        <v>14</v>
      </c>
    </row>
    <row r="18" spans="1:19">
      <c r="A18" s="5">
        <v>2016</v>
      </c>
      <c r="B18" s="135">
        <v>99</v>
      </c>
      <c r="C18" s="135">
        <v>86</v>
      </c>
      <c r="D18" s="135">
        <v>22</v>
      </c>
      <c r="E18" s="135">
        <v>19</v>
      </c>
      <c r="F18" s="135">
        <v>64</v>
      </c>
      <c r="G18" s="135">
        <v>56</v>
      </c>
      <c r="H18" s="135">
        <v>14</v>
      </c>
      <c r="I18" s="135">
        <v>11</v>
      </c>
      <c r="J18" s="135">
        <v>59</v>
      </c>
      <c r="K18" s="135">
        <v>49</v>
      </c>
      <c r="L18" s="135">
        <v>40</v>
      </c>
      <c r="M18" s="135">
        <v>37</v>
      </c>
      <c r="N18" s="135">
        <v>30</v>
      </c>
      <c r="O18" s="135">
        <v>29</v>
      </c>
      <c r="P18" s="135">
        <v>16</v>
      </c>
      <c r="Q18" s="135">
        <v>15</v>
      </c>
      <c r="R18" s="135">
        <v>15</v>
      </c>
      <c r="S18" s="135">
        <v>14</v>
      </c>
    </row>
    <row r="19" spans="1:19">
      <c r="A19" s="5">
        <v>2017</v>
      </c>
      <c r="B19" s="135">
        <v>89</v>
      </c>
      <c r="C19" s="135">
        <v>71</v>
      </c>
      <c r="D19" s="135">
        <v>20</v>
      </c>
      <c r="E19" s="135">
        <v>17</v>
      </c>
      <c r="F19" s="135">
        <v>60</v>
      </c>
      <c r="G19" s="135">
        <v>49</v>
      </c>
      <c r="H19" s="135">
        <v>9</v>
      </c>
      <c r="I19" s="135">
        <v>5</v>
      </c>
      <c r="J19" s="135">
        <v>57</v>
      </c>
      <c r="K19" s="135">
        <v>47</v>
      </c>
      <c r="L19" s="135">
        <v>32</v>
      </c>
      <c r="M19" s="135">
        <v>25</v>
      </c>
      <c r="N19" s="135">
        <v>26</v>
      </c>
      <c r="O19" s="135">
        <v>22</v>
      </c>
      <c r="P19" s="135">
        <v>13</v>
      </c>
      <c r="Q19" s="135">
        <v>12</v>
      </c>
      <c r="R19" s="135">
        <v>13</v>
      </c>
      <c r="S19" s="135">
        <v>10</v>
      </c>
    </row>
    <row r="20" spans="1:19">
      <c r="A20" s="5">
        <v>2018</v>
      </c>
      <c r="B20" s="135">
        <v>74</v>
      </c>
      <c r="C20" s="135">
        <v>58</v>
      </c>
      <c r="D20" s="135">
        <v>15</v>
      </c>
      <c r="E20" s="135">
        <v>10</v>
      </c>
      <c r="F20" s="135">
        <v>50</v>
      </c>
      <c r="G20" s="135">
        <v>43</v>
      </c>
      <c r="H20" s="135">
        <v>8</v>
      </c>
      <c r="I20" s="135">
        <v>4</v>
      </c>
      <c r="J20" s="135">
        <v>40</v>
      </c>
      <c r="K20" s="135">
        <v>29</v>
      </c>
      <c r="L20" s="135">
        <v>34</v>
      </c>
      <c r="M20" s="135">
        <v>28</v>
      </c>
      <c r="N20" s="135">
        <v>28</v>
      </c>
      <c r="O20" s="135">
        <v>25</v>
      </c>
      <c r="P20" s="135">
        <v>16</v>
      </c>
      <c r="Q20" s="135">
        <v>14</v>
      </c>
      <c r="R20" s="135">
        <v>12</v>
      </c>
      <c r="S20" s="135">
        <v>11</v>
      </c>
    </row>
    <row r="21" spans="1:19">
      <c r="A21" s="5">
        <v>2019</v>
      </c>
      <c r="B21" s="135">
        <v>70</v>
      </c>
      <c r="C21" s="135">
        <v>58</v>
      </c>
      <c r="D21" s="135">
        <v>17</v>
      </c>
      <c r="E21" s="135">
        <v>14</v>
      </c>
      <c r="F21" s="135">
        <v>45</v>
      </c>
      <c r="G21" s="135">
        <v>39</v>
      </c>
      <c r="H21" s="135">
        <v>9</v>
      </c>
      <c r="I21" s="135">
        <v>6</v>
      </c>
      <c r="J21" s="135">
        <v>41</v>
      </c>
      <c r="K21" s="135">
        <v>36</v>
      </c>
      <c r="L21" s="135">
        <v>29</v>
      </c>
      <c r="M21" s="135">
        <v>23</v>
      </c>
      <c r="N21" s="135">
        <v>21</v>
      </c>
      <c r="O21" s="135">
        <v>18</v>
      </c>
      <c r="P21" s="135">
        <v>11</v>
      </c>
      <c r="Q21" s="135">
        <v>9</v>
      </c>
      <c r="R21" s="135">
        <v>11</v>
      </c>
      <c r="S21" s="135">
        <v>10</v>
      </c>
    </row>
    <row r="24" spans="1:19">
      <c r="A24" s="5" t="s">
        <v>392</v>
      </c>
    </row>
    <row r="27" spans="1:19" ht="31" customHeight="1">
      <c r="B27" s="328" t="s">
        <v>45</v>
      </c>
      <c r="C27" s="328"/>
      <c r="D27" s="328" t="s">
        <v>362</v>
      </c>
      <c r="E27" s="328"/>
      <c r="F27" s="328" t="s">
        <v>361</v>
      </c>
      <c r="G27" s="328"/>
      <c r="H27" s="328" t="s">
        <v>363</v>
      </c>
      <c r="I27" s="328"/>
      <c r="J27" s="357" t="s">
        <v>386</v>
      </c>
      <c r="K27" s="357"/>
      <c r="L27" s="357" t="s">
        <v>78</v>
      </c>
      <c r="M27" s="357"/>
      <c r="N27" s="357" t="s">
        <v>389</v>
      </c>
      <c r="O27" s="357"/>
      <c r="P27" s="357" t="s">
        <v>390</v>
      </c>
      <c r="Q27" s="357"/>
      <c r="R27" s="357" t="s">
        <v>391</v>
      </c>
      <c r="S27" s="357"/>
    </row>
    <row r="28" spans="1:19">
      <c r="B28" s="135" t="s">
        <v>383</v>
      </c>
      <c r="C28" s="135" t="s">
        <v>384</v>
      </c>
      <c r="D28" s="135" t="s">
        <v>383</v>
      </c>
      <c r="E28" s="135" t="s">
        <v>384</v>
      </c>
      <c r="F28" s="135" t="s">
        <v>383</v>
      </c>
      <c r="G28" s="135" t="s">
        <v>384</v>
      </c>
      <c r="H28" s="135" t="s">
        <v>383</v>
      </c>
      <c r="I28" s="135" t="s">
        <v>384</v>
      </c>
      <c r="J28" s="135" t="s">
        <v>383</v>
      </c>
      <c r="K28" s="135" t="s">
        <v>384</v>
      </c>
      <c r="L28" s="135" t="s">
        <v>383</v>
      </c>
      <c r="M28" s="135" t="s">
        <v>384</v>
      </c>
      <c r="N28" s="135" t="s">
        <v>383</v>
      </c>
      <c r="O28" s="135" t="s">
        <v>384</v>
      </c>
      <c r="P28" s="135" t="s">
        <v>383</v>
      </c>
      <c r="Q28" s="135" t="s">
        <v>384</v>
      </c>
      <c r="R28" s="135" t="s">
        <v>383</v>
      </c>
      <c r="S28" s="135" t="s">
        <v>384</v>
      </c>
    </row>
    <row r="29" spans="1:19">
      <c r="A29" s="6">
        <v>2006</v>
      </c>
      <c r="B29" s="54" t="s">
        <v>87</v>
      </c>
      <c r="C29" s="8">
        <v>28.7</v>
      </c>
      <c r="D29" s="54" t="s">
        <v>87</v>
      </c>
      <c r="E29" s="8">
        <v>23.5</v>
      </c>
      <c r="F29" s="54" t="s">
        <v>87</v>
      </c>
      <c r="G29" s="8">
        <v>32.5</v>
      </c>
      <c r="H29" s="54" t="s">
        <v>87</v>
      </c>
      <c r="I29" s="8">
        <v>15.5</v>
      </c>
      <c r="J29" s="54" t="s">
        <v>87</v>
      </c>
      <c r="K29" s="8">
        <v>24</v>
      </c>
      <c r="L29" s="54" t="s">
        <v>87</v>
      </c>
      <c r="M29" s="8">
        <v>40.1</v>
      </c>
      <c r="N29" s="54" t="s">
        <v>87</v>
      </c>
      <c r="O29" s="8">
        <v>46.1</v>
      </c>
      <c r="P29" s="54" t="s">
        <v>87</v>
      </c>
      <c r="Q29" s="8">
        <v>46.7</v>
      </c>
      <c r="R29" s="54" t="s">
        <v>87</v>
      </c>
      <c r="S29" s="8">
        <v>45.5</v>
      </c>
    </row>
    <row r="30" spans="1:19">
      <c r="A30" s="6">
        <v>2007</v>
      </c>
      <c r="B30" s="54" t="s">
        <v>87</v>
      </c>
      <c r="C30" s="8">
        <v>28.2</v>
      </c>
      <c r="D30" s="54" t="s">
        <v>87</v>
      </c>
      <c r="E30" s="8">
        <v>23.3</v>
      </c>
      <c r="F30" s="54" t="s">
        <v>87</v>
      </c>
      <c r="G30" s="8">
        <v>31.9</v>
      </c>
      <c r="H30" s="54" t="s">
        <v>87</v>
      </c>
      <c r="I30" s="8">
        <v>12.3</v>
      </c>
      <c r="J30" s="54" t="s">
        <v>87</v>
      </c>
      <c r="K30" s="8">
        <v>25.7</v>
      </c>
      <c r="L30" s="54" t="s">
        <v>87</v>
      </c>
      <c r="M30" s="8">
        <v>34.5</v>
      </c>
      <c r="N30" s="54" t="s">
        <v>87</v>
      </c>
      <c r="O30" s="8">
        <v>40.1</v>
      </c>
      <c r="P30" s="54" t="s">
        <v>87</v>
      </c>
      <c r="Q30" s="8">
        <v>41.8</v>
      </c>
      <c r="R30" s="54" t="s">
        <v>87</v>
      </c>
      <c r="S30" s="8">
        <v>38.4</v>
      </c>
    </row>
    <row r="31" spans="1:19">
      <c r="A31" s="6">
        <v>2008</v>
      </c>
      <c r="B31" s="54" t="s">
        <v>87</v>
      </c>
      <c r="C31" s="8">
        <v>31.1</v>
      </c>
      <c r="D31" s="54" t="s">
        <v>87</v>
      </c>
      <c r="E31" s="8">
        <v>21.9</v>
      </c>
      <c r="F31" s="54" t="s">
        <v>87</v>
      </c>
      <c r="G31" s="8">
        <v>36.299999999999997</v>
      </c>
      <c r="H31" s="54" t="s">
        <v>87</v>
      </c>
      <c r="I31" s="8">
        <v>12.8</v>
      </c>
      <c r="J31" s="54" t="s">
        <v>87</v>
      </c>
      <c r="K31" s="8">
        <v>25.6</v>
      </c>
      <c r="L31" s="54" t="s">
        <v>87</v>
      </c>
      <c r="M31" s="8">
        <v>41.4</v>
      </c>
      <c r="N31" s="54" t="s">
        <v>87</v>
      </c>
      <c r="O31" s="8">
        <v>45.4</v>
      </c>
      <c r="P31" s="54" t="s">
        <v>87</v>
      </c>
      <c r="Q31" s="8">
        <v>52.7</v>
      </c>
      <c r="R31" s="54" t="s">
        <v>87</v>
      </c>
      <c r="S31" s="8">
        <v>39.799999999999997</v>
      </c>
    </row>
    <row r="32" spans="1:19">
      <c r="A32" s="6">
        <v>2009</v>
      </c>
      <c r="B32" s="54" t="s">
        <v>87</v>
      </c>
      <c r="C32" s="8">
        <v>31.1</v>
      </c>
      <c r="D32" s="54" t="s">
        <v>87</v>
      </c>
      <c r="E32" s="8">
        <v>23.7</v>
      </c>
      <c r="F32" s="54" t="s">
        <v>87</v>
      </c>
      <c r="G32" s="8">
        <v>36.1</v>
      </c>
      <c r="H32" s="54" t="s">
        <v>87</v>
      </c>
      <c r="I32" s="8">
        <v>11</v>
      </c>
      <c r="J32" s="54" t="s">
        <v>87</v>
      </c>
      <c r="K32" s="8">
        <v>26.3</v>
      </c>
      <c r="L32" s="54" t="s">
        <v>87</v>
      </c>
      <c r="M32" s="8">
        <v>39.6</v>
      </c>
      <c r="N32" s="54" t="s">
        <v>87</v>
      </c>
      <c r="O32" s="8">
        <v>45.4</v>
      </c>
      <c r="P32" s="54" t="s">
        <v>87</v>
      </c>
      <c r="Q32" s="8">
        <v>46.5</v>
      </c>
      <c r="R32" s="54" t="s">
        <v>87</v>
      </c>
      <c r="S32" s="8">
        <v>44.4</v>
      </c>
    </row>
    <row r="33" spans="1:19">
      <c r="A33" s="6">
        <v>2010</v>
      </c>
      <c r="B33" s="54" t="s">
        <v>87</v>
      </c>
      <c r="C33" s="8">
        <v>29.3</v>
      </c>
      <c r="D33" s="54" t="s">
        <v>87</v>
      </c>
      <c r="E33" s="8">
        <v>19.3</v>
      </c>
      <c r="F33" s="54" t="s">
        <v>87</v>
      </c>
      <c r="G33" s="8">
        <v>33.9</v>
      </c>
      <c r="H33" s="54" t="s">
        <v>87</v>
      </c>
      <c r="I33" s="8">
        <v>17.100000000000001</v>
      </c>
      <c r="J33" s="54" t="s">
        <v>87</v>
      </c>
      <c r="K33" s="8">
        <v>24.5</v>
      </c>
      <c r="L33" s="54" t="s">
        <v>87</v>
      </c>
      <c r="M33" s="8">
        <v>39.299999999999997</v>
      </c>
      <c r="N33" s="54" t="s">
        <v>87</v>
      </c>
      <c r="O33" s="8">
        <v>45.4</v>
      </c>
      <c r="P33" s="54" t="s">
        <v>87</v>
      </c>
      <c r="Q33" s="8">
        <v>45.1</v>
      </c>
      <c r="R33" s="54" t="s">
        <v>87</v>
      </c>
      <c r="S33" s="8">
        <v>45.7</v>
      </c>
    </row>
    <row r="34" spans="1:19">
      <c r="A34" s="6">
        <v>2011</v>
      </c>
      <c r="B34" s="54" t="s">
        <v>87</v>
      </c>
      <c r="C34" s="8">
        <v>31.6</v>
      </c>
      <c r="D34" s="54" t="s">
        <v>87</v>
      </c>
      <c r="E34" s="8">
        <v>27.7</v>
      </c>
      <c r="F34" s="54" t="s">
        <v>87</v>
      </c>
      <c r="G34" s="8">
        <v>34.6</v>
      </c>
      <c r="H34" s="54" t="s">
        <v>87</v>
      </c>
      <c r="I34" s="8">
        <v>18.3</v>
      </c>
      <c r="J34" s="54" t="s">
        <v>87</v>
      </c>
      <c r="K34" s="8">
        <v>28.1</v>
      </c>
      <c r="L34" s="54" t="s">
        <v>87</v>
      </c>
      <c r="M34" s="8">
        <v>37.799999999999997</v>
      </c>
      <c r="N34" s="54" t="s">
        <v>87</v>
      </c>
      <c r="O34" s="8">
        <v>43.3</v>
      </c>
      <c r="P34" s="54" t="s">
        <v>87</v>
      </c>
      <c r="Q34" s="8">
        <v>44.6</v>
      </c>
      <c r="R34" s="54" t="s">
        <v>87</v>
      </c>
      <c r="S34" s="8">
        <v>42.4</v>
      </c>
    </row>
    <row r="35" spans="1:19">
      <c r="A35" s="6">
        <v>2012</v>
      </c>
      <c r="B35" s="54" t="s">
        <v>87</v>
      </c>
      <c r="C35" s="8">
        <v>31.9</v>
      </c>
      <c r="D35" s="54" t="s">
        <v>87</v>
      </c>
      <c r="E35" s="8">
        <v>23.9</v>
      </c>
      <c r="F35" s="54" t="s">
        <v>87</v>
      </c>
      <c r="G35" s="8">
        <v>36.9</v>
      </c>
      <c r="H35" s="54" t="s">
        <v>87</v>
      </c>
      <c r="I35" s="8">
        <v>18.600000000000001</v>
      </c>
      <c r="J35" s="54" t="s">
        <v>87</v>
      </c>
      <c r="K35" s="8">
        <v>25.8</v>
      </c>
      <c r="L35" s="54" t="s">
        <v>87</v>
      </c>
      <c r="M35" s="8">
        <v>42.8</v>
      </c>
      <c r="N35" s="54" t="s">
        <v>87</v>
      </c>
      <c r="O35" s="8">
        <v>52.3</v>
      </c>
      <c r="P35" s="54" t="s">
        <v>87</v>
      </c>
      <c r="Q35" s="8">
        <v>58.1</v>
      </c>
      <c r="R35" s="54" t="s">
        <v>87</v>
      </c>
      <c r="S35" s="8">
        <v>47.5</v>
      </c>
    </row>
    <row r="36" spans="1:19">
      <c r="A36" s="6">
        <v>2013</v>
      </c>
      <c r="B36" s="54" t="s">
        <v>87</v>
      </c>
      <c r="C36" s="8">
        <v>32.200000000000003</v>
      </c>
      <c r="D36" s="54" t="s">
        <v>87</v>
      </c>
      <c r="E36" s="8">
        <v>26.9</v>
      </c>
      <c r="F36" s="54" t="s">
        <v>87</v>
      </c>
      <c r="G36" s="8">
        <v>37.200000000000003</v>
      </c>
      <c r="H36" s="54" t="s">
        <v>87</v>
      </c>
      <c r="I36" s="8">
        <v>12.3</v>
      </c>
      <c r="J36" s="54" t="s">
        <v>87</v>
      </c>
      <c r="K36" s="8">
        <v>28.7</v>
      </c>
      <c r="L36" s="54" t="s">
        <v>87</v>
      </c>
      <c r="M36" s="8">
        <v>38.799999999999997</v>
      </c>
      <c r="N36" s="54" t="s">
        <v>87</v>
      </c>
      <c r="O36" s="8">
        <v>44.5</v>
      </c>
      <c r="P36" s="54" t="s">
        <v>87</v>
      </c>
      <c r="Q36" s="8">
        <v>47.7</v>
      </c>
      <c r="R36" s="54" t="s">
        <v>87</v>
      </c>
      <c r="S36" s="8">
        <v>41.3</v>
      </c>
    </row>
    <row r="37" spans="1:19">
      <c r="A37" s="6">
        <v>2014</v>
      </c>
      <c r="B37" s="54" t="s">
        <v>87</v>
      </c>
      <c r="C37" s="8">
        <v>32.4</v>
      </c>
      <c r="D37" s="54" t="s">
        <v>87</v>
      </c>
      <c r="E37" s="8">
        <v>26.3</v>
      </c>
      <c r="F37" s="54" t="s">
        <v>87</v>
      </c>
      <c r="G37" s="8">
        <v>37.9</v>
      </c>
      <c r="H37" s="54" t="s">
        <v>87</v>
      </c>
      <c r="I37" s="8">
        <v>10.199999999999999</v>
      </c>
      <c r="J37" s="54" t="s">
        <v>87</v>
      </c>
      <c r="K37" s="8">
        <v>29.4</v>
      </c>
      <c r="L37" s="54" t="s">
        <v>87</v>
      </c>
      <c r="M37" s="8">
        <v>39.200000000000003</v>
      </c>
      <c r="N37" s="54" t="s">
        <v>87</v>
      </c>
      <c r="O37" s="8">
        <v>48.7</v>
      </c>
      <c r="P37" s="54" t="s">
        <v>87</v>
      </c>
      <c r="Q37" s="8">
        <v>48.3</v>
      </c>
      <c r="R37" s="54" t="s">
        <v>87</v>
      </c>
      <c r="S37" s="8">
        <v>49.2</v>
      </c>
    </row>
    <row r="38" spans="1:19">
      <c r="A38" s="6">
        <v>2015</v>
      </c>
      <c r="B38" s="8">
        <v>30.5</v>
      </c>
      <c r="C38" s="8">
        <v>32.4</v>
      </c>
      <c r="D38" s="8">
        <v>20.100000000000001</v>
      </c>
      <c r="E38" s="8">
        <v>23.5</v>
      </c>
      <c r="F38" s="8">
        <v>37.299999999999997</v>
      </c>
      <c r="G38" s="8">
        <v>38.200000000000003</v>
      </c>
      <c r="H38" s="8">
        <v>13.9</v>
      </c>
      <c r="I38" s="8">
        <v>14.3</v>
      </c>
      <c r="J38" s="8">
        <v>24.4</v>
      </c>
      <c r="K38" s="8">
        <v>25.9</v>
      </c>
      <c r="L38" s="8">
        <v>41.5</v>
      </c>
      <c r="M38" s="8">
        <v>43.7</v>
      </c>
      <c r="N38" s="8">
        <v>49</v>
      </c>
      <c r="O38" s="8">
        <v>50.2</v>
      </c>
      <c r="P38" s="8">
        <v>55</v>
      </c>
      <c r="Q38" s="8">
        <v>56.3</v>
      </c>
      <c r="R38" s="8">
        <v>41.8</v>
      </c>
      <c r="S38" s="8">
        <v>42.9</v>
      </c>
    </row>
    <row r="39" spans="1:19">
      <c r="A39" s="6">
        <v>2016</v>
      </c>
      <c r="B39" s="8">
        <v>26.6</v>
      </c>
      <c r="C39" s="8">
        <v>28.1</v>
      </c>
      <c r="D39" s="8">
        <v>20.8</v>
      </c>
      <c r="E39" s="8">
        <v>21.2</v>
      </c>
      <c r="F39" s="8">
        <v>31</v>
      </c>
      <c r="G39" s="8">
        <v>32.799999999999997</v>
      </c>
      <c r="H39" s="8">
        <v>15</v>
      </c>
      <c r="I39" s="8">
        <v>15.8</v>
      </c>
      <c r="J39" s="8">
        <v>19.899999999999999</v>
      </c>
      <c r="K39" s="8">
        <v>21.3</v>
      </c>
      <c r="L39" s="8">
        <v>36.4</v>
      </c>
      <c r="M39" s="8">
        <v>37</v>
      </c>
      <c r="N39" s="8">
        <v>42.9</v>
      </c>
      <c r="O39" s="8">
        <v>42.6</v>
      </c>
      <c r="P39" s="8">
        <v>43.5</v>
      </c>
      <c r="Q39" s="8">
        <v>43.7</v>
      </c>
      <c r="R39" s="8">
        <v>42.3</v>
      </c>
      <c r="S39" s="8">
        <v>41.5</v>
      </c>
    </row>
    <row r="40" spans="1:19">
      <c r="A40" s="6">
        <v>2017</v>
      </c>
      <c r="B40" s="8">
        <v>30.3</v>
      </c>
      <c r="C40" s="8">
        <v>33.5</v>
      </c>
      <c r="D40" s="8">
        <v>24.8</v>
      </c>
      <c r="E40" s="8">
        <v>24.1</v>
      </c>
      <c r="F40" s="8">
        <v>35.1</v>
      </c>
      <c r="G40" s="8">
        <v>38.6</v>
      </c>
      <c r="H40" s="8">
        <v>11.9</v>
      </c>
      <c r="I40" s="8">
        <v>16.7</v>
      </c>
      <c r="J40" s="8">
        <v>26.2</v>
      </c>
      <c r="K40" s="8">
        <v>26.8</v>
      </c>
      <c r="L40" s="8">
        <v>37.700000000000003</v>
      </c>
      <c r="M40" s="8">
        <v>46</v>
      </c>
      <c r="N40" s="8">
        <v>43.8</v>
      </c>
      <c r="O40" s="8">
        <v>49.2</v>
      </c>
      <c r="P40" s="8">
        <v>47.4</v>
      </c>
      <c r="Q40" s="8">
        <v>51.1</v>
      </c>
      <c r="R40" s="8">
        <v>40.1</v>
      </c>
      <c r="S40" s="8">
        <v>47</v>
      </c>
    </row>
    <row r="41" spans="1:19">
      <c r="A41" s="6">
        <v>2018</v>
      </c>
      <c r="B41" s="8">
        <v>32</v>
      </c>
      <c r="C41" s="8">
        <v>35.6</v>
      </c>
      <c r="D41" s="8">
        <v>22</v>
      </c>
      <c r="E41" s="8">
        <v>25</v>
      </c>
      <c r="F41" s="8">
        <v>38</v>
      </c>
      <c r="G41" s="8">
        <v>39.700000000000003</v>
      </c>
      <c r="H41" s="8">
        <v>13.5</v>
      </c>
      <c r="I41" s="8">
        <v>18.600000000000001</v>
      </c>
      <c r="J41" s="8">
        <v>25.1</v>
      </c>
      <c r="K41" s="8">
        <v>28.1</v>
      </c>
      <c r="L41" s="8">
        <v>40.200000000000003</v>
      </c>
      <c r="M41" s="8">
        <v>43.2</v>
      </c>
      <c r="N41" s="8">
        <v>45.7</v>
      </c>
      <c r="O41" s="8">
        <v>46.2</v>
      </c>
      <c r="P41" s="8">
        <v>46.4</v>
      </c>
      <c r="Q41" s="8">
        <v>46.5</v>
      </c>
      <c r="R41" s="8">
        <v>44.8</v>
      </c>
      <c r="S41" s="8">
        <v>46</v>
      </c>
    </row>
    <row r="42" spans="1:19">
      <c r="A42" s="6">
        <v>2019</v>
      </c>
      <c r="B42" s="8">
        <v>31.6</v>
      </c>
      <c r="C42" s="8">
        <v>35.799999999999997</v>
      </c>
      <c r="D42" s="8">
        <v>30.7</v>
      </c>
      <c r="E42" s="8">
        <v>33</v>
      </c>
      <c r="F42" s="8">
        <v>35.799999999999997</v>
      </c>
      <c r="G42" s="8">
        <v>39.700000000000003</v>
      </c>
      <c r="H42" s="8">
        <v>12.3</v>
      </c>
      <c r="I42" s="8">
        <v>15.9</v>
      </c>
      <c r="J42" s="8">
        <v>31.5</v>
      </c>
      <c r="K42" s="8">
        <v>33.5</v>
      </c>
      <c r="L42" s="8">
        <v>31.8</v>
      </c>
      <c r="M42" s="8">
        <v>39.5</v>
      </c>
      <c r="N42" s="8">
        <v>39.4</v>
      </c>
      <c r="O42" s="8">
        <v>45.8</v>
      </c>
      <c r="P42" s="8">
        <v>35.799999999999997</v>
      </c>
      <c r="Q42" s="8">
        <v>45.2</v>
      </c>
      <c r="R42" s="8">
        <v>42.9</v>
      </c>
      <c r="S42" s="8">
        <v>46.4</v>
      </c>
    </row>
    <row r="43" spans="1:19">
      <c r="A43" s="6"/>
    </row>
    <row r="44" spans="1:19">
      <c r="A44" s="5" t="s">
        <v>372</v>
      </c>
      <c r="B44" s="54" t="s">
        <v>87</v>
      </c>
      <c r="C44" s="8">
        <f>100*(C42-C29)/C29</f>
        <v>24.738675958188146</v>
      </c>
      <c r="D44" s="8" t="s">
        <v>87</v>
      </c>
      <c r="E44" s="8">
        <f t="shared" ref="E44" si="0">100*(E42-E29)/E29</f>
        <v>40.425531914893618</v>
      </c>
      <c r="F44" s="8" t="s">
        <v>87</v>
      </c>
      <c r="G44" s="8">
        <f t="shared" ref="G44" si="1">100*(G42-G29)/G29</f>
        <v>22.15384615384616</v>
      </c>
      <c r="H44" s="8" t="s">
        <v>87</v>
      </c>
      <c r="I44" s="8">
        <f t="shared" ref="I44" si="2">100*(I42-I29)/I29</f>
        <v>2.5806451612903247</v>
      </c>
      <c r="J44" s="8" t="s">
        <v>87</v>
      </c>
      <c r="K44" s="8">
        <f t="shared" ref="K44" si="3">100*(K42-K29)/K29</f>
        <v>39.583333333333336</v>
      </c>
      <c r="L44" s="8" t="s">
        <v>87</v>
      </c>
      <c r="M44" s="8">
        <f t="shared" ref="M44" si="4">100*(M42-M29)/M29</f>
        <v>-1.496259351620951</v>
      </c>
      <c r="N44" s="8" t="s">
        <v>87</v>
      </c>
      <c r="O44" s="8">
        <f t="shared" ref="O44" si="5">100*(O42-O29)/O29</f>
        <v>-0.65075921908894629</v>
      </c>
      <c r="P44" s="8" t="s">
        <v>87</v>
      </c>
      <c r="Q44" s="8">
        <f t="shared" ref="Q44" si="6">100*(Q42-Q29)/Q29</f>
        <v>-3.2119914346895073</v>
      </c>
      <c r="R44" s="8" t="s">
        <v>87</v>
      </c>
      <c r="S44" s="8">
        <f t="shared" ref="S44" si="7">100*(S42-S29)/S29</f>
        <v>1.978021978021975</v>
      </c>
    </row>
    <row r="45" spans="1:19">
      <c r="A45" s="5" t="s">
        <v>371</v>
      </c>
      <c r="B45" s="8">
        <f>100*(B42-B38)/B38</f>
        <v>3.6065573770491848</v>
      </c>
      <c r="C45" s="8">
        <f>100*(C42-C38)/C38</f>
        <v>10.493827160493824</v>
      </c>
      <c r="D45" s="8">
        <f t="shared" ref="D45:S45" si="8">100*(D42-D38)/D38</f>
        <v>52.736318407960184</v>
      </c>
      <c r="E45" s="8">
        <f t="shared" si="8"/>
        <v>40.425531914893618</v>
      </c>
      <c r="F45" s="8">
        <f t="shared" si="8"/>
        <v>-4.0214477211796247</v>
      </c>
      <c r="G45" s="8">
        <f t="shared" si="8"/>
        <v>3.9267015706806281</v>
      </c>
      <c r="H45" s="8">
        <f t="shared" si="8"/>
        <v>-11.510791366906473</v>
      </c>
      <c r="I45" s="8">
        <f t="shared" si="8"/>
        <v>11.188811188811187</v>
      </c>
      <c r="J45" s="8">
        <f t="shared" si="8"/>
        <v>29.098360655737711</v>
      </c>
      <c r="K45" s="8">
        <f t="shared" si="8"/>
        <v>29.343629343629349</v>
      </c>
      <c r="L45" s="8">
        <f t="shared" si="8"/>
        <v>-23.37349397590361</v>
      </c>
      <c r="M45" s="8">
        <f t="shared" si="8"/>
        <v>-9.6109839816933693</v>
      </c>
      <c r="N45" s="8">
        <f t="shared" si="8"/>
        <v>-19.591836734693882</v>
      </c>
      <c r="O45" s="8">
        <f t="shared" si="8"/>
        <v>-8.7649402390438347</v>
      </c>
      <c r="P45" s="8">
        <f t="shared" si="8"/>
        <v>-34.909090909090914</v>
      </c>
      <c r="Q45" s="8">
        <f t="shared" si="8"/>
        <v>-19.715808170515089</v>
      </c>
      <c r="R45" s="8">
        <f t="shared" si="8"/>
        <v>2.6315789473684248</v>
      </c>
      <c r="S45" s="8">
        <f t="shared" si="8"/>
        <v>8.1585081585081589</v>
      </c>
    </row>
    <row r="46" spans="1:19">
      <c r="A46" s="5" t="s">
        <v>374</v>
      </c>
      <c r="B46" s="54" t="s">
        <v>87</v>
      </c>
      <c r="C46" s="8">
        <f>C42-C29</f>
        <v>7.0999999999999979</v>
      </c>
      <c r="D46" s="8" t="s">
        <v>87</v>
      </c>
      <c r="E46" s="8">
        <f t="shared" ref="E46" si="9">E42-E29</f>
        <v>9.5</v>
      </c>
      <c r="F46" s="8" t="s">
        <v>87</v>
      </c>
      <c r="G46" s="8">
        <f t="shared" ref="G46" si="10">G42-G29</f>
        <v>7.2000000000000028</v>
      </c>
      <c r="H46" s="8" t="s">
        <v>87</v>
      </c>
      <c r="I46" s="8">
        <f t="shared" ref="I46" si="11">I42-I29</f>
        <v>0.40000000000000036</v>
      </c>
      <c r="J46" s="8" t="s">
        <v>87</v>
      </c>
      <c r="K46" s="8">
        <f t="shared" ref="K46" si="12">K42-K29</f>
        <v>9.5</v>
      </c>
      <c r="L46" s="8" t="s">
        <v>87</v>
      </c>
      <c r="M46" s="8">
        <f t="shared" ref="M46" si="13">M42-M29</f>
        <v>-0.60000000000000142</v>
      </c>
      <c r="N46" s="8" t="s">
        <v>87</v>
      </c>
      <c r="O46" s="8">
        <f t="shared" ref="O46" si="14">O42-O29</f>
        <v>-0.30000000000000426</v>
      </c>
      <c r="P46" s="8" t="s">
        <v>87</v>
      </c>
      <c r="Q46" s="8">
        <f t="shared" ref="Q46" si="15">Q42-Q29</f>
        <v>-1.5</v>
      </c>
      <c r="R46" s="8" t="s">
        <v>87</v>
      </c>
      <c r="S46" s="8">
        <f t="shared" ref="S46" si="16">S42-S29</f>
        <v>0.89999999999999858</v>
      </c>
    </row>
    <row r="47" spans="1:19">
      <c r="A47" s="5" t="s">
        <v>373</v>
      </c>
      <c r="B47" s="8">
        <f>B42-B38</f>
        <v>1.1000000000000014</v>
      </c>
      <c r="C47" s="8">
        <f>C42-C38</f>
        <v>3.3999999999999986</v>
      </c>
      <c r="D47" s="8">
        <f t="shared" ref="D47:S47" si="17">D42-D38</f>
        <v>10.599999999999998</v>
      </c>
      <c r="E47" s="8">
        <f t="shared" si="17"/>
        <v>9.5</v>
      </c>
      <c r="F47" s="8">
        <f t="shared" si="17"/>
        <v>-1.5</v>
      </c>
      <c r="G47" s="8">
        <f t="shared" si="17"/>
        <v>1.5</v>
      </c>
      <c r="H47" s="8">
        <f t="shared" si="17"/>
        <v>-1.5999999999999996</v>
      </c>
      <c r="I47" s="8">
        <f t="shared" si="17"/>
        <v>1.5999999999999996</v>
      </c>
      <c r="J47" s="8">
        <f t="shared" si="17"/>
        <v>7.1000000000000014</v>
      </c>
      <c r="K47" s="8">
        <f t="shared" si="17"/>
        <v>7.6000000000000014</v>
      </c>
      <c r="L47" s="8">
        <f t="shared" si="17"/>
        <v>-9.6999999999999993</v>
      </c>
      <c r="M47" s="8">
        <f t="shared" si="17"/>
        <v>-4.2000000000000028</v>
      </c>
      <c r="N47" s="8">
        <f t="shared" si="17"/>
        <v>-9.6000000000000014</v>
      </c>
      <c r="O47" s="8">
        <f t="shared" si="17"/>
        <v>-4.4000000000000057</v>
      </c>
      <c r="P47" s="8">
        <f t="shared" si="17"/>
        <v>-19.200000000000003</v>
      </c>
      <c r="Q47" s="8">
        <f t="shared" si="17"/>
        <v>-11.099999999999994</v>
      </c>
      <c r="R47" s="8">
        <f t="shared" si="17"/>
        <v>1.1000000000000014</v>
      </c>
      <c r="S47" s="8">
        <f t="shared" si="17"/>
        <v>3.5</v>
      </c>
    </row>
    <row r="49" spans="1:19">
      <c r="A49" s="6" t="s">
        <v>393</v>
      </c>
    </row>
    <row r="50" spans="1:19">
      <c r="A50" s="6"/>
    </row>
    <row r="51" spans="1:19">
      <c r="A51" s="7" t="s">
        <v>394</v>
      </c>
    </row>
    <row r="52" spans="1:19">
      <c r="A52" s="7"/>
    </row>
    <row r="53" spans="1:19" ht="32" customHeight="1">
      <c r="B53" s="328" t="s">
        <v>45</v>
      </c>
      <c r="C53" s="328"/>
      <c r="D53" s="328" t="s">
        <v>362</v>
      </c>
      <c r="E53" s="328"/>
      <c r="F53" s="328" t="s">
        <v>361</v>
      </c>
      <c r="G53" s="328"/>
      <c r="H53" s="328" t="s">
        <v>363</v>
      </c>
      <c r="I53" s="328"/>
      <c r="J53" s="357" t="s">
        <v>386</v>
      </c>
      <c r="K53" s="357"/>
      <c r="L53" s="357" t="s">
        <v>78</v>
      </c>
      <c r="M53" s="357"/>
      <c r="N53" s="357" t="s">
        <v>389</v>
      </c>
      <c r="O53" s="357"/>
      <c r="P53" s="357" t="s">
        <v>390</v>
      </c>
      <c r="Q53" s="357"/>
      <c r="R53" s="357" t="s">
        <v>391</v>
      </c>
      <c r="S53" s="357"/>
    </row>
    <row r="54" spans="1:19">
      <c r="B54" s="135" t="s">
        <v>383</v>
      </c>
      <c r="C54" s="135" t="s">
        <v>384</v>
      </c>
      <c r="D54" s="135" t="s">
        <v>383</v>
      </c>
      <c r="E54" s="135" t="s">
        <v>384</v>
      </c>
      <c r="F54" s="135" t="s">
        <v>383</v>
      </c>
      <c r="G54" s="135" t="s">
        <v>384</v>
      </c>
      <c r="H54" s="135" t="s">
        <v>383</v>
      </c>
      <c r="I54" s="135" t="s">
        <v>384</v>
      </c>
      <c r="J54" s="135" t="s">
        <v>383</v>
      </c>
      <c r="K54" s="135" t="s">
        <v>384</v>
      </c>
      <c r="L54" s="135" t="s">
        <v>383</v>
      </c>
      <c r="M54" s="135" t="s">
        <v>384</v>
      </c>
      <c r="N54" s="135" t="s">
        <v>383</v>
      </c>
      <c r="O54" s="135" t="s">
        <v>384</v>
      </c>
      <c r="P54" s="135" t="s">
        <v>383</v>
      </c>
      <c r="Q54" s="135" t="s">
        <v>384</v>
      </c>
      <c r="R54" s="135" t="s">
        <v>383</v>
      </c>
      <c r="S54" s="135" t="s">
        <v>384</v>
      </c>
    </row>
    <row r="55" spans="1:19">
      <c r="A55" s="5">
        <v>2006</v>
      </c>
      <c r="B55" s="54" t="s">
        <v>87</v>
      </c>
      <c r="C55" s="8">
        <f t="shared" ref="C55:C68" si="18">100*C8/$C8</f>
        <v>100</v>
      </c>
      <c r="D55" s="54" t="s">
        <v>87</v>
      </c>
      <c r="E55" s="8">
        <f t="shared" ref="E55:E68" si="19">100*E8/$C8</f>
        <v>28.057553956834532</v>
      </c>
      <c r="F55" s="54" t="s">
        <v>87</v>
      </c>
      <c r="G55" s="8">
        <f t="shared" ref="G55:G68" si="20">100*G8/$C8</f>
        <v>64.02877697841727</v>
      </c>
      <c r="H55" s="54" t="s">
        <v>87</v>
      </c>
      <c r="I55" s="8">
        <f t="shared" ref="I55:I68" si="21">100*I8/$C8</f>
        <v>7.9136690647482011</v>
      </c>
      <c r="J55" s="54" t="s">
        <v>87</v>
      </c>
      <c r="K55" s="8">
        <f t="shared" ref="K55:K68" si="22">100*K8/$C8</f>
        <v>70.503597122302153</v>
      </c>
      <c r="L55" s="54" t="s">
        <v>87</v>
      </c>
      <c r="M55" s="8">
        <f t="shared" ref="M55:M68" si="23">100*M8/$C8</f>
        <v>28.776978417266186</v>
      </c>
      <c r="N55" s="54" t="s">
        <v>87</v>
      </c>
      <c r="O55" s="8">
        <f t="shared" ref="O55:O68" si="24">100*O8/$C8</f>
        <v>23.021582733812949</v>
      </c>
      <c r="P55" s="54" t="s">
        <v>87</v>
      </c>
      <c r="Q55" s="8">
        <f t="shared" ref="Q55:Q68" si="25">100*Q8/$C8</f>
        <v>11.510791366906474</v>
      </c>
      <c r="R55" s="54" t="s">
        <v>87</v>
      </c>
      <c r="S55" s="8">
        <f t="shared" ref="S55:S68" si="26">100*S8/$C8</f>
        <v>11.510791366906474</v>
      </c>
    </row>
    <row r="56" spans="1:19">
      <c r="A56" s="5">
        <v>2007</v>
      </c>
      <c r="B56" s="54" t="s">
        <v>87</v>
      </c>
      <c r="C56" s="8">
        <f t="shared" si="18"/>
        <v>100</v>
      </c>
      <c r="D56" s="54" t="s">
        <v>87</v>
      </c>
      <c r="E56" s="8">
        <f t="shared" si="19"/>
        <v>27.118644067796609</v>
      </c>
      <c r="F56" s="54" t="s">
        <v>87</v>
      </c>
      <c r="G56" s="8">
        <f t="shared" si="20"/>
        <v>66.101694915254242</v>
      </c>
      <c r="H56" s="54" t="s">
        <v>87</v>
      </c>
      <c r="I56" s="8">
        <f t="shared" si="21"/>
        <v>6.7796610169491522</v>
      </c>
      <c r="J56" s="54" t="s">
        <v>87</v>
      </c>
      <c r="K56" s="8">
        <f t="shared" si="22"/>
        <v>71.186440677966104</v>
      </c>
      <c r="L56" s="54" t="s">
        <v>87</v>
      </c>
      <c r="M56" s="8">
        <f t="shared" si="23"/>
        <v>28.8135593220339</v>
      </c>
      <c r="N56" s="54" t="s">
        <v>87</v>
      </c>
      <c r="O56" s="8">
        <f t="shared" si="24"/>
        <v>23.728813559322035</v>
      </c>
      <c r="P56" s="54" t="s">
        <v>87</v>
      </c>
      <c r="Q56" s="8">
        <f t="shared" si="25"/>
        <v>11.864406779661017</v>
      </c>
      <c r="R56" s="54" t="s">
        <v>87</v>
      </c>
      <c r="S56" s="8">
        <f t="shared" si="26"/>
        <v>11.864406779661017</v>
      </c>
    </row>
    <row r="57" spans="1:19">
      <c r="A57" s="5">
        <v>2008</v>
      </c>
      <c r="B57" s="54" t="s">
        <v>87</v>
      </c>
      <c r="C57" s="8">
        <f t="shared" si="18"/>
        <v>100</v>
      </c>
      <c r="D57" s="54" t="s">
        <v>87</v>
      </c>
      <c r="E57" s="8">
        <f t="shared" si="19"/>
        <v>26.168224299065422</v>
      </c>
      <c r="F57" s="54" t="s">
        <v>87</v>
      </c>
      <c r="G57" s="8">
        <f t="shared" si="20"/>
        <v>67.289719626168221</v>
      </c>
      <c r="H57" s="54" t="s">
        <v>87</v>
      </c>
      <c r="I57" s="8">
        <f t="shared" si="21"/>
        <v>6.5420560747663554</v>
      </c>
      <c r="J57" s="54" t="s">
        <v>87</v>
      </c>
      <c r="K57" s="8">
        <f t="shared" si="22"/>
        <v>65.420560747663558</v>
      </c>
      <c r="L57" s="54" t="s">
        <v>87</v>
      </c>
      <c r="M57" s="8">
        <f t="shared" si="23"/>
        <v>34.579439252336449</v>
      </c>
      <c r="N57" s="54" t="s">
        <v>87</v>
      </c>
      <c r="O57" s="8">
        <f t="shared" si="24"/>
        <v>29.906542056074766</v>
      </c>
      <c r="P57" s="54" t="s">
        <v>87</v>
      </c>
      <c r="Q57" s="8">
        <f t="shared" si="25"/>
        <v>13.084112149532711</v>
      </c>
      <c r="R57" s="54" t="s">
        <v>87</v>
      </c>
      <c r="S57" s="8">
        <f t="shared" si="26"/>
        <v>16.822429906542055</v>
      </c>
    </row>
    <row r="58" spans="1:19">
      <c r="A58" s="5">
        <v>2009</v>
      </c>
      <c r="B58" s="54" t="s">
        <v>87</v>
      </c>
      <c r="C58" s="8">
        <f t="shared" si="18"/>
        <v>100</v>
      </c>
      <c r="D58" s="54" t="s">
        <v>87</v>
      </c>
      <c r="E58" s="8">
        <f t="shared" si="19"/>
        <v>25.242718446601941</v>
      </c>
      <c r="F58" s="54" t="s">
        <v>87</v>
      </c>
      <c r="G58" s="8">
        <f t="shared" si="20"/>
        <v>67.961165048543691</v>
      </c>
      <c r="H58" s="54" t="s">
        <v>87</v>
      </c>
      <c r="I58" s="8">
        <f t="shared" si="21"/>
        <v>7.766990291262136</v>
      </c>
      <c r="J58" s="54" t="s">
        <v>87</v>
      </c>
      <c r="K58" s="8">
        <f t="shared" si="22"/>
        <v>64.077669902912618</v>
      </c>
      <c r="L58" s="54" t="s">
        <v>87</v>
      </c>
      <c r="M58" s="8">
        <f t="shared" si="23"/>
        <v>35.922330097087375</v>
      </c>
      <c r="N58" s="54" t="s">
        <v>87</v>
      </c>
      <c r="O58" s="8">
        <f t="shared" si="24"/>
        <v>30.097087378640776</v>
      </c>
      <c r="P58" s="54" t="s">
        <v>87</v>
      </c>
      <c r="Q58" s="8">
        <f t="shared" si="25"/>
        <v>13.592233009708737</v>
      </c>
      <c r="R58" s="54" t="s">
        <v>87</v>
      </c>
      <c r="S58" s="8">
        <f t="shared" si="26"/>
        <v>17.475728155339805</v>
      </c>
    </row>
    <row r="59" spans="1:19">
      <c r="A59" s="5">
        <v>2010</v>
      </c>
      <c r="B59" s="54" t="s">
        <v>87</v>
      </c>
      <c r="C59" s="8">
        <f t="shared" si="18"/>
        <v>100</v>
      </c>
      <c r="D59" s="54" t="s">
        <v>87</v>
      </c>
      <c r="E59" s="8">
        <f t="shared" si="19"/>
        <v>21</v>
      </c>
      <c r="F59" s="54" t="s">
        <v>87</v>
      </c>
      <c r="G59" s="8">
        <f t="shared" si="20"/>
        <v>70</v>
      </c>
      <c r="H59" s="54" t="s">
        <v>87</v>
      </c>
      <c r="I59" s="8">
        <f t="shared" si="21"/>
        <v>8</v>
      </c>
      <c r="J59" s="54" t="s">
        <v>87</v>
      </c>
      <c r="K59" s="8">
        <f t="shared" si="22"/>
        <v>67</v>
      </c>
      <c r="L59" s="54" t="s">
        <v>87</v>
      </c>
      <c r="M59" s="8">
        <f t="shared" si="23"/>
        <v>33</v>
      </c>
      <c r="N59" s="54" t="s">
        <v>87</v>
      </c>
      <c r="O59" s="8">
        <f t="shared" si="24"/>
        <v>27</v>
      </c>
      <c r="P59" s="54" t="s">
        <v>87</v>
      </c>
      <c r="Q59" s="8">
        <f t="shared" si="25"/>
        <v>13</v>
      </c>
      <c r="R59" s="54" t="s">
        <v>87</v>
      </c>
      <c r="S59" s="8">
        <f t="shared" si="26"/>
        <v>14</v>
      </c>
    </row>
    <row r="60" spans="1:19">
      <c r="A60" s="5">
        <v>2011</v>
      </c>
      <c r="B60" s="54" t="s">
        <v>87</v>
      </c>
      <c r="C60" s="8">
        <f t="shared" si="18"/>
        <v>100</v>
      </c>
      <c r="D60" s="54" t="s">
        <v>87</v>
      </c>
      <c r="E60" s="8">
        <f t="shared" si="19"/>
        <v>20.652173913043477</v>
      </c>
      <c r="F60" s="54" t="s">
        <v>87</v>
      </c>
      <c r="G60" s="8">
        <f t="shared" si="20"/>
        <v>69.565217391304344</v>
      </c>
      <c r="H60" s="54" t="s">
        <v>87</v>
      </c>
      <c r="I60" s="8">
        <f t="shared" si="21"/>
        <v>9.7826086956521738</v>
      </c>
      <c r="J60" s="54" t="s">
        <v>87</v>
      </c>
      <c r="K60" s="8">
        <f t="shared" si="22"/>
        <v>65.217391304347828</v>
      </c>
      <c r="L60" s="54" t="s">
        <v>87</v>
      </c>
      <c r="M60" s="8">
        <f t="shared" si="23"/>
        <v>34.782608695652172</v>
      </c>
      <c r="N60" s="54" t="s">
        <v>87</v>
      </c>
      <c r="O60" s="8">
        <f t="shared" si="24"/>
        <v>28.260869565217391</v>
      </c>
      <c r="P60" s="54" t="s">
        <v>87</v>
      </c>
      <c r="Q60" s="8">
        <f t="shared" si="25"/>
        <v>11.956521739130435</v>
      </c>
      <c r="R60" s="54" t="s">
        <v>87</v>
      </c>
      <c r="S60" s="8">
        <f t="shared" si="26"/>
        <v>17.391304347826086</v>
      </c>
    </row>
    <row r="61" spans="1:19">
      <c r="A61" s="5">
        <v>2012</v>
      </c>
      <c r="B61" s="54" t="s">
        <v>87</v>
      </c>
      <c r="C61" s="8">
        <f t="shared" si="18"/>
        <v>100</v>
      </c>
      <c r="D61" s="54" t="s">
        <v>87</v>
      </c>
      <c r="E61" s="8">
        <f t="shared" si="19"/>
        <v>23.076923076923077</v>
      </c>
      <c r="F61" s="54" t="s">
        <v>87</v>
      </c>
      <c r="G61" s="8">
        <f t="shared" si="20"/>
        <v>66.34615384615384</v>
      </c>
      <c r="H61" s="54" t="s">
        <v>87</v>
      </c>
      <c r="I61" s="8">
        <f t="shared" si="21"/>
        <v>11.538461538461538</v>
      </c>
      <c r="J61" s="54" t="s">
        <v>87</v>
      </c>
      <c r="K61" s="8">
        <f t="shared" si="22"/>
        <v>64.42307692307692</v>
      </c>
      <c r="L61" s="54" t="s">
        <v>87</v>
      </c>
      <c r="M61" s="8">
        <f t="shared" si="23"/>
        <v>36.53846153846154</v>
      </c>
      <c r="N61" s="54" t="s">
        <v>87</v>
      </c>
      <c r="O61" s="8">
        <f t="shared" si="24"/>
        <v>27.884615384615383</v>
      </c>
      <c r="P61" s="54" t="s">
        <v>87</v>
      </c>
      <c r="Q61" s="8">
        <f t="shared" si="25"/>
        <v>12.5</v>
      </c>
      <c r="R61" s="54" t="s">
        <v>87</v>
      </c>
      <c r="S61" s="8">
        <f t="shared" si="26"/>
        <v>15.384615384615385</v>
      </c>
    </row>
    <row r="62" spans="1:19">
      <c r="A62" s="5">
        <v>2013</v>
      </c>
      <c r="B62" s="54" t="s">
        <v>87</v>
      </c>
      <c r="C62" s="8">
        <f t="shared" si="18"/>
        <v>100</v>
      </c>
      <c r="D62" s="54" t="s">
        <v>87</v>
      </c>
      <c r="E62" s="8">
        <f t="shared" si="19"/>
        <v>25.531914893617021</v>
      </c>
      <c r="F62" s="54" t="s">
        <v>87</v>
      </c>
      <c r="G62" s="8">
        <f t="shared" si="20"/>
        <v>64.893617021276597</v>
      </c>
      <c r="H62" s="54" t="s">
        <v>87</v>
      </c>
      <c r="I62" s="8">
        <f t="shared" si="21"/>
        <v>9.5744680851063837</v>
      </c>
      <c r="J62" s="54" t="s">
        <v>87</v>
      </c>
      <c r="K62" s="8">
        <f t="shared" si="22"/>
        <v>65.957446808510639</v>
      </c>
      <c r="L62" s="54" t="s">
        <v>87</v>
      </c>
      <c r="M62" s="8">
        <f t="shared" si="23"/>
        <v>35.106382978723403</v>
      </c>
      <c r="N62" s="54" t="s">
        <v>87</v>
      </c>
      <c r="O62" s="8">
        <f t="shared" si="24"/>
        <v>28.723404255319149</v>
      </c>
      <c r="P62" s="54" t="s">
        <v>87</v>
      </c>
      <c r="Q62" s="8">
        <f t="shared" si="25"/>
        <v>13.829787234042554</v>
      </c>
      <c r="R62" s="54" t="s">
        <v>87</v>
      </c>
      <c r="S62" s="8">
        <f t="shared" si="26"/>
        <v>14.893617021276595</v>
      </c>
    </row>
    <row r="63" spans="1:19">
      <c r="A63" s="5">
        <v>2014</v>
      </c>
      <c r="B63" s="54" t="s">
        <v>87</v>
      </c>
      <c r="C63" s="8">
        <f t="shared" si="18"/>
        <v>100</v>
      </c>
      <c r="D63" s="54" t="s">
        <v>87</v>
      </c>
      <c r="E63" s="8">
        <f t="shared" si="19"/>
        <v>25.555555555555557</v>
      </c>
      <c r="F63" s="54" t="s">
        <v>87</v>
      </c>
      <c r="G63" s="8">
        <f t="shared" si="20"/>
        <v>64.444444444444443</v>
      </c>
      <c r="H63" s="54" t="s">
        <v>87</v>
      </c>
      <c r="I63" s="8">
        <f t="shared" si="21"/>
        <v>8.8888888888888893</v>
      </c>
      <c r="J63" s="54" t="s">
        <v>87</v>
      </c>
      <c r="K63" s="8">
        <f t="shared" si="22"/>
        <v>68.888888888888886</v>
      </c>
      <c r="L63" s="54" t="s">
        <v>87</v>
      </c>
      <c r="M63" s="8">
        <f t="shared" si="23"/>
        <v>30</v>
      </c>
      <c r="N63" s="54" t="s">
        <v>87</v>
      </c>
      <c r="O63" s="8">
        <f t="shared" si="24"/>
        <v>23.333333333333332</v>
      </c>
      <c r="P63" s="54" t="s">
        <v>87</v>
      </c>
      <c r="Q63" s="8">
        <f t="shared" si="25"/>
        <v>11.111111111111111</v>
      </c>
      <c r="R63" s="54" t="s">
        <v>87</v>
      </c>
      <c r="S63" s="8">
        <f t="shared" si="26"/>
        <v>11.111111111111111</v>
      </c>
    </row>
    <row r="64" spans="1:19">
      <c r="A64" s="5">
        <v>2015</v>
      </c>
      <c r="B64" s="8">
        <f>100*B17/$B17</f>
        <v>100</v>
      </c>
      <c r="C64" s="8">
        <f t="shared" si="18"/>
        <v>100</v>
      </c>
      <c r="D64" s="8">
        <f>100*D17/$B17</f>
        <v>22.222222222222221</v>
      </c>
      <c r="E64" s="8">
        <f t="shared" si="19"/>
        <v>19.607843137254903</v>
      </c>
      <c r="F64" s="8">
        <f>100*F17/$B17</f>
        <v>64.957264957264954</v>
      </c>
      <c r="G64" s="8">
        <f t="shared" si="20"/>
        <v>68.627450980392155</v>
      </c>
      <c r="H64" s="8">
        <f>100*H17/$B17</f>
        <v>12.820512820512821</v>
      </c>
      <c r="I64" s="8">
        <f t="shared" si="21"/>
        <v>11.764705882352942</v>
      </c>
      <c r="J64" s="8">
        <f>100*J17/$B17</f>
        <v>64.957264957264954</v>
      </c>
      <c r="K64" s="8">
        <f t="shared" si="22"/>
        <v>63.725490196078432</v>
      </c>
      <c r="L64" s="8">
        <f>100*L17/$B17</f>
        <v>35.042735042735046</v>
      </c>
      <c r="M64" s="8">
        <f t="shared" si="23"/>
        <v>37.254901960784316</v>
      </c>
      <c r="N64" s="8">
        <f>100*N17/$B17</f>
        <v>28.205128205128204</v>
      </c>
      <c r="O64" s="8">
        <f t="shared" si="24"/>
        <v>30.392156862745097</v>
      </c>
      <c r="P64" s="8">
        <f>100*P17/$B17</f>
        <v>15.384615384615385</v>
      </c>
      <c r="Q64" s="8">
        <f t="shared" si="25"/>
        <v>16.666666666666668</v>
      </c>
      <c r="R64" s="8">
        <f>100*R17/$B17</f>
        <v>12.820512820512821</v>
      </c>
      <c r="S64" s="8">
        <f t="shared" si="26"/>
        <v>13.725490196078431</v>
      </c>
    </row>
    <row r="65" spans="1:19">
      <c r="A65" s="5">
        <v>2016</v>
      </c>
      <c r="B65" s="8">
        <f>100*B18/$B18</f>
        <v>100</v>
      </c>
      <c r="C65" s="8">
        <f t="shared" si="18"/>
        <v>100</v>
      </c>
      <c r="D65" s="8">
        <f>100*D18/$B18</f>
        <v>22.222222222222221</v>
      </c>
      <c r="E65" s="8">
        <f t="shared" si="19"/>
        <v>22.093023255813954</v>
      </c>
      <c r="F65" s="8">
        <f>100*F18/$B18</f>
        <v>64.646464646464651</v>
      </c>
      <c r="G65" s="8">
        <f t="shared" si="20"/>
        <v>65.116279069767444</v>
      </c>
      <c r="H65" s="8">
        <f>100*H18/$B18</f>
        <v>14.141414141414142</v>
      </c>
      <c r="I65" s="8">
        <f t="shared" si="21"/>
        <v>12.790697674418604</v>
      </c>
      <c r="J65" s="8">
        <f>100*J18/$B18</f>
        <v>59.595959595959599</v>
      </c>
      <c r="K65" s="8">
        <f t="shared" si="22"/>
        <v>56.97674418604651</v>
      </c>
      <c r="L65" s="8">
        <f>100*L18/$B18</f>
        <v>40.404040404040401</v>
      </c>
      <c r="M65" s="8">
        <f t="shared" si="23"/>
        <v>43.02325581395349</v>
      </c>
      <c r="N65" s="8">
        <f>100*N18/$B18</f>
        <v>30.303030303030305</v>
      </c>
      <c r="O65" s="8">
        <f t="shared" si="24"/>
        <v>33.720930232558139</v>
      </c>
      <c r="P65" s="8">
        <f>100*P18/$B18</f>
        <v>16.161616161616163</v>
      </c>
      <c r="Q65" s="8">
        <f t="shared" si="25"/>
        <v>17.441860465116278</v>
      </c>
      <c r="R65" s="8">
        <f>100*R18/$B18</f>
        <v>15.151515151515152</v>
      </c>
      <c r="S65" s="8">
        <f t="shared" si="26"/>
        <v>16.279069767441861</v>
      </c>
    </row>
    <row r="66" spans="1:19">
      <c r="A66" s="5">
        <v>2017</v>
      </c>
      <c r="B66" s="8">
        <f>100*B19/$B19</f>
        <v>100</v>
      </c>
      <c r="C66" s="8">
        <f t="shared" si="18"/>
        <v>100</v>
      </c>
      <c r="D66" s="8">
        <f>100*D19/$B19</f>
        <v>22.471910112359552</v>
      </c>
      <c r="E66" s="8">
        <f t="shared" si="19"/>
        <v>23.943661971830984</v>
      </c>
      <c r="F66" s="8">
        <f>100*F19/$B19</f>
        <v>67.415730337078656</v>
      </c>
      <c r="G66" s="8">
        <f t="shared" si="20"/>
        <v>69.014084507042256</v>
      </c>
      <c r="H66" s="8">
        <f>100*H19/$B19</f>
        <v>10.112359550561798</v>
      </c>
      <c r="I66" s="8">
        <f t="shared" si="21"/>
        <v>7.042253521126761</v>
      </c>
      <c r="J66" s="8">
        <f>100*J19/$B19</f>
        <v>64.044943820224717</v>
      </c>
      <c r="K66" s="8">
        <f t="shared" si="22"/>
        <v>66.197183098591552</v>
      </c>
      <c r="L66" s="8">
        <f>100*L19/$B19</f>
        <v>35.955056179775283</v>
      </c>
      <c r="M66" s="8">
        <f t="shared" si="23"/>
        <v>35.2112676056338</v>
      </c>
      <c r="N66" s="8">
        <f>100*N19/$B19</f>
        <v>29.213483146067414</v>
      </c>
      <c r="O66" s="8">
        <f t="shared" si="24"/>
        <v>30.985915492957748</v>
      </c>
      <c r="P66" s="8">
        <f>100*P19/$B19</f>
        <v>14.606741573033707</v>
      </c>
      <c r="Q66" s="8">
        <f t="shared" si="25"/>
        <v>16.901408450704224</v>
      </c>
      <c r="R66" s="8">
        <f>100*R19/$B19</f>
        <v>14.606741573033707</v>
      </c>
      <c r="S66" s="8">
        <f t="shared" si="26"/>
        <v>14.084507042253522</v>
      </c>
    </row>
    <row r="67" spans="1:19">
      <c r="A67" s="5">
        <v>2018</v>
      </c>
      <c r="B67" s="8">
        <f>100*B20/$B20</f>
        <v>100</v>
      </c>
      <c r="C67" s="8">
        <f t="shared" si="18"/>
        <v>100</v>
      </c>
      <c r="D67" s="8">
        <f>100*D20/$B20</f>
        <v>20.27027027027027</v>
      </c>
      <c r="E67" s="8">
        <f t="shared" si="19"/>
        <v>17.241379310344829</v>
      </c>
      <c r="F67" s="8">
        <f>100*F20/$B20</f>
        <v>67.567567567567565</v>
      </c>
      <c r="G67" s="8">
        <f t="shared" si="20"/>
        <v>74.137931034482762</v>
      </c>
      <c r="H67" s="8">
        <f>100*H20/$B20</f>
        <v>10.810810810810811</v>
      </c>
      <c r="I67" s="8">
        <f t="shared" si="21"/>
        <v>6.8965517241379306</v>
      </c>
      <c r="J67" s="8">
        <f>100*J20/$B20</f>
        <v>54.054054054054056</v>
      </c>
      <c r="K67" s="8">
        <f t="shared" si="22"/>
        <v>50</v>
      </c>
      <c r="L67" s="8">
        <f>100*L20/$B20</f>
        <v>45.945945945945944</v>
      </c>
      <c r="M67" s="8">
        <f t="shared" si="23"/>
        <v>48.275862068965516</v>
      </c>
      <c r="N67" s="8">
        <f>100*N20/$B20</f>
        <v>37.837837837837839</v>
      </c>
      <c r="O67" s="8">
        <f t="shared" si="24"/>
        <v>43.103448275862071</v>
      </c>
      <c r="P67" s="8">
        <f>100*P20/$B20</f>
        <v>21.621621621621621</v>
      </c>
      <c r="Q67" s="8">
        <f t="shared" si="25"/>
        <v>24.137931034482758</v>
      </c>
      <c r="R67" s="8">
        <f>100*R20/$B20</f>
        <v>16.216216216216218</v>
      </c>
      <c r="S67" s="8">
        <f t="shared" si="26"/>
        <v>18.96551724137931</v>
      </c>
    </row>
    <row r="68" spans="1:19">
      <c r="A68" s="5">
        <v>2019</v>
      </c>
      <c r="B68" s="8">
        <f>100*B21/$B21</f>
        <v>100</v>
      </c>
      <c r="C68" s="8">
        <f t="shared" si="18"/>
        <v>100</v>
      </c>
      <c r="D68" s="8">
        <f>100*D21/$B21</f>
        <v>24.285714285714285</v>
      </c>
      <c r="E68" s="8">
        <f t="shared" si="19"/>
        <v>24.137931034482758</v>
      </c>
      <c r="F68" s="8">
        <f>100*F21/$B21</f>
        <v>64.285714285714292</v>
      </c>
      <c r="G68" s="8">
        <f t="shared" si="20"/>
        <v>67.241379310344826</v>
      </c>
      <c r="H68" s="8">
        <f>100*H21/$B21</f>
        <v>12.857142857142858</v>
      </c>
      <c r="I68" s="8">
        <f t="shared" si="21"/>
        <v>10.344827586206897</v>
      </c>
      <c r="J68" s="8">
        <f>100*J21/$B21</f>
        <v>58.571428571428569</v>
      </c>
      <c r="K68" s="8">
        <f t="shared" si="22"/>
        <v>62.068965517241381</v>
      </c>
      <c r="L68" s="8">
        <f>100*L21/$B21</f>
        <v>41.428571428571431</v>
      </c>
      <c r="M68" s="8">
        <f t="shared" si="23"/>
        <v>39.655172413793103</v>
      </c>
      <c r="N68" s="8">
        <f>100*N21/$B21</f>
        <v>30</v>
      </c>
      <c r="O68" s="8">
        <f t="shared" si="24"/>
        <v>31.03448275862069</v>
      </c>
      <c r="P68" s="8">
        <f>100*P21/$B21</f>
        <v>15.714285714285714</v>
      </c>
      <c r="Q68" s="8">
        <f t="shared" si="25"/>
        <v>15.517241379310345</v>
      </c>
      <c r="R68" s="8">
        <f>100*R21/$B21</f>
        <v>15.714285714285714</v>
      </c>
      <c r="S68" s="8">
        <f t="shared" si="26"/>
        <v>17.241379310344829</v>
      </c>
    </row>
    <row r="70" spans="1:19">
      <c r="A70" s="5" t="s">
        <v>395</v>
      </c>
    </row>
    <row r="72" spans="1:19" ht="33" customHeight="1">
      <c r="B72" s="328" t="s">
        <v>45</v>
      </c>
      <c r="C72" s="328"/>
      <c r="D72" s="328" t="s">
        <v>362</v>
      </c>
      <c r="E72" s="328"/>
      <c r="F72" s="328" t="s">
        <v>361</v>
      </c>
      <c r="G72" s="328"/>
      <c r="H72" s="328" t="s">
        <v>363</v>
      </c>
      <c r="I72" s="328"/>
      <c r="J72" s="357" t="s">
        <v>386</v>
      </c>
      <c r="K72" s="357"/>
      <c r="L72" s="357" t="s">
        <v>78</v>
      </c>
      <c r="M72" s="357"/>
      <c r="N72" s="357" t="s">
        <v>389</v>
      </c>
      <c r="O72" s="357"/>
      <c r="P72" s="357" t="s">
        <v>390</v>
      </c>
      <c r="Q72" s="357"/>
      <c r="R72" s="357" t="s">
        <v>391</v>
      </c>
      <c r="S72" s="357"/>
    </row>
    <row r="73" spans="1:19">
      <c r="B73" s="135" t="s">
        <v>383</v>
      </c>
      <c r="C73" s="135" t="s">
        <v>384</v>
      </c>
      <c r="D73" s="135" t="s">
        <v>383</v>
      </c>
      <c r="E73" s="135" t="s">
        <v>384</v>
      </c>
      <c r="F73" s="135" t="s">
        <v>383</v>
      </c>
      <c r="G73" s="135" t="s">
        <v>384</v>
      </c>
      <c r="H73" s="135" t="s">
        <v>383</v>
      </c>
      <c r="I73" s="135" t="s">
        <v>384</v>
      </c>
      <c r="J73" s="135" t="s">
        <v>383</v>
      </c>
      <c r="K73" s="135" t="s">
        <v>384</v>
      </c>
      <c r="L73" s="135" t="s">
        <v>383</v>
      </c>
      <c r="M73" s="135" t="s">
        <v>384</v>
      </c>
      <c r="N73" s="135" t="s">
        <v>383</v>
      </c>
      <c r="O73" s="135" t="s">
        <v>384</v>
      </c>
      <c r="P73" s="135" t="s">
        <v>383</v>
      </c>
      <c r="Q73" s="135" t="s">
        <v>384</v>
      </c>
      <c r="R73" s="135" t="s">
        <v>383</v>
      </c>
      <c r="S73" s="135" t="s">
        <v>384</v>
      </c>
    </row>
    <row r="74" spans="1:19">
      <c r="A74" s="5">
        <v>2006</v>
      </c>
      <c r="B74" s="54" t="s">
        <v>87</v>
      </c>
      <c r="C74" s="8">
        <f t="shared" ref="C74:C87" si="27">C55*C29/100</f>
        <v>28.7</v>
      </c>
      <c r="D74" s="54" t="s">
        <v>87</v>
      </c>
      <c r="E74" s="8">
        <f t="shared" ref="E74:E87" si="28">E55*E29/$C74</f>
        <v>22.97395533050911</v>
      </c>
      <c r="F74" s="54" t="s">
        <v>87</v>
      </c>
      <c r="G74" s="8">
        <f t="shared" ref="G74" si="29">G55*G29/$C74</f>
        <v>72.506454766500397</v>
      </c>
      <c r="H74" s="54" t="s">
        <v>87</v>
      </c>
      <c r="I74" s="8">
        <f t="shared" ref="I74" si="30">I55*I29/$C74</f>
        <v>4.2739327701601786</v>
      </c>
      <c r="J74" s="54" t="s">
        <v>87</v>
      </c>
      <c r="K74" s="8">
        <f t="shared" ref="K74" si="31">K55*K29/$C74</f>
        <v>58.957711879277063</v>
      </c>
      <c r="L74" s="54" t="s">
        <v>87</v>
      </c>
      <c r="M74" s="8">
        <f t="shared" ref="M74" si="32">M55*M29/$C74</f>
        <v>40.207555210187252</v>
      </c>
      <c r="N74" s="54" t="s">
        <v>87</v>
      </c>
      <c r="O74" s="8">
        <f t="shared" ref="O74" si="33">O55*O29/$C74</f>
        <v>36.978918607274458</v>
      </c>
      <c r="P74" s="54" t="s">
        <v>87</v>
      </c>
      <c r="Q74" s="8">
        <f t="shared" ref="Q74" si="34">Q55*Q29/$C74</f>
        <v>18.730103025593465</v>
      </c>
      <c r="R74" s="54" t="s">
        <v>87</v>
      </c>
      <c r="S74" s="8">
        <f t="shared" ref="S74" si="35">S55*S29/$C74</f>
        <v>18.248815581680997</v>
      </c>
    </row>
    <row r="75" spans="1:19">
      <c r="A75" s="5">
        <v>2007</v>
      </c>
      <c r="B75" s="54" t="s">
        <v>87</v>
      </c>
      <c r="C75" s="8">
        <f t="shared" si="27"/>
        <v>28.2</v>
      </c>
      <c r="D75" s="54" t="s">
        <v>87</v>
      </c>
      <c r="E75" s="8">
        <f t="shared" si="28"/>
        <v>22.406539247505709</v>
      </c>
      <c r="F75" s="54" t="s">
        <v>87</v>
      </c>
      <c r="G75" s="8">
        <f t="shared" ref="G75:G87" si="36">G56*G30/$C75</f>
        <v>74.774612333213128</v>
      </c>
      <c r="H75" s="54" t="s">
        <v>87</v>
      </c>
      <c r="I75" s="8">
        <f t="shared" ref="I75:I87" si="37">I56*I30/$C75</f>
        <v>2.9570861882437791</v>
      </c>
      <c r="J75" s="54" t="s">
        <v>87</v>
      </c>
      <c r="K75" s="8">
        <f t="shared" ref="K75:K87" si="38">K56*K30/$C75</f>
        <v>64.875586007933649</v>
      </c>
      <c r="L75" s="54" t="s">
        <v>87</v>
      </c>
      <c r="M75" s="8">
        <f t="shared" ref="M75:M87" si="39">M56*M30/$C75</f>
        <v>35.250631085467006</v>
      </c>
      <c r="N75" s="54" t="s">
        <v>87</v>
      </c>
      <c r="O75" s="8">
        <f t="shared" ref="O75:O87" si="40">O56*O30/$C75</f>
        <v>33.742036302440198</v>
      </c>
      <c r="P75" s="54" t="s">
        <v>87</v>
      </c>
      <c r="Q75" s="8">
        <f t="shared" ref="Q75:Q87" si="41">Q56*Q30/$C75</f>
        <v>17.58624834715711</v>
      </c>
      <c r="R75" s="54" t="s">
        <v>87</v>
      </c>
      <c r="S75" s="8">
        <f t="shared" ref="S75:S87" si="42">S56*S30/$C75</f>
        <v>16.155787955283088</v>
      </c>
    </row>
    <row r="76" spans="1:19">
      <c r="A76" s="5">
        <v>2008</v>
      </c>
      <c r="B76" s="54" t="s">
        <v>87</v>
      </c>
      <c r="C76" s="8">
        <f t="shared" si="27"/>
        <v>31.1</v>
      </c>
      <c r="D76" s="54" t="s">
        <v>87</v>
      </c>
      <c r="E76" s="8">
        <f t="shared" si="28"/>
        <v>18.42714186975989</v>
      </c>
      <c r="F76" s="54" t="s">
        <v>87</v>
      </c>
      <c r="G76" s="8">
        <f t="shared" si="36"/>
        <v>78.540733840189915</v>
      </c>
      <c r="H76" s="54" t="s">
        <v>87</v>
      </c>
      <c r="I76" s="8">
        <f t="shared" si="37"/>
        <v>2.6925504101932267</v>
      </c>
      <c r="J76" s="54" t="s">
        <v>87</v>
      </c>
      <c r="K76" s="8">
        <f t="shared" si="38"/>
        <v>53.851008203864538</v>
      </c>
      <c r="L76" s="54" t="s">
        <v>87</v>
      </c>
      <c r="M76" s="8">
        <f t="shared" si="39"/>
        <v>46.031793731406069</v>
      </c>
      <c r="N76" s="54" t="s">
        <v>87</v>
      </c>
      <c r="O76" s="8">
        <f t="shared" si="40"/>
        <v>43.657781650990174</v>
      </c>
      <c r="P76" s="54" t="s">
        <v>87</v>
      </c>
      <c r="Q76" s="8">
        <f t="shared" si="41"/>
        <v>22.17146978393485</v>
      </c>
      <c r="R76" s="54" t="s">
        <v>87</v>
      </c>
      <c r="S76" s="8">
        <f t="shared" si="42"/>
        <v>21.52838296721459</v>
      </c>
    </row>
    <row r="77" spans="1:19">
      <c r="A77" s="5">
        <v>2009</v>
      </c>
      <c r="B77" s="54" t="s">
        <v>87</v>
      </c>
      <c r="C77" s="8">
        <f t="shared" si="27"/>
        <v>31.1</v>
      </c>
      <c r="D77" s="54" t="s">
        <v>87</v>
      </c>
      <c r="E77" s="8">
        <f t="shared" si="28"/>
        <v>19.236412449661284</v>
      </c>
      <c r="F77" s="54" t="s">
        <v>87</v>
      </c>
      <c r="G77" s="8">
        <f t="shared" si="36"/>
        <v>78.887397371460679</v>
      </c>
      <c r="H77" s="54" t="s">
        <v>87</v>
      </c>
      <c r="I77" s="8">
        <f t="shared" si="37"/>
        <v>2.7471669840477007</v>
      </c>
      <c r="J77" s="54" t="s">
        <v>87</v>
      </c>
      <c r="K77" s="8">
        <f t="shared" si="38"/>
        <v>54.187868760340891</v>
      </c>
      <c r="L77" s="54" t="s">
        <v>87</v>
      </c>
      <c r="M77" s="8">
        <f t="shared" si="39"/>
        <v>45.740330284394211</v>
      </c>
      <c r="N77" s="54" t="s">
        <v>87</v>
      </c>
      <c r="O77" s="8">
        <f t="shared" si="40"/>
        <v>43.935941060781062</v>
      </c>
      <c r="P77" s="54" t="s">
        <v>87</v>
      </c>
      <c r="Q77" s="8">
        <f t="shared" si="41"/>
        <v>20.3227921206256</v>
      </c>
      <c r="R77" s="54" t="s">
        <v>87</v>
      </c>
      <c r="S77" s="8">
        <f t="shared" si="42"/>
        <v>24.949271064215026</v>
      </c>
    </row>
    <row r="78" spans="1:19">
      <c r="A78" s="5">
        <v>2010</v>
      </c>
      <c r="B78" s="54" t="s">
        <v>87</v>
      </c>
      <c r="C78" s="8">
        <f t="shared" si="27"/>
        <v>29.3</v>
      </c>
      <c r="D78" s="54" t="s">
        <v>87</v>
      </c>
      <c r="E78" s="8">
        <f t="shared" si="28"/>
        <v>13.832764505119455</v>
      </c>
      <c r="F78" s="54" t="s">
        <v>87</v>
      </c>
      <c r="G78" s="8">
        <f t="shared" si="36"/>
        <v>80.989761092150175</v>
      </c>
      <c r="H78" s="54" t="s">
        <v>87</v>
      </c>
      <c r="I78" s="8">
        <f t="shared" si="37"/>
        <v>4.6689419795221845</v>
      </c>
      <c r="J78" s="54" t="s">
        <v>87</v>
      </c>
      <c r="K78" s="8">
        <f t="shared" si="38"/>
        <v>56.023890784982932</v>
      </c>
      <c r="L78" s="54" t="s">
        <v>87</v>
      </c>
      <c r="M78" s="8">
        <f t="shared" si="39"/>
        <v>44.262798634812277</v>
      </c>
      <c r="N78" s="54" t="s">
        <v>87</v>
      </c>
      <c r="O78" s="8">
        <f t="shared" si="40"/>
        <v>41.836177474402724</v>
      </c>
      <c r="P78" s="54" t="s">
        <v>87</v>
      </c>
      <c r="Q78" s="8">
        <f t="shared" si="41"/>
        <v>20.010238907849832</v>
      </c>
      <c r="R78" s="54" t="s">
        <v>87</v>
      </c>
      <c r="S78" s="8">
        <f t="shared" si="42"/>
        <v>21.836177474402731</v>
      </c>
    </row>
    <row r="79" spans="1:19">
      <c r="A79" s="5">
        <v>2011</v>
      </c>
      <c r="B79" s="54" t="s">
        <v>87</v>
      </c>
      <c r="C79" s="8">
        <f t="shared" si="27"/>
        <v>31.6</v>
      </c>
      <c r="D79" s="54" t="s">
        <v>87</v>
      </c>
      <c r="E79" s="8">
        <f t="shared" si="28"/>
        <v>18.10332966428178</v>
      </c>
      <c r="F79" s="54" t="s">
        <v>87</v>
      </c>
      <c r="G79" s="8">
        <f t="shared" si="36"/>
        <v>76.169510181618051</v>
      </c>
      <c r="H79" s="54" t="s">
        <v>87</v>
      </c>
      <c r="I79" s="8">
        <f t="shared" si="37"/>
        <v>5.6652449091909736</v>
      </c>
      <c r="J79" s="54" t="s">
        <v>87</v>
      </c>
      <c r="K79" s="8">
        <f t="shared" si="38"/>
        <v>57.993946064942214</v>
      </c>
      <c r="L79" s="54" t="s">
        <v>87</v>
      </c>
      <c r="M79" s="8">
        <f t="shared" si="39"/>
        <v>41.607044578976328</v>
      </c>
      <c r="N79" s="54" t="s">
        <v>87</v>
      </c>
      <c r="O79" s="8">
        <f t="shared" si="40"/>
        <v>38.724545954870663</v>
      </c>
      <c r="P79" s="54" t="s">
        <v>87</v>
      </c>
      <c r="Q79" s="8">
        <f t="shared" si="41"/>
        <v>16.875343973582829</v>
      </c>
      <c r="R79" s="54" t="s">
        <v>87</v>
      </c>
      <c r="S79" s="8">
        <f t="shared" si="42"/>
        <v>23.335167859108417</v>
      </c>
    </row>
    <row r="80" spans="1:19">
      <c r="A80" s="5">
        <v>2012</v>
      </c>
      <c r="B80" s="54" t="s">
        <v>87</v>
      </c>
      <c r="C80" s="8">
        <f t="shared" si="27"/>
        <v>31.9</v>
      </c>
      <c r="D80" s="54" t="s">
        <v>87</v>
      </c>
      <c r="E80" s="8">
        <f t="shared" si="28"/>
        <v>17.289606944779358</v>
      </c>
      <c r="F80" s="54" t="s">
        <v>87</v>
      </c>
      <c r="G80" s="8">
        <f t="shared" si="36"/>
        <v>76.745237521099583</v>
      </c>
      <c r="H80" s="54" t="s">
        <v>87</v>
      </c>
      <c r="I80" s="8">
        <f t="shared" si="37"/>
        <v>6.7277550036170739</v>
      </c>
      <c r="J80" s="54" t="s">
        <v>87</v>
      </c>
      <c r="K80" s="8">
        <f t="shared" si="38"/>
        <v>52.103930552206414</v>
      </c>
      <c r="L80" s="54" t="s">
        <v>87</v>
      </c>
      <c r="M80" s="8">
        <f t="shared" si="39"/>
        <v>49.023390402700748</v>
      </c>
      <c r="N80" s="54" t="s">
        <v>87</v>
      </c>
      <c r="O80" s="8">
        <f t="shared" si="40"/>
        <v>45.716783216783213</v>
      </c>
      <c r="P80" s="54" t="s">
        <v>87</v>
      </c>
      <c r="Q80" s="8">
        <f t="shared" si="41"/>
        <v>22.766457680250785</v>
      </c>
      <c r="R80" s="54" t="s">
        <v>87</v>
      </c>
      <c r="S80" s="8">
        <f t="shared" si="42"/>
        <v>22.908126356402221</v>
      </c>
    </row>
    <row r="81" spans="1:19">
      <c r="A81" s="5">
        <v>2013</v>
      </c>
      <c r="B81" s="54" t="s">
        <v>87</v>
      </c>
      <c r="C81" s="8">
        <f t="shared" si="27"/>
        <v>32.200000000000003</v>
      </c>
      <c r="D81" s="54" t="s">
        <v>87</v>
      </c>
      <c r="E81" s="8">
        <f t="shared" si="28"/>
        <v>21.329456852121048</v>
      </c>
      <c r="F81" s="54" t="s">
        <v>87</v>
      </c>
      <c r="G81" s="8">
        <f t="shared" si="36"/>
        <v>74.97026562706489</v>
      </c>
      <c r="H81" s="54" t="s">
        <v>87</v>
      </c>
      <c r="I81" s="8">
        <f t="shared" si="37"/>
        <v>3.6573278710188979</v>
      </c>
      <c r="J81" s="54" t="s">
        <v>87</v>
      </c>
      <c r="K81" s="8">
        <f t="shared" si="38"/>
        <v>58.788159111933389</v>
      </c>
      <c r="L81" s="54" t="s">
        <v>87</v>
      </c>
      <c r="M81" s="8">
        <f t="shared" si="39"/>
        <v>42.302101229020742</v>
      </c>
      <c r="N81" s="54" t="s">
        <v>87</v>
      </c>
      <c r="O81" s="8">
        <f t="shared" si="40"/>
        <v>39.695387868375839</v>
      </c>
      <c r="P81" s="54" t="s">
        <v>87</v>
      </c>
      <c r="Q81" s="8">
        <f t="shared" si="41"/>
        <v>20.486982952292852</v>
      </c>
      <c r="R81" s="54" t="s">
        <v>87</v>
      </c>
      <c r="S81" s="8">
        <f t="shared" si="42"/>
        <v>19.102682701202585</v>
      </c>
    </row>
    <row r="82" spans="1:19">
      <c r="A82" s="5">
        <v>2014</v>
      </c>
      <c r="B82" s="54" t="s">
        <v>87</v>
      </c>
      <c r="C82" s="8">
        <f t="shared" si="27"/>
        <v>32.4</v>
      </c>
      <c r="D82" s="54" t="s">
        <v>87</v>
      </c>
      <c r="E82" s="8">
        <f t="shared" si="28"/>
        <v>20.74417009602195</v>
      </c>
      <c r="F82" s="54" t="s">
        <v>87</v>
      </c>
      <c r="G82" s="8">
        <f t="shared" si="36"/>
        <v>75.384087791495205</v>
      </c>
      <c r="H82" s="54" t="s">
        <v>87</v>
      </c>
      <c r="I82" s="8">
        <f t="shared" si="37"/>
        <v>2.7983539094650207</v>
      </c>
      <c r="J82" s="54" t="s">
        <v>87</v>
      </c>
      <c r="K82" s="8">
        <f t="shared" si="38"/>
        <v>62.510288065843618</v>
      </c>
      <c r="L82" s="54" t="s">
        <v>87</v>
      </c>
      <c r="M82" s="8">
        <f t="shared" si="39"/>
        <v>36.296296296296298</v>
      </c>
      <c r="N82" s="54" t="s">
        <v>87</v>
      </c>
      <c r="O82" s="8">
        <f t="shared" si="40"/>
        <v>35.072016460905346</v>
      </c>
      <c r="P82" s="54" t="s">
        <v>87</v>
      </c>
      <c r="Q82" s="8">
        <f t="shared" si="41"/>
        <v>16.563786008230451</v>
      </c>
      <c r="R82" s="54" t="s">
        <v>87</v>
      </c>
      <c r="S82" s="8">
        <f t="shared" si="42"/>
        <v>16.872427983539094</v>
      </c>
    </row>
    <row r="83" spans="1:19">
      <c r="A83" s="5">
        <v>2015</v>
      </c>
      <c r="B83" s="8">
        <f>B64*B38/100</f>
        <v>30.5</v>
      </c>
      <c r="C83" s="8">
        <f t="shared" si="27"/>
        <v>32.4</v>
      </c>
      <c r="D83" s="8">
        <f>D64*D38/$B83</f>
        <v>14.644808743169399</v>
      </c>
      <c r="E83" s="8">
        <f t="shared" si="28"/>
        <v>14.221738077947229</v>
      </c>
      <c r="F83" s="8">
        <f t="shared" ref="F83" si="43">F64*F38/$B83</f>
        <v>79.439540423146966</v>
      </c>
      <c r="G83" s="8">
        <f t="shared" si="36"/>
        <v>80.912611958363598</v>
      </c>
      <c r="H83" s="8">
        <f t="shared" ref="H83" si="44">H64*H38/$B83</f>
        <v>5.8427910886927279</v>
      </c>
      <c r="I83" s="8">
        <f t="shared" si="37"/>
        <v>5.1924473493100951</v>
      </c>
      <c r="J83" s="8">
        <f t="shared" ref="J83" si="45">J64*J38/$B83</f>
        <v>51.965811965811959</v>
      </c>
      <c r="K83" s="8">
        <f t="shared" si="38"/>
        <v>50.941055434519491</v>
      </c>
      <c r="L83" s="8">
        <f t="shared" ref="L83" si="46">L64*L38/$B83</f>
        <v>47.681098500770638</v>
      </c>
      <c r="M83" s="8">
        <f t="shared" si="39"/>
        <v>50.248123940934406</v>
      </c>
      <c r="N83" s="8">
        <f t="shared" ref="N83" si="47">N64*N38/$B83</f>
        <v>45.313156788566623</v>
      </c>
      <c r="O83" s="8">
        <f t="shared" si="40"/>
        <v>47.089082546598888</v>
      </c>
      <c r="P83" s="8">
        <f t="shared" ref="P83" si="48">P64*P38/$B83</f>
        <v>27.742749054224465</v>
      </c>
      <c r="Q83" s="8">
        <f t="shared" si="41"/>
        <v>28.960905349794242</v>
      </c>
      <c r="R83" s="8">
        <f t="shared" ref="R83" si="49">R64*R38/$B83</f>
        <v>17.570407734342162</v>
      </c>
      <c r="S83" s="8">
        <f t="shared" si="42"/>
        <v>18.17356572258533</v>
      </c>
    </row>
    <row r="84" spans="1:19">
      <c r="A84" s="5">
        <v>2016</v>
      </c>
      <c r="B84" s="8">
        <f>B65*B39/100</f>
        <v>26.6</v>
      </c>
      <c r="C84" s="8">
        <f t="shared" si="27"/>
        <v>28.1</v>
      </c>
      <c r="D84" s="8">
        <f>D65*D39/$B84</f>
        <v>17.376775271512113</v>
      </c>
      <c r="E84" s="8">
        <f t="shared" si="28"/>
        <v>16.668046015062483</v>
      </c>
      <c r="F84" s="8">
        <f>F65*F39/$B84</f>
        <v>75.339864813549028</v>
      </c>
      <c r="G84" s="8">
        <f t="shared" si="36"/>
        <v>76.007614003144909</v>
      </c>
      <c r="H84" s="8">
        <f>H65*H39/$B84</f>
        <v>7.9744816586921843</v>
      </c>
      <c r="I84" s="8">
        <f t="shared" si="37"/>
        <v>7.1919225357940908</v>
      </c>
      <c r="J84" s="8">
        <f>J65*J39/$B84</f>
        <v>44.58494721652616</v>
      </c>
      <c r="K84" s="8">
        <f t="shared" si="38"/>
        <v>43.188777621451628</v>
      </c>
      <c r="L84" s="8">
        <f>L65*L39/$B84</f>
        <v>55.289739500265803</v>
      </c>
      <c r="M84" s="8">
        <f t="shared" si="39"/>
        <v>56.649838616237687</v>
      </c>
      <c r="N84" s="8">
        <f>N65*N39/$B84</f>
        <v>48.872180451127818</v>
      </c>
      <c r="O84" s="8">
        <f t="shared" si="40"/>
        <v>51.121410245799886</v>
      </c>
      <c r="P84" s="8">
        <f>P65*P39/$B84</f>
        <v>26.429710640236959</v>
      </c>
      <c r="Q84" s="8">
        <f t="shared" si="41"/>
        <v>27.124886203757342</v>
      </c>
      <c r="R84" s="8">
        <f>R65*R39/$B84</f>
        <v>24.09432672590567</v>
      </c>
      <c r="S84" s="8">
        <f t="shared" si="42"/>
        <v>24.042042539104525</v>
      </c>
    </row>
    <row r="85" spans="1:19">
      <c r="A85" s="5">
        <v>2017</v>
      </c>
      <c r="B85" s="8">
        <f>B66*B40/100</f>
        <v>30.3</v>
      </c>
      <c r="C85" s="8">
        <f t="shared" si="27"/>
        <v>33.5</v>
      </c>
      <c r="D85" s="8">
        <f>D66*D40/$B85</f>
        <v>18.392850521007158</v>
      </c>
      <c r="E85" s="8">
        <f t="shared" si="28"/>
        <v>17.225141896153037</v>
      </c>
      <c r="F85" s="8">
        <f>F66*F40/$B85</f>
        <v>78.095449994437644</v>
      </c>
      <c r="G85" s="8">
        <f t="shared" si="36"/>
        <v>79.520706327517345</v>
      </c>
      <c r="H85" s="8">
        <f>H66*H40/$B85</f>
        <v>3.9715207475803762</v>
      </c>
      <c r="I85" s="8">
        <f t="shared" si="37"/>
        <v>3.5106159344124448</v>
      </c>
      <c r="J85" s="8">
        <f>J66*J40/$B85</f>
        <v>55.378796306596946</v>
      </c>
      <c r="K85" s="8">
        <f t="shared" si="38"/>
        <v>52.95774647887324</v>
      </c>
      <c r="L85" s="8">
        <f>L66*L40/$B85</f>
        <v>44.736159009159351</v>
      </c>
      <c r="M85" s="8">
        <f t="shared" si="39"/>
        <v>48.349800294303122</v>
      </c>
      <c r="N85" s="8">
        <f>N66*N40/$B85</f>
        <v>42.22939147847368</v>
      </c>
      <c r="O85" s="8">
        <f t="shared" si="40"/>
        <v>45.507672903090189</v>
      </c>
      <c r="P85" s="8">
        <f>P66*P40/$B85</f>
        <v>22.85015018355768</v>
      </c>
      <c r="Q85" s="8">
        <f t="shared" si="41"/>
        <v>25.780954383014503</v>
      </c>
      <c r="R85" s="8">
        <f>R66*R40/$B85</f>
        <v>19.331034227018208</v>
      </c>
      <c r="S85" s="8">
        <f t="shared" si="42"/>
        <v>19.760353163758673</v>
      </c>
    </row>
    <row r="86" spans="1:19">
      <c r="A86" s="5">
        <v>2018</v>
      </c>
      <c r="B86" s="8">
        <f>B67*B41/100</f>
        <v>32</v>
      </c>
      <c r="C86" s="8">
        <f t="shared" si="27"/>
        <v>35.6</v>
      </c>
      <c r="D86" s="8">
        <f>D67*D41/$B86</f>
        <v>13.935810810810811</v>
      </c>
      <c r="E86" s="8">
        <f t="shared" si="28"/>
        <v>12.107710189848897</v>
      </c>
      <c r="F86" s="8">
        <f>F67*F41/$B86</f>
        <v>80.236486486486484</v>
      </c>
      <c r="G86" s="8">
        <f t="shared" si="36"/>
        <v>82.676288260364217</v>
      </c>
      <c r="H86" s="8">
        <f>H67*H41/$B86</f>
        <v>4.5608108108108105</v>
      </c>
      <c r="I86" s="8">
        <f t="shared" si="37"/>
        <v>3.6032545524990316</v>
      </c>
      <c r="J86" s="8">
        <f>J67*J41/$B86</f>
        <v>42.398648648648653</v>
      </c>
      <c r="K86" s="8">
        <f t="shared" si="38"/>
        <v>39.466292134831463</v>
      </c>
      <c r="L86" s="8">
        <f>L67*L41/$B86</f>
        <v>57.719594594594597</v>
      </c>
      <c r="M86" s="8">
        <f t="shared" si="39"/>
        <v>58.581944982564892</v>
      </c>
      <c r="N86" s="8">
        <f>N67*N41/$B86</f>
        <v>54.037162162162168</v>
      </c>
      <c r="O86" s="8">
        <f t="shared" si="40"/>
        <v>55.937621077101902</v>
      </c>
      <c r="P86" s="8">
        <f>P67*P41/$B86</f>
        <v>31.351351351351351</v>
      </c>
      <c r="Q86" s="8">
        <f t="shared" si="41"/>
        <v>31.528477334366521</v>
      </c>
      <c r="R86" s="8">
        <f>R67*R41/$B86</f>
        <v>22.702702702702702</v>
      </c>
      <c r="S86" s="8">
        <f t="shared" si="42"/>
        <v>24.506005424254163</v>
      </c>
    </row>
    <row r="87" spans="1:19">
      <c r="A87" s="5">
        <v>2019</v>
      </c>
      <c r="B87" s="8">
        <f>B68*B42/100</f>
        <v>31.6</v>
      </c>
      <c r="C87" s="8">
        <f t="shared" si="27"/>
        <v>35.799999999999997</v>
      </c>
      <c r="D87" s="8">
        <f>D68*D42/$B87</f>
        <v>23.594032549728752</v>
      </c>
      <c r="E87" s="8">
        <f t="shared" si="28"/>
        <v>22.250048160277405</v>
      </c>
      <c r="F87" s="8">
        <f>F68*F42/$B87</f>
        <v>72.830018083182637</v>
      </c>
      <c r="G87" s="8">
        <f t="shared" si="36"/>
        <v>74.566557503371229</v>
      </c>
      <c r="H87" s="8">
        <f>H68*H42/$B87</f>
        <v>5.0045207956600368</v>
      </c>
      <c r="I87" s="8">
        <f t="shared" si="37"/>
        <v>4.5944904642650748</v>
      </c>
      <c r="J87" s="8">
        <f>J68*J42/$B87</f>
        <v>58.386075949367083</v>
      </c>
      <c r="K87" s="8">
        <f t="shared" si="38"/>
        <v>58.081294548256601</v>
      </c>
      <c r="L87" s="8">
        <f>L68*L42/$B87</f>
        <v>41.690777576853527</v>
      </c>
      <c r="M87" s="8">
        <f t="shared" si="39"/>
        <v>43.753612020805242</v>
      </c>
      <c r="N87" s="8">
        <f>N68*N42/$B87</f>
        <v>37.405063291139236</v>
      </c>
      <c r="O87" s="8">
        <f t="shared" si="40"/>
        <v>39.703332691196302</v>
      </c>
      <c r="P87" s="8">
        <f>P68*P42/$B87</f>
        <v>17.802893309222423</v>
      </c>
      <c r="Q87" s="8">
        <f t="shared" si="41"/>
        <v>19.591600847620885</v>
      </c>
      <c r="R87" s="8">
        <f>R68*R42/$B87</f>
        <v>21.333634719710666</v>
      </c>
      <c r="S87" s="8">
        <f t="shared" si="42"/>
        <v>22.346368715083802</v>
      </c>
    </row>
    <row r="89" spans="1:19">
      <c r="A89" s="5" t="s">
        <v>372</v>
      </c>
      <c r="D89" s="54" t="s">
        <v>87</v>
      </c>
      <c r="E89" s="8">
        <f>100*(E87-E74)/E74</f>
        <v>-3.150990588330977</v>
      </c>
      <c r="F89" s="8" t="s">
        <v>87</v>
      </c>
      <c r="G89" s="8">
        <f t="shared" ref="G89" si="50">100*(G87-G74)/G74</f>
        <v>2.8412680546927596</v>
      </c>
      <c r="H89" s="8" t="s">
        <v>87</v>
      </c>
      <c r="I89" s="8">
        <f t="shared" ref="I89" si="51">100*(I87-I74)/I74</f>
        <v>7.5002980005434736</v>
      </c>
      <c r="J89" s="8" t="s">
        <v>87</v>
      </c>
      <c r="K89" s="8">
        <f t="shared" ref="K89" si="52">100*(K87-K74)/K74</f>
        <v>-1.4865185623469097</v>
      </c>
      <c r="L89" s="8" t="s">
        <v>87</v>
      </c>
      <c r="M89" s="8">
        <f t="shared" ref="M89" si="53">100*(M87-M74)/M74</f>
        <v>8.8193793233156779</v>
      </c>
      <c r="N89" s="8" t="s">
        <v>87</v>
      </c>
      <c r="O89" s="8">
        <f t="shared" ref="O89" si="54">100*(O87-O74)/O74</f>
        <v>7.3674790570698274</v>
      </c>
      <c r="P89" s="8" t="s">
        <v>87</v>
      </c>
      <c r="Q89" s="8">
        <f t="shared" ref="Q89" si="55">100*(Q87-Q74)/Q74</f>
        <v>4.5995359494298551</v>
      </c>
      <c r="R89" s="8" t="s">
        <v>87</v>
      </c>
      <c r="S89" s="8">
        <f t="shared" ref="S89" si="56">100*(S87-S74)/S74</f>
        <v>22.453803180060177</v>
      </c>
    </row>
    <row r="90" spans="1:19">
      <c r="A90" s="5" t="s">
        <v>374</v>
      </c>
      <c r="D90" s="54" t="s">
        <v>87</v>
      </c>
      <c r="E90" s="8">
        <f>E87-E74</f>
        <v>-0.72390717023170481</v>
      </c>
      <c r="F90" s="8" t="s">
        <v>87</v>
      </c>
      <c r="G90" s="8">
        <f t="shared" ref="G90" si="57">G87-G74</f>
        <v>2.0601027368708316</v>
      </c>
      <c r="H90" s="8" t="s">
        <v>87</v>
      </c>
      <c r="I90" s="8">
        <f t="shared" ref="I90" si="58">I87-I74</f>
        <v>0.32055769410489621</v>
      </c>
      <c r="J90" s="8" t="s">
        <v>87</v>
      </c>
      <c r="K90" s="8">
        <f t="shared" ref="K90" si="59">K87-K74</f>
        <v>-0.8764173310204626</v>
      </c>
      <c r="L90" s="8" t="s">
        <v>87</v>
      </c>
      <c r="M90" s="8">
        <f t="shared" ref="M90" si="60">M87-M74</f>
        <v>3.5460568106179906</v>
      </c>
      <c r="N90" s="8" t="s">
        <v>87</v>
      </c>
      <c r="O90" s="8">
        <f t="shared" ref="O90" si="61">O87-O74</f>
        <v>2.7244140839218431</v>
      </c>
      <c r="P90" s="8" t="s">
        <v>87</v>
      </c>
      <c r="Q90" s="8">
        <f t="shared" ref="Q90" si="62">Q87-Q74</f>
        <v>0.86149782202742031</v>
      </c>
      <c r="R90" s="8" t="s">
        <v>87</v>
      </c>
      <c r="S90" s="8">
        <f t="shared" ref="S90" si="63">S87-S74</f>
        <v>4.0975531334028048</v>
      </c>
    </row>
    <row r="92" spans="1:19">
      <c r="A92" s="5" t="s">
        <v>686</v>
      </c>
    </row>
  </sheetData>
  <mergeCells count="36">
    <mergeCell ref="F53:G53"/>
    <mergeCell ref="J53:K53"/>
    <mergeCell ref="N72:O72"/>
    <mergeCell ref="N53:O53"/>
    <mergeCell ref="P72:Q72"/>
    <mergeCell ref="P53:Q53"/>
    <mergeCell ref="R72:S72"/>
    <mergeCell ref="B72:C72"/>
    <mergeCell ref="D72:E72"/>
    <mergeCell ref="F72:G72"/>
    <mergeCell ref="H72:I72"/>
    <mergeCell ref="J72:K72"/>
    <mergeCell ref="L72:M72"/>
    <mergeCell ref="R6:S6"/>
    <mergeCell ref="R53:S53"/>
    <mergeCell ref="P27:Q27"/>
    <mergeCell ref="N6:O6"/>
    <mergeCell ref="P6:Q6"/>
    <mergeCell ref="R27:S27"/>
    <mergeCell ref="N27:O27"/>
    <mergeCell ref="L6:M6"/>
    <mergeCell ref="B27:C27"/>
    <mergeCell ref="D27:E27"/>
    <mergeCell ref="H53:I53"/>
    <mergeCell ref="F27:G27"/>
    <mergeCell ref="H27:I27"/>
    <mergeCell ref="J27:K27"/>
    <mergeCell ref="L27:M27"/>
    <mergeCell ref="L53:M53"/>
    <mergeCell ref="B6:C6"/>
    <mergeCell ref="D6:E6"/>
    <mergeCell ref="F6:G6"/>
    <mergeCell ref="H6:I6"/>
    <mergeCell ref="J6:K6"/>
    <mergeCell ref="B53:C53"/>
    <mergeCell ref="D53:E53"/>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142FF-F715-524A-ADAF-A30DA204F63F}">
  <sheetPr codeName="Sheet74"/>
  <dimension ref="A1:S25"/>
  <sheetViews>
    <sheetView zoomScale="84" zoomScaleNormal="84" workbookViewId="0">
      <pane xSplit="1" topLeftCell="B1" activePane="topRight" state="frozen"/>
      <selection pane="topRight" activeCell="U50" sqref="U50"/>
    </sheetView>
  </sheetViews>
  <sheetFormatPr baseColWidth="10" defaultColWidth="10.83203125" defaultRowHeight="16"/>
  <cols>
    <col min="1" max="1" width="20.6640625" style="5" customWidth="1"/>
    <col min="2" max="16384" width="10.83203125" style="5"/>
  </cols>
  <sheetData>
    <row r="1" spans="1:19">
      <c r="A1" s="19" t="s">
        <v>694</v>
      </c>
    </row>
    <row r="3" spans="1:19" ht="31" customHeight="1">
      <c r="B3" s="328" t="s">
        <v>45</v>
      </c>
      <c r="C3" s="328"/>
      <c r="D3" s="328" t="s">
        <v>362</v>
      </c>
      <c r="E3" s="328"/>
      <c r="F3" s="328" t="s">
        <v>361</v>
      </c>
      <c r="G3" s="328"/>
      <c r="H3" s="328" t="s">
        <v>363</v>
      </c>
      <c r="I3" s="328"/>
      <c r="J3" s="357" t="s">
        <v>386</v>
      </c>
      <c r="K3" s="357"/>
      <c r="L3" s="357" t="s">
        <v>78</v>
      </c>
      <c r="M3" s="357"/>
      <c r="N3" s="357" t="s">
        <v>389</v>
      </c>
      <c r="O3" s="357"/>
      <c r="P3" s="357" t="s">
        <v>390</v>
      </c>
      <c r="Q3" s="357"/>
      <c r="R3" s="357" t="s">
        <v>391</v>
      </c>
      <c r="S3" s="357"/>
    </row>
    <row r="4" spans="1:19">
      <c r="B4" s="135" t="s">
        <v>383</v>
      </c>
      <c r="C4" s="135" t="s">
        <v>384</v>
      </c>
      <c r="D4" s="135" t="s">
        <v>383</v>
      </c>
      <c r="E4" s="135" t="s">
        <v>384</v>
      </c>
      <c r="F4" s="135" t="s">
        <v>383</v>
      </c>
      <c r="G4" s="135" t="s">
        <v>384</v>
      </c>
      <c r="H4" s="135" t="s">
        <v>383</v>
      </c>
      <c r="I4" s="135" t="s">
        <v>384</v>
      </c>
      <c r="J4" s="135" t="s">
        <v>383</v>
      </c>
      <c r="K4" s="135" t="s">
        <v>384</v>
      </c>
      <c r="L4" s="135" t="s">
        <v>383</v>
      </c>
      <c r="M4" s="135" t="s">
        <v>384</v>
      </c>
      <c r="N4" s="135" t="s">
        <v>383</v>
      </c>
      <c r="O4" s="135" t="s">
        <v>384</v>
      </c>
      <c r="P4" s="135" t="s">
        <v>383</v>
      </c>
      <c r="Q4" s="135" t="s">
        <v>384</v>
      </c>
      <c r="R4" s="135" t="s">
        <v>383</v>
      </c>
      <c r="S4" s="135" t="s">
        <v>384</v>
      </c>
    </row>
    <row r="5" spans="1:19">
      <c r="A5" s="5">
        <v>2006</v>
      </c>
      <c r="C5" s="8">
        <v>88.580246913580254</v>
      </c>
      <c r="E5" s="8">
        <v>84.532374100719423</v>
      </c>
      <c r="G5" s="8">
        <v>91.03641456582632</v>
      </c>
      <c r="I5" s="8">
        <v>92.814371257485035</v>
      </c>
      <c r="K5" s="8">
        <v>84.805653710247341</v>
      </c>
      <c r="M5" s="8">
        <v>96.626506024096386</v>
      </c>
      <c r="O5" s="8">
        <v>100.87527352297592</v>
      </c>
      <c r="Q5" s="8">
        <v>96.487603305785129</v>
      </c>
      <c r="S5" s="8">
        <v>107.05882352941177</v>
      </c>
    </row>
    <row r="6" spans="1:19">
      <c r="A6" s="5">
        <v>2007</v>
      </c>
      <c r="C6" s="8">
        <v>89.240506329113927</v>
      </c>
      <c r="E6" s="8">
        <v>88.931297709923669</v>
      </c>
      <c r="G6" s="8">
        <v>91.404011461318049</v>
      </c>
      <c r="I6" s="8">
        <v>69.491525423728817</v>
      </c>
      <c r="K6" s="8">
        <v>94.833948339483385</v>
      </c>
      <c r="M6" s="8">
        <v>85.396039603960403</v>
      </c>
      <c r="O6" s="8">
        <v>91.13636363636364</v>
      </c>
      <c r="Q6" s="8">
        <v>91.266375545851531</v>
      </c>
      <c r="S6" s="8">
        <v>91.646778042959426</v>
      </c>
    </row>
    <row r="7" spans="1:19">
      <c r="A7" s="5">
        <v>2008</v>
      </c>
      <c r="C7" s="8">
        <v>96.284829721362243</v>
      </c>
      <c r="E7" s="8">
        <v>81.412639405204459</v>
      </c>
      <c r="G7" s="8">
        <v>102.25352112676055</v>
      </c>
      <c r="I7" s="8">
        <v>69.945355191256823</v>
      </c>
      <c r="K7" s="8">
        <v>87.972508591065292</v>
      </c>
      <c r="M7" s="8">
        <v>107.8125</v>
      </c>
      <c r="O7" s="8">
        <v>108.0952380952381</v>
      </c>
      <c r="Q7" s="8">
        <v>121.99074074074073</v>
      </c>
      <c r="S7" s="8">
        <v>97.310513447432754</v>
      </c>
    </row>
    <row r="8" spans="1:19">
      <c r="A8" s="5">
        <v>2009</v>
      </c>
      <c r="C8" s="8">
        <v>95.107033639143722</v>
      </c>
      <c r="E8" s="8">
        <v>87.777777777777771</v>
      </c>
      <c r="G8" s="8">
        <v>100.83798882681565</v>
      </c>
      <c r="I8" s="8">
        <v>53.398058252427184</v>
      </c>
      <c r="K8" s="8">
        <v>89.76109215017064</v>
      </c>
      <c r="M8" s="8">
        <v>100.50761421319797</v>
      </c>
      <c r="O8" s="8">
        <v>105.82750582750583</v>
      </c>
      <c r="Q8" s="8">
        <v>104.72972972972973</v>
      </c>
      <c r="S8" s="8">
        <v>108.82352941176471</v>
      </c>
    </row>
    <row r="9" spans="1:19">
      <c r="A9" s="5">
        <v>2010</v>
      </c>
      <c r="C9" s="8">
        <v>91.849529780564268</v>
      </c>
      <c r="E9" s="8">
        <v>78.455284552845526</v>
      </c>
      <c r="G9" s="8">
        <v>96.306818181818173</v>
      </c>
      <c r="I9" s="8">
        <v>82.608695652173921</v>
      </c>
      <c r="K9" s="8">
        <v>88.768115942028984</v>
      </c>
      <c r="M9" s="8">
        <v>98.992443324937014</v>
      </c>
      <c r="O9" s="8">
        <v>105.09259259259258</v>
      </c>
      <c r="Q9" s="8">
        <v>104.15704387990763</v>
      </c>
      <c r="S9" s="8">
        <v>106.03248259860788</v>
      </c>
    </row>
    <row r="10" spans="1:19">
      <c r="A10" s="5">
        <v>2011</v>
      </c>
      <c r="C10" s="8">
        <v>98.442367601246104</v>
      </c>
      <c r="E10" s="8">
        <v>108.62745098039215</v>
      </c>
      <c r="G10" s="8">
        <v>98.295454545454533</v>
      </c>
      <c r="I10" s="8">
        <v>78.879310344827587</v>
      </c>
      <c r="K10" s="8">
        <v>103.30882352941177</v>
      </c>
      <c r="M10" s="8">
        <v>94.499999999999986</v>
      </c>
      <c r="O10" s="8">
        <v>100.46403712296983</v>
      </c>
      <c r="Q10" s="8">
        <v>100.90497737556561</v>
      </c>
      <c r="S10" s="8">
        <v>101.19331742243438</v>
      </c>
    </row>
    <row r="11" spans="1:19">
      <c r="A11" s="5">
        <v>2012</v>
      </c>
      <c r="C11" s="8">
        <v>91.404011461318049</v>
      </c>
      <c r="E11" s="8">
        <v>86.909090909090907</v>
      </c>
      <c r="G11" s="8">
        <v>95.103092783505161</v>
      </c>
      <c r="I11" s="8">
        <v>96.875000000000014</v>
      </c>
      <c r="K11" s="8">
        <v>84.313725490196077</v>
      </c>
      <c r="M11" s="8">
        <v>99.534883720930239</v>
      </c>
      <c r="O11" s="8">
        <v>112.23175965665236</v>
      </c>
      <c r="Q11" s="8">
        <v>130.56179775280899</v>
      </c>
      <c r="S11" s="8">
        <v>96.741344195519346</v>
      </c>
    </row>
    <row r="12" spans="1:19">
      <c r="A12" s="5">
        <v>2013</v>
      </c>
      <c r="C12" s="8">
        <v>91.477272727272734</v>
      </c>
      <c r="E12" s="8">
        <v>97.818181818181813</v>
      </c>
      <c r="G12" s="8">
        <v>95.629820051413901</v>
      </c>
      <c r="I12" s="8">
        <v>66.84782608695653</v>
      </c>
      <c r="K12" s="8">
        <v>96.959459459459453</v>
      </c>
      <c r="M12" s="8">
        <v>85.27472527472527</v>
      </c>
      <c r="O12" s="8">
        <v>91.942148760330582</v>
      </c>
      <c r="Q12" s="8">
        <v>95.209580838323348</v>
      </c>
      <c r="S12" s="8">
        <v>89.008620689655174</v>
      </c>
    </row>
    <row r="13" spans="1:19">
      <c r="A13" s="5">
        <v>2014</v>
      </c>
      <c r="C13" s="8">
        <v>94.460641399416915</v>
      </c>
      <c r="E13" s="8">
        <v>92.280701754385959</v>
      </c>
      <c r="G13" s="8">
        <v>101.60857908847186</v>
      </c>
      <c r="I13" s="8">
        <v>52.577319587628864</v>
      </c>
      <c r="K13" s="8">
        <v>102.4390243902439</v>
      </c>
      <c r="M13" s="8">
        <v>89.908256880733958</v>
      </c>
      <c r="O13" s="8">
        <v>104.50643776824035</v>
      </c>
      <c r="Q13" s="8">
        <v>101.04602510460252</v>
      </c>
      <c r="S13" s="8">
        <v>109.09090909090909</v>
      </c>
    </row>
    <row r="14" spans="1:19">
      <c r="A14" s="5">
        <v>2015</v>
      </c>
      <c r="B14" s="8">
        <v>95.911949685534594</v>
      </c>
      <c r="C14" s="8">
        <v>94.460641399416915</v>
      </c>
      <c r="D14" s="8">
        <v>78.82352941176471</v>
      </c>
      <c r="E14" s="8">
        <v>89.015151515151516</v>
      </c>
      <c r="F14" s="8">
        <v>105.07042253521125</v>
      </c>
      <c r="G14" s="8">
        <v>100.26246719160106</v>
      </c>
      <c r="H14" s="8">
        <v>86.335403726708066</v>
      </c>
      <c r="I14" s="8">
        <v>78.142076502732237</v>
      </c>
      <c r="J14" s="8">
        <v>90.706319702602229</v>
      </c>
      <c r="K14" s="8">
        <v>90.877192982456137</v>
      </c>
      <c r="L14" s="8">
        <v>101.96560196560196</v>
      </c>
      <c r="M14" s="8">
        <v>100.45977011494253</v>
      </c>
      <c r="N14" s="8">
        <v>109.1314031180401</v>
      </c>
      <c r="O14" s="8">
        <v>106.80851063829788</v>
      </c>
      <c r="P14" s="8">
        <v>125.57077625570777</v>
      </c>
      <c r="Q14" s="8">
        <v>124.00881057268722</v>
      </c>
      <c r="R14" s="8">
        <v>90.476190476190467</v>
      </c>
      <c r="S14" s="8">
        <v>87.909836065573771</v>
      </c>
    </row>
    <row r="15" spans="1:19">
      <c r="A15" s="5">
        <v>2016</v>
      </c>
      <c r="B15" s="8">
        <v>83.647798742138363</v>
      </c>
      <c r="C15" s="8">
        <v>82.404692082111396</v>
      </c>
      <c r="D15" s="8">
        <v>82.21343873517786</v>
      </c>
      <c r="E15" s="8">
        <v>80.303030303030312</v>
      </c>
      <c r="F15" s="8">
        <v>87.078651685393254</v>
      </c>
      <c r="G15" s="8">
        <v>87.234042553191472</v>
      </c>
      <c r="H15" s="8">
        <v>83.798882681564251</v>
      </c>
      <c r="I15" s="8">
        <v>75.238095238095241</v>
      </c>
      <c r="J15" s="8">
        <v>73.431734317343157</v>
      </c>
      <c r="K15" s="8">
        <v>73.19587628865979</v>
      </c>
      <c r="L15" s="8">
        <v>91.919191919191917</v>
      </c>
      <c r="M15" s="8">
        <v>89.58837772397095</v>
      </c>
      <c r="N15" s="8">
        <v>96.839729119638832</v>
      </c>
      <c r="O15" s="8">
        <v>95.515695067264573</v>
      </c>
      <c r="P15" s="8">
        <v>96.026490066225165</v>
      </c>
      <c r="Q15" s="8">
        <v>96.255506607929519</v>
      </c>
      <c r="R15" s="8">
        <v>98.143851508120648</v>
      </c>
      <c r="S15" s="8">
        <v>94.96567505720823</v>
      </c>
    </row>
    <row r="16" spans="1:19">
      <c r="A16" s="5">
        <v>2017</v>
      </c>
      <c r="B16" s="8">
        <v>92.097264437689972</v>
      </c>
      <c r="C16" s="8">
        <v>95.441595441595439</v>
      </c>
      <c r="D16" s="8">
        <v>101.22448979591837</v>
      </c>
      <c r="E16" s="8">
        <v>94.881889763779526</v>
      </c>
      <c r="F16" s="8">
        <v>95.121951219512198</v>
      </c>
      <c r="G16" s="8">
        <v>100.25974025974025</v>
      </c>
      <c r="H16" s="8">
        <v>66.480446927374302</v>
      </c>
      <c r="I16" s="8">
        <v>69.583333333333329</v>
      </c>
      <c r="J16" s="8">
        <v>93.906810035842298</v>
      </c>
      <c r="K16" s="8">
        <v>91.156462585034021</v>
      </c>
      <c r="L16" s="8">
        <v>92.628992628992634</v>
      </c>
      <c r="M16" s="8">
        <v>105.99078341013825</v>
      </c>
      <c r="N16" s="8">
        <v>97.986577181208048</v>
      </c>
      <c r="O16" s="8">
        <v>106.95652173913044</v>
      </c>
      <c r="P16" s="8">
        <v>102.37580993520518</v>
      </c>
      <c r="Q16" s="8">
        <v>107.80590717299579</v>
      </c>
      <c r="R16" s="8">
        <v>93.691588785046733</v>
      </c>
      <c r="S16" s="8">
        <v>105.85585585585586</v>
      </c>
    </row>
    <row r="17" spans="1:19">
      <c r="A17" s="5">
        <v>2018</v>
      </c>
      <c r="B17" s="8">
        <v>95.808383233532936</v>
      </c>
      <c r="C17" s="8">
        <v>96.739130434782609</v>
      </c>
      <c r="D17" s="8">
        <v>83.969465648854964</v>
      </c>
      <c r="E17" s="8">
        <v>90.25270758122744</v>
      </c>
      <c r="F17" s="8">
        <v>101.87667560321717</v>
      </c>
      <c r="G17" s="8">
        <v>98.756218905472636</v>
      </c>
      <c r="H17" s="8">
        <v>80.357142857142847</v>
      </c>
      <c r="I17" s="8">
        <v>83.035714285714306</v>
      </c>
      <c r="J17" s="8">
        <v>90.613718411552355</v>
      </c>
      <c r="K17" s="8">
        <v>92.434210526315795</v>
      </c>
      <c r="L17" s="8">
        <v>97.33656174334142</v>
      </c>
      <c r="M17" s="8">
        <v>96.428571428571431</v>
      </c>
      <c r="N17" s="8">
        <v>100.88300220750553</v>
      </c>
      <c r="O17" s="8">
        <v>97.263157894736835</v>
      </c>
      <c r="P17" s="8">
        <v>99.784946236559136</v>
      </c>
      <c r="Q17" s="8">
        <v>95.679012345679013</v>
      </c>
      <c r="R17" s="8">
        <v>102.0501138952164</v>
      </c>
      <c r="S17" s="8">
        <v>100</v>
      </c>
    </row>
    <row r="18" spans="1:19">
      <c r="A18" s="5">
        <v>2019</v>
      </c>
      <c r="B18" s="8">
        <v>95.757575757575751</v>
      </c>
      <c r="C18" s="8">
        <v>98.351648351648336</v>
      </c>
      <c r="D18" s="8">
        <v>119.921875</v>
      </c>
      <c r="E18" s="8">
        <v>119.56521739130434</v>
      </c>
      <c r="F18" s="8">
        <v>97.282608695652172</v>
      </c>
      <c r="G18" s="8">
        <v>99.498746867167938</v>
      </c>
      <c r="H18" s="8">
        <v>68.715083798882688</v>
      </c>
      <c r="I18" s="8">
        <v>68.240343347639481</v>
      </c>
      <c r="J18" s="8">
        <v>115.80882352941177</v>
      </c>
      <c r="K18" s="8">
        <v>112.41610738255034</v>
      </c>
      <c r="L18" s="8">
        <v>77.184466019417471</v>
      </c>
      <c r="M18" s="8">
        <v>87.777777777777771</v>
      </c>
      <c r="N18" s="8">
        <v>87.16814159292035</v>
      </c>
      <c r="O18" s="8">
        <v>95.218295218295211</v>
      </c>
      <c r="P18" s="8">
        <v>80.44943820224718</v>
      </c>
      <c r="Q18" s="8">
        <v>96.995708154506431</v>
      </c>
      <c r="R18" s="8">
        <v>93.260869565217391</v>
      </c>
      <c r="S18" s="8">
        <v>93.172690763052216</v>
      </c>
    </row>
    <row r="21" spans="1:19">
      <c r="A21" s="5" t="s">
        <v>374</v>
      </c>
      <c r="B21" s="8" t="s">
        <v>87</v>
      </c>
      <c r="C21" s="8">
        <f>C18-C5</f>
        <v>9.7714014380680823</v>
      </c>
      <c r="D21" s="8" t="s">
        <v>87</v>
      </c>
      <c r="E21" s="8">
        <f t="shared" ref="E21" si="0">E18-E5</f>
        <v>35.032843290584921</v>
      </c>
      <c r="F21" s="8" t="s">
        <v>87</v>
      </c>
      <c r="G21" s="8">
        <f t="shared" ref="G21" si="1">G18-G5</f>
        <v>8.4623323013416183</v>
      </c>
      <c r="H21" s="8" t="s">
        <v>87</v>
      </c>
      <c r="I21" s="8">
        <f t="shared" ref="I21" si="2">I18-I5</f>
        <v>-24.574027909845555</v>
      </c>
      <c r="J21" s="8" t="s">
        <v>87</v>
      </c>
      <c r="K21" s="8">
        <f t="shared" ref="K21" si="3">K18-K5</f>
        <v>27.610453672302995</v>
      </c>
      <c r="L21" s="8" t="s">
        <v>87</v>
      </c>
      <c r="M21" s="8">
        <f t="shared" ref="M21" si="4">M18-M5</f>
        <v>-8.8487282463186148</v>
      </c>
      <c r="N21" s="8" t="s">
        <v>87</v>
      </c>
      <c r="O21" s="8">
        <f t="shared" ref="O21" si="5">O18-O5</f>
        <v>-5.6569783046807061</v>
      </c>
      <c r="P21" s="8" t="s">
        <v>87</v>
      </c>
      <c r="Q21" s="8">
        <f t="shared" ref="Q21" si="6">Q18-Q5</f>
        <v>0.50810484872130246</v>
      </c>
      <c r="R21" s="8" t="s">
        <v>87</v>
      </c>
      <c r="S21" s="8">
        <f t="shared" ref="S21" si="7">S18-S5</f>
        <v>-13.886132766359552</v>
      </c>
    </row>
    <row r="22" spans="1:19">
      <c r="A22" s="5" t="s">
        <v>373</v>
      </c>
      <c r="B22" s="8">
        <f>B18-B14</f>
        <v>-0.15437392795884364</v>
      </c>
      <c r="C22" s="8">
        <f>C18-C14</f>
        <v>3.8910069522314217</v>
      </c>
      <c r="D22" s="8">
        <f t="shared" ref="D22:S22" si="8">D18-D14</f>
        <v>41.09834558823529</v>
      </c>
      <c r="E22" s="8">
        <f t="shared" si="8"/>
        <v>30.550065876152829</v>
      </c>
      <c r="F22" s="8">
        <f t="shared" si="8"/>
        <v>-7.7878138395590781</v>
      </c>
      <c r="G22" s="8">
        <f t="shared" si="8"/>
        <v>-0.76372032443312321</v>
      </c>
      <c r="H22" s="8">
        <f t="shared" si="8"/>
        <v>-17.620319927825378</v>
      </c>
      <c r="I22" s="8">
        <f t="shared" si="8"/>
        <v>-9.9017331550927565</v>
      </c>
      <c r="J22" s="8">
        <f t="shared" si="8"/>
        <v>25.102503826809539</v>
      </c>
      <c r="K22" s="8">
        <f t="shared" si="8"/>
        <v>21.5389144000942</v>
      </c>
      <c r="L22" s="8">
        <f t="shared" si="8"/>
        <v>-24.781135946184492</v>
      </c>
      <c r="M22" s="8">
        <f t="shared" si="8"/>
        <v>-12.681992337164758</v>
      </c>
      <c r="N22" s="8">
        <f t="shared" si="8"/>
        <v>-21.963261525119748</v>
      </c>
      <c r="O22" s="8">
        <f t="shared" si="8"/>
        <v>-11.590215420002664</v>
      </c>
      <c r="P22" s="8">
        <f t="shared" si="8"/>
        <v>-45.12133805346059</v>
      </c>
      <c r="Q22" s="8">
        <f t="shared" si="8"/>
        <v>-27.013102418180793</v>
      </c>
      <c r="R22" s="8">
        <f t="shared" si="8"/>
        <v>2.7846790890269233</v>
      </c>
      <c r="S22" s="8">
        <f t="shared" si="8"/>
        <v>5.2628546974784456</v>
      </c>
    </row>
    <row r="23" spans="1:19">
      <c r="A23" s="2"/>
    </row>
    <row r="24" spans="1:19">
      <c r="A24" s="2"/>
      <c r="H24" s="115"/>
      <c r="I24" s="115"/>
    </row>
    <row r="25" spans="1:19">
      <c r="A25" s="5" t="s">
        <v>686</v>
      </c>
      <c r="I25" s="115"/>
    </row>
  </sheetData>
  <mergeCells count="9">
    <mergeCell ref="H3:I3"/>
    <mergeCell ref="J3:K3"/>
    <mergeCell ref="P3:Q3"/>
    <mergeCell ref="R3:S3"/>
    <mergeCell ref="B3:C3"/>
    <mergeCell ref="D3:E3"/>
    <mergeCell ref="F3:G3"/>
    <mergeCell ref="L3:M3"/>
    <mergeCell ref="N3:O3"/>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892B-13D7-3046-A6CB-174462C23157}">
  <sheetPr codeName="Sheet75"/>
  <dimension ref="A1:E14"/>
  <sheetViews>
    <sheetView zoomScale="106" zoomScaleNormal="106" workbookViewId="0">
      <selection activeCell="A30" sqref="A30"/>
    </sheetView>
  </sheetViews>
  <sheetFormatPr baseColWidth="10" defaultColWidth="11" defaultRowHeight="16"/>
  <cols>
    <col min="1" max="1" width="24.6640625" customWidth="1"/>
    <col min="2" max="5" width="14.83203125" customWidth="1"/>
  </cols>
  <sheetData>
    <row r="1" spans="1:5">
      <c r="A1" s="3" t="s">
        <v>696</v>
      </c>
      <c r="B1" s="2"/>
      <c r="C1" s="2"/>
      <c r="D1" s="2"/>
      <c r="E1" s="2"/>
    </row>
    <row r="2" spans="1:5">
      <c r="A2" s="4" t="s">
        <v>396</v>
      </c>
      <c r="B2" s="2"/>
      <c r="C2" s="2"/>
      <c r="D2" s="2"/>
      <c r="E2" s="2"/>
    </row>
    <row r="4" spans="1:5" ht="48">
      <c r="A4" s="12" t="s">
        <v>397</v>
      </c>
      <c r="B4" s="12" t="s">
        <v>398</v>
      </c>
      <c r="C4" s="12" t="s">
        <v>399</v>
      </c>
      <c r="D4" s="12" t="s">
        <v>400</v>
      </c>
      <c r="E4" s="12" t="s">
        <v>401</v>
      </c>
    </row>
    <row r="5" spans="1:5">
      <c r="A5" s="10" t="s">
        <v>402</v>
      </c>
      <c r="B5" s="11">
        <v>6444</v>
      </c>
      <c r="C5" s="11">
        <v>7956</v>
      </c>
      <c r="D5" s="11">
        <v>10644</v>
      </c>
      <c r="E5" s="11">
        <v>11940</v>
      </c>
    </row>
    <row r="6" spans="1:5">
      <c r="A6" s="10" t="s">
        <v>403</v>
      </c>
      <c r="B6" s="11" t="s">
        <v>404</v>
      </c>
      <c r="C6" s="11">
        <v>1200</v>
      </c>
      <c r="D6" s="11">
        <v>1224</v>
      </c>
      <c r="E6" s="11">
        <v>1224</v>
      </c>
    </row>
    <row r="7" spans="1:5">
      <c r="A7" s="10" t="s">
        <v>405</v>
      </c>
      <c r="B7" s="11" t="s">
        <v>404</v>
      </c>
      <c r="C7" s="11" t="s">
        <v>404</v>
      </c>
      <c r="D7" s="11">
        <v>6568</v>
      </c>
      <c r="E7" s="11">
        <v>11083</v>
      </c>
    </row>
    <row r="8" spans="1:5">
      <c r="A8" s="10" t="s">
        <v>406</v>
      </c>
      <c r="B8" s="11" t="s">
        <v>404</v>
      </c>
      <c r="C8" s="11" t="s">
        <v>404</v>
      </c>
      <c r="D8" s="11">
        <v>250</v>
      </c>
      <c r="E8" s="11">
        <v>500</v>
      </c>
    </row>
    <row r="9" spans="1:5">
      <c r="A9" s="10" t="s">
        <v>407</v>
      </c>
      <c r="B9" s="11">
        <v>287</v>
      </c>
      <c r="C9" s="11">
        <v>287</v>
      </c>
      <c r="D9" s="11">
        <v>725</v>
      </c>
      <c r="E9" s="11">
        <v>876</v>
      </c>
    </row>
    <row r="10" spans="1:5">
      <c r="A10" s="10" t="s">
        <v>408</v>
      </c>
      <c r="B10" s="11">
        <v>400</v>
      </c>
      <c r="C10" s="11">
        <v>400</v>
      </c>
      <c r="D10" s="11">
        <v>700</v>
      </c>
      <c r="E10" s="11">
        <v>1100</v>
      </c>
    </row>
    <row r="11" spans="1:5">
      <c r="A11" s="10" t="s">
        <v>409</v>
      </c>
      <c r="B11" s="11">
        <v>7131</v>
      </c>
      <c r="C11" s="11">
        <v>9843</v>
      </c>
      <c r="D11" s="11">
        <v>20111</v>
      </c>
      <c r="E11" s="11">
        <v>26723</v>
      </c>
    </row>
    <row r="14" spans="1:5">
      <c r="A14" s="4" t="s">
        <v>410</v>
      </c>
      <c r="B14" s="2"/>
      <c r="C14" s="2"/>
      <c r="D14" s="2"/>
      <c r="E14" s="2"/>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9F7F6-722C-F34E-B4E8-C3B13B724445}">
  <sheetPr codeName="Sheet76"/>
  <dimension ref="A1:E13"/>
  <sheetViews>
    <sheetView workbookViewId="0"/>
  </sheetViews>
  <sheetFormatPr baseColWidth="10" defaultColWidth="10.83203125" defaultRowHeight="16"/>
  <cols>
    <col min="1" max="1" width="37" style="5" customWidth="1"/>
    <col min="2" max="5" width="14.83203125" style="5" customWidth="1"/>
    <col min="6" max="16384" width="10.83203125" style="5"/>
  </cols>
  <sheetData>
    <row r="1" spans="1:5">
      <c r="A1" s="3" t="s">
        <v>695</v>
      </c>
    </row>
    <row r="3" spans="1:5" ht="51" customHeight="1">
      <c r="A3" s="5" t="s">
        <v>411</v>
      </c>
      <c r="B3" s="12" t="s">
        <v>398</v>
      </c>
      <c r="C3" s="12" t="s">
        <v>399</v>
      </c>
      <c r="D3" s="12" t="s">
        <v>400</v>
      </c>
      <c r="E3" s="12" t="s">
        <v>401</v>
      </c>
    </row>
    <row r="4" spans="1:5">
      <c r="A4" s="5" t="s">
        <v>402</v>
      </c>
      <c r="B4" s="143">
        <v>4.9275473140890842</v>
      </c>
      <c r="C4" s="143">
        <v>5.0533857557530215</v>
      </c>
      <c r="D4" s="143">
        <v>5.8009243111266136</v>
      </c>
      <c r="E4" s="143">
        <v>4.9397017148294475</v>
      </c>
    </row>
    <row r="5" spans="1:5">
      <c r="A5" s="5" t="s">
        <v>403</v>
      </c>
      <c r="B5" s="143">
        <v>0</v>
      </c>
      <c r="C5" s="143">
        <v>4.7413963412224902</v>
      </c>
      <c r="D5" s="143">
        <v>7.7165552893708229</v>
      </c>
      <c r="E5" s="143">
        <v>6.4556962025316453</v>
      </c>
    </row>
    <row r="6" spans="1:5">
      <c r="A6" s="5" t="s">
        <v>405</v>
      </c>
      <c r="B6" s="8" t="s">
        <v>87</v>
      </c>
      <c r="C6" s="8" t="s">
        <v>87</v>
      </c>
      <c r="D6" s="143">
        <v>7.6923076923076925</v>
      </c>
      <c r="E6" s="143">
        <v>7.7434184785646414</v>
      </c>
    </row>
    <row r="7" spans="1:5">
      <c r="A7" s="5" t="s">
        <v>406</v>
      </c>
      <c r="B7" s="8" t="s">
        <v>87</v>
      </c>
      <c r="C7" s="8" t="s">
        <v>87</v>
      </c>
      <c r="D7" s="143">
        <v>2.7242018088700011</v>
      </c>
      <c r="E7" s="143">
        <v>3.313672211544834</v>
      </c>
    </row>
    <row r="8" spans="1:5">
      <c r="A8" s="5" t="s">
        <v>407</v>
      </c>
      <c r="B8" s="143">
        <v>7.0620078740157481</v>
      </c>
      <c r="C8" s="143">
        <v>6.5360965611478026</v>
      </c>
      <c r="D8" s="143">
        <v>7.6923076923076925</v>
      </c>
      <c r="E8" s="143">
        <v>7.6923076923076925</v>
      </c>
    </row>
    <row r="9" spans="1:5">
      <c r="A9" s="5" t="s">
        <v>412</v>
      </c>
      <c r="B9" s="143">
        <v>11.507479861910241</v>
      </c>
      <c r="C9" s="143">
        <v>10.807889759524453</v>
      </c>
      <c r="D9" s="143">
        <v>13.300399011970359</v>
      </c>
      <c r="E9" s="143">
        <v>14.265335235378032</v>
      </c>
    </row>
    <row r="10" spans="1:5">
      <c r="A10" s="5" t="s">
        <v>409</v>
      </c>
      <c r="B10" s="143">
        <v>4.8224465919619126</v>
      </c>
      <c r="C10" s="143">
        <v>5.1578048282041742</v>
      </c>
      <c r="D10" s="143">
        <v>6.5038678464245061</v>
      </c>
      <c r="E10" s="143">
        <v>6.1012390608982336</v>
      </c>
    </row>
    <row r="13" spans="1:5">
      <c r="A13" s="4" t="s">
        <v>413</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A8597-6719-634C-AA71-122BDDE484A4}">
  <sheetPr codeName="Sheet77"/>
  <dimension ref="A1:E47"/>
  <sheetViews>
    <sheetView workbookViewId="0"/>
  </sheetViews>
  <sheetFormatPr baseColWidth="10" defaultColWidth="10.83203125" defaultRowHeight="16"/>
  <cols>
    <col min="1" max="1" width="17.83203125" style="5" customWidth="1"/>
    <col min="2" max="16384" width="10.83203125" style="5"/>
  </cols>
  <sheetData>
    <row r="1" spans="1:5">
      <c r="A1" s="13" t="s">
        <v>697</v>
      </c>
    </row>
    <row r="2" spans="1:5">
      <c r="A2" s="5" t="s">
        <v>3</v>
      </c>
    </row>
    <row r="4" spans="1:5" ht="64">
      <c r="B4" s="12" t="s">
        <v>398</v>
      </c>
      <c r="C4" s="12" t="s">
        <v>399</v>
      </c>
      <c r="D4" s="12" t="s">
        <v>400</v>
      </c>
      <c r="E4" s="12" t="s">
        <v>401</v>
      </c>
    </row>
    <row r="5" spans="1:5">
      <c r="A5" s="14">
        <v>1986</v>
      </c>
      <c r="B5" s="50">
        <v>4726</v>
      </c>
      <c r="C5" s="50"/>
      <c r="D5" s="50">
        <v>16400</v>
      </c>
      <c r="E5" s="50">
        <v>19764</v>
      </c>
    </row>
    <row r="6" spans="1:5">
      <c r="A6" s="14">
        <v>1989</v>
      </c>
      <c r="B6" s="50">
        <v>5239</v>
      </c>
      <c r="C6" s="50">
        <v>13522</v>
      </c>
      <c r="D6" s="50">
        <v>16027</v>
      </c>
      <c r="E6" s="50">
        <v>18845</v>
      </c>
    </row>
    <row r="7" spans="1:5">
      <c r="A7" s="14">
        <v>1990</v>
      </c>
      <c r="B7" s="50">
        <v>5294</v>
      </c>
      <c r="C7" s="50">
        <v>13460</v>
      </c>
      <c r="D7" s="50">
        <v>16128</v>
      </c>
      <c r="E7" s="50">
        <v>18889</v>
      </c>
    </row>
    <row r="8" spans="1:5">
      <c r="A8" s="14">
        <v>1991</v>
      </c>
      <c r="B8" s="50">
        <v>5394</v>
      </c>
      <c r="C8" s="50">
        <v>13302</v>
      </c>
      <c r="D8" s="50">
        <v>16169</v>
      </c>
      <c r="E8" s="50">
        <v>19258</v>
      </c>
    </row>
    <row r="9" spans="1:5">
      <c r="A9" s="14">
        <v>1992</v>
      </c>
      <c r="B9" s="50">
        <v>5246</v>
      </c>
      <c r="C9" s="50">
        <v>13180</v>
      </c>
      <c r="D9" s="50">
        <v>16119</v>
      </c>
      <c r="E9" s="50">
        <v>19318</v>
      </c>
    </row>
    <row r="10" spans="1:5">
      <c r="A10" s="14">
        <v>1993</v>
      </c>
      <c r="B10" s="50">
        <v>5174</v>
      </c>
      <c r="C10" s="50">
        <v>13090</v>
      </c>
      <c r="D10" s="50">
        <v>16129</v>
      </c>
      <c r="E10" s="50">
        <v>19308</v>
      </c>
    </row>
    <row r="11" spans="1:5">
      <c r="A11" s="14">
        <v>1994</v>
      </c>
      <c r="B11" s="50">
        <v>5210</v>
      </c>
      <c r="C11" s="50">
        <v>10355</v>
      </c>
      <c r="D11" s="50">
        <v>16692</v>
      </c>
      <c r="E11" s="50">
        <v>19876</v>
      </c>
    </row>
    <row r="12" spans="1:5">
      <c r="A12" s="14">
        <v>1995</v>
      </c>
      <c r="B12" s="50">
        <v>5117</v>
      </c>
      <c r="C12" s="50">
        <v>10310</v>
      </c>
      <c r="D12" s="50">
        <v>17318</v>
      </c>
      <c r="E12" s="50">
        <v>20587</v>
      </c>
    </row>
    <row r="13" spans="1:5">
      <c r="A13" s="14">
        <v>1996</v>
      </c>
      <c r="B13" s="50">
        <v>5096</v>
      </c>
      <c r="C13" s="50">
        <v>10248</v>
      </c>
      <c r="D13" s="50">
        <v>17225</v>
      </c>
      <c r="E13" s="50">
        <v>20439</v>
      </c>
    </row>
    <row r="14" spans="1:5">
      <c r="A14" s="14">
        <v>1997</v>
      </c>
      <c r="B14" s="50">
        <v>5064</v>
      </c>
      <c r="C14" s="50">
        <v>10321</v>
      </c>
      <c r="D14" s="50">
        <v>17345</v>
      </c>
      <c r="E14" s="50">
        <v>20773</v>
      </c>
    </row>
    <row r="15" spans="1:5">
      <c r="A15" s="14">
        <v>1998</v>
      </c>
      <c r="B15" s="50">
        <v>5017</v>
      </c>
      <c r="C15" s="50">
        <v>10277</v>
      </c>
      <c r="D15" s="50">
        <v>17765</v>
      </c>
      <c r="E15" s="50">
        <v>21583</v>
      </c>
    </row>
    <row r="16" spans="1:5">
      <c r="A16" s="14">
        <v>1999</v>
      </c>
      <c r="B16" s="50">
        <v>4929</v>
      </c>
      <c r="C16" s="50">
        <v>10101</v>
      </c>
      <c r="D16" s="50">
        <v>18034</v>
      </c>
      <c r="E16" s="50">
        <v>22209</v>
      </c>
    </row>
    <row r="17" spans="1:5">
      <c r="A17" s="14">
        <v>2000</v>
      </c>
      <c r="B17" s="50">
        <v>4806</v>
      </c>
      <c r="C17" s="50">
        <v>10199</v>
      </c>
      <c r="D17" s="50">
        <v>17929</v>
      </c>
      <c r="E17" s="50">
        <v>22284</v>
      </c>
    </row>
    <row r="18" spans="1:5">
      <c r="A18" s="14">
        <v>2001</v>
      </c>
      <c r="B18" s="50">
        <v>4693</v>
      </c>
      <c r="C18" s="50">
        <v>10302</v>
      </c>
      <c r="D18" s="50">
        <v>17928</v>
      </c>
      <c r="E18" s="50">
        <v>22542</v>
      </c>
    </row>
    <row r="19" spans="1:5">
      <c r="A19" s="14">
        <v>2002</v>
      </c>
      <c r="B19" s="50">
        <v>4594</v>
      </c>
      <c r="C19" s="50">
        <v>10419</v>
      </c>
      <c r="D19" s="50">
        <v>17796</v>
      </c>
      <c r="E19" s="50">
        <v>22552</v>
      </c>
    </row>
    <row r="20" spans="1:5">
      <c r="A20" s="14">
        <v>2003</v>
      </c>
      <c r="B20" s="50">
        <v>4475</v>
      </c>
      <c r="C20" s="50">
        <v>10476</v>
      </c>
      <c r="D20" s="50">
        <v>17506</v>
      </c>
      <c r="E20" s="50">
        <v>22295</v>
      </c>
    </row>
    <row r="21" spans="1:5">
      <c r="A21" s="14">
        <v>2004</v>
      </c>
      <c r="B21" s="50">
        <v>4401</v>
      </c>
      <c r="C21" s="50">
        <v>10295</v>
      </c>
      <c r="D21" s="50">
        <v>17392</v>
      </c>
      <c r="E21" s="50">
        <v>22263</v>
      </c>
    </row>
    <row r="22" spans="1:5">
      <c r="A22" s="14">
        <v>2005</v>
      </c>
      <c r="B22" s="50">
        <v>4356</v>
      </c>
      <c r="C22" s="50">
        <v>10162</v>
      </c>
      <c r="D22" s="50">
        <v>17357</v>
      </c>
      <c r="E22" s="50">
        <v>22328</v>
      </c>
    </row>
    <row r="23" spans="1:5">
      <c r="A23" s="14">
        <v>2006</v>
      </c>
      <c r="B23" s="50">
        <v>4349</v>
      </c>
      <c r="C23" s="50">
        <v>10114</v>
      </c>
      <c r="D23" s="50">
        <v>18437</v>
      </c>
      <c r="E23" s="50">
        <v>23036</v>
      </c>
    </row>
    <row r="24" spans="1:5">
      <c r="A24" s="14">
        <v>2007</v>
      </c>
      <c r="B24" s="50">
        <v>4360</v>
      </c>
      <c r="C24" s="50">
        <v>10096</v>
      </c>
      <c r="D24" s="50">
        <v>18850</v>
      </c>
      <c r="E24" s="50">
        <v>22995</v>
      </c>
    </row>
    <row r="25" spans="1:5">
      <c r="A25" s="14">
        <v>2008</v>
      </c>
      <c r="B25" s="50">
        <v>4394</v>
      </c>
      <c r="C25" s="50">
        <v>10127</v>
      </c>
      <c r="D25" s="50">
        <v>18915</v>
      </c>
      <c r="E25" s="50">
        <v>23096</v>
      </c>
    </row>
    <row r="26" spans="1:5">
      <c r="A26" s="14">
        <v>2009</v>
      </c>
      <c r="B26" s="50">
        <v>4486</v>
      </c>
      <c r="C26" s="50">
        <v>10303</v>
      </c>
      <c r="D26" s="50">
        <v>19227</v>
      </c>
      <c r="E26" s="50">
        <v>23512</v>
      </c>
    </row>
    <row r="27" spans="1:5">
      <c r="A27" s="14">
        <v>2010</v>
      </c>
      <c r="B27" s="50">
        <v>7811</v>
      </c>
      <c r="C27" s="50">
        <v>10118</v>
      </c>
      <c r="D27" s="50">
        <v>18943</v>
      </c>
      <c r="E27" s="50">
        <v>23208</v>
      </c>
    </row>
    <row r="28" spans="1:5">
      <c r="A28" s="14">
        <v>2011</v>
      </c>
      <c r="B28" s="50">
        <v>7706</v>
      </c>
      <c r="C28" s="50">
        <v>9962</v>
      </c>
      <c r="D28" s="50">
        <v>18568</v>
      </c>
      <c r="E28" s="50">
        <v>22863</v>
      </c>
    </row>
    <row r="29" spans="1:5">
      <c r="A29" s="14">
        <v>2012</v>
      </c>
      <c r="B29" s="50">
        <v>7604</v>
      </c>
      <c r="C29" s="50">
        <v>9881</v>
      </c>
      <c r="D29" s="50">
        <v>18402</v>
      </c>
      <c r="E29" s="50">
        <v>22716</v>
      </c>
    </row>
    <row r="30" spans="1:5">
      <c r="A30" s="14">
        <v>2013</v>
      </c>
      <c r="B30" s="50">
        <v>7535</v>
      </c>
      <c r="C30" s="50">
        <v>9927</v>
      </c>
      <c r="D30" s="50">
        <v>18563</v>
      </c>
      <c r="E30" s="50">
        <v>22941</v>
      </c>
    </row>
    <row r="31" spans="1:5">
      <c r="A31" s="14">
        <v>2014</v>
      </c>
      <c r="B31" s="50">
        <v>7397</v>
      </c>
      <c r="C31" s="50">
        <v>10236</v>
      </c>
      <c r="D31" s="50">
        <v>19205</v>
      </c>
      <c r="E31" s="50">
        <v>23642</v>
      </c>
    </row>
    <row r="32" spans="1:5">
      <c r="A32" s="14">
        <v>2015</v>
      </c>
      <c r="B32" s="50">
        <v>7318</v>
      </c>
      <c r="C32" s="50">
        <v>10233</v>
      </c>
      <c r="D32" s="50">
        <v>19911</v>
      </c>
      <c r="E32" s="50">
        <v>25136</v>
      </c>
    </row>
    <row r="33" spans="1:5">
      <c r="A33" s="14">
        <v>2016</v>
      </c>
      <c r="B33" s="50">
        <v>7379</v>
      </c>
      <c r="C33" s="50">
        <v>10256</v>
      </c>
      <c r="D33" s="50">
        <v>20380</v>
      </c>
      <c r="E33" s="50">
        <v>26410</v>
      </c>
    </row>
    <row r="34" spans="1:5">
      <c r="A34" s="14">
        <v>2017</v>
      </c>
      <c r="B34" s="50">
        <v>7428</v>
      </c>
      <c r="C34" s="50">
        <v>10260</v>
      </c>
      <c r="D34" s="50">
        <v>20777</v>
      </c>
      <c r="E34" s="50">
        <v>27548</v>
      </c>
    </row>
    <row r="35" spans="1:5">
      <c r="A35" s="14">
        <v>2018</v>
      </c>
      <c r="B35" s="50">
        <v>7261</v>
      </c>
      <c r="C35" s="50">
        <v>10026</v>
      </c>
      <c r="D35" s="50">
        <v>20358</v>
      </c>
      <c r="E35" s="50">
        <v>27009</v>
      </c>
    </row>
    <row r="36" spans="1:5">
      <c r="A36" s="60">
        <v>2019</v>
      </c>
      <c r="B36" s="67">
        <v>7131</v>
      </c>
      <c r="C36" s="67">
        <v>9843</v>
      </c>
      <c r="D36" s="67">
        <v>20111</v>
      </c>
      <c r="E36" s="67">
        <v>26723</v>
      </c>
    </row>
    <row r="38" spans="1:5">
      <c r="A38" s="5" t="s">
        <v>414</v>
      </c>
      <c r="B38" s="143">
        <f>100*((B36/B5)^(1/33)-1)</f>
        <v>1.2543849511862382</v>
      </c>
      <c r="C38" s="23">
        <f>100*((C36/C6)^(1/30)-1)</f>
        <v>-1.052942161403736</v>
      </c>
      <c r="D38" s="143">
        <f t="shared" ref="D38:E38" si="0">100*((D36/D5)^(1/33)-1)</f>
        <v>0.62005258080783943</v>
      </c>
      <c r="E38" s="143">
        <f t="shared" si="0"/>
        <v>0.91831975695044754</v>
      </c>
    </row>
    <row r="39" spans="1:5">
      <c r="A39" s="5" t="s">
        <v>415</v>
      </c>
      <c r="B39" s="143">
        <f>100*((B17/B5)^(1/14)-1)</f>
        <v>0.11997161235690612</v>
      </c>
      <c r="C39" s="23">
        <f>100*((C17/C6)^(1/11)-1)</f>
        <v>-2.5313051001315978</v>
      </c>
      <c r="D39" s="143">
        <f t="shared" ref="D39:E39" si="1">100*((D17/D5)^(1/14)-1)</f>
        <v>0.63873252831587735</v>
      </c>
      <c r="E39" s="143">
        <f t="shared" si="1"/>
        <v>0.86087605883906626</v>
      </c>
    </row>
    <row r="40" spans="1:5">
      <c r="A40" s="5" t="s">
        <v>11</v>
      </c>
      <c r="B40" s="143">
        <f>100*((B36/B17)^(1/19)-1)</f>
        <v>2.0984851442085173</v>
      </c>
      <c r="C40" s="143">
        <f t="shared" ref="C40:E40" si="2">100*((C36/C17)^(1/19)-1)</f>
        <v>-0.18682071256684862</v>
      </c>
      <c r="D40" s="143">
        <f t="shared" si="2"/>
        <v>0.60629062765680253</v>
      </c>
      <c r="E40" s="143">
        <f t="shared" si="2"/>
        <v>0.96066762605924172</v>
      </c>
    </row>
    <row r="43" spans="1:5">
      <c r="A43" s="5" t="s">
        <v>416</v>
      </c>
    </row>
    <row r="44" spans="1:5">
      <c r="A44" s="5" t="s">
        <v>417</v>
      </c>
    </row>
    <row r="47" spans="1:5">
      <c r="A47" s="4" t="s">
        <v>413</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CD98A-BC8B-9243-846A-B8EB5F60E539}">
  <sheetPr codeName="Sheet78"/>
  <dimension ref="A1:E32"/>
  <sheetViews>
    <sheetView workbookViewId="0"/>
  </sheetViews>
  <sheetFormatPr baseColWidth="10" defaultColWidth="10.83203125" defaultRowHeight="16"/>
  <cols>
    <col min="1" max="1" width="20" style="5" customWidth="1"/>
    <col min="2" max="5" width="14.83203125" style="5" customWidth="1"/>
    <col min="6" max="16384" width="10.83203125" style="5"/>
  </cols>
  <sheetData>
    <row r="1" spans="1:5">
      <c r="A1" s="19" t="s">
        <v>698</v>
      </c>
    </row>
    <row r="3" spans="1:5" ht="47" customHeight="1">
      <c r="B3" s="137" t="s">
        <v>398</v>
      </c>
      <c r="C3" s="137" t="s">
        <v>399</v>
      </c>
      <c r="D3" s="137" t="s">
        <v>400</v>
      </c>
      <c r="E3" s="137" t="s">
        <v>401</v>
      </c>
    </row>
    <row r="4" spans="1:5">
      <c r="A4" s="14">
        <v>1999</v>
      </c>
      <c r="B4" s="143">
        <v>4.1680055471934248</v>
      </c>
      <c r="C4" s="143">
        <v>5.5725658297611753</v>
      </c>
      <c r="D4" s="143">
        <v>6.3726633449945229</v>
      </c>
      <c r="E4" s="143">
        <v>5.8535621095912074</v>
      </c>
    </row>
    <row r="5" spans="1:5">
      <c r="A5" s="14">
        <v>2000</v>
      </c>
      <c r="B5" s="143">
        <v>4.1126837700456962</v>
      </c>
      <c r="C5" s="143">
        <v>5.6985612515714488</v>
      </c>
      <c r="D5" s="143">
        <v>6.4227348118746619</v>
      </c>
      <c r="E5" s="143">
        <v>5.9234607215861814</v>
      </c>
    </row>
    <row r="6" spans="1:5">
      <c r="A6" s="14">
        <v>2001</v>
      </c>
      <c r="B6" s="143">
        <v>3.9500707023096089</v>
      </c>
      <c r="C6" s="143">
        <v>5.8080010824463288</v>
      </c>
      <c r="D6" s="143">
        <v>6.4598421792238678</v>
      </c>
      <c r="E6" s="143">
        <v>5.9881098484244752</v>
      </c>
    </row>
    <row r="7" spans="1:5">
      <c r="A7" s="14">
        <v>2002</v>
      </c>
      <c r="B7" s="143">
        <v>3.5979449265373891</v>
      </c>
      <c r="C7" s="143">
        <v>5.7768118031259874</v>
      </c>
      <c r="D7" s="143">
        <v>6.4738387215296243</v>
      </c>
      <c r="E7" s="143">
        <v>6.0522784606301325</v>
      </c>
    </row>
    <row r="8" spans="1:5">
      <c r="A8" s="14">
        <v>2003</v>
      </c>
      <c r="B8" s="143">
        <v>3.5417491096161458</v>
      </c>
      <c r="C8" s="143">
        <v>5.9105963067236136</v>
      </c>
      <c r="D8" s="143">
        <v>6.7230698921221101</v>
      </c>
      <c r="E8" s="143">
        <v>6.0656928547525704</v>
      </c>
    </row>
    <row r="9" spans="1:5">
      <c r="A9" s="14">
        <v>2004</v>
      </c>
      <c r="B9" s="143">
        <v>3.5140810769808128</v>
      </c>
      <c r="C9" s="143">
        <v>5.8623222654359299</v>
      </c>
      <c r="D9" s="143">
        <v>6.7166398263683726</v>
      </c>
      <c r="E9" s="143">
        <v>6.0522445473253823</v>
      </c>
    </row>
    <row r="10" spans="1:5">
      <c r="A10" s="14">
        <v>2005</v>
      </c>
      <c r="B10" s="143">
        <v>3.4882044875798779</v>
      </c>
      <c r="C10" s="143">
        <v>5.7898515218159234</v>
      </c>
      <c r="D10" s="143">
        <v>6.7030454696418502</v>
      </c>
      <c r="E10" s="143">
        <v>6.0277197358688195</v>
      </c>
    </row>
    <row r="11" spans="1:5">
      <c r="A11" s="14">
        <v>2006</v>
      </c>
      <c r="B11" s="143">
        <v>3.2819173823143215</v>
      </c>
      <c r="C11" s="143">
        <v>5.5651236113327354</v>
      </c>
      <c r="D11" s="143">
        <v>6.6079358309469454</v>
      </c>
      <c r="E11" s="143">
        <v>5.9859731363994255</v>
      </c>
    </row>
    <row r="12" spans="1:5">
      <c r="A12" s="14">
        <v>2007</v>
      </c>
      <c r="B12" s="143">
        <v>2.7099091931804762</v>
      </c>
      <c r="C12" s="143">
        <v>4.770725437568518</v>
      </c>
      <c r="D12" s="143">
        <v>6.3525550077342778</v>
      </c>
      <c r="E12" s="143">
        <v>5.8898562306456945</v>
      </c>
    </row>
    <row r="13" spans="1:5">
      <c r="A13" s="14">
        <v>2008</v>
      </c>
      <c r="B13" s="143">
        <v>2.625760418783091</v>
      </c>
      <c r="C13" s="143">
        <v>4.6634892127742855</v>
      </c>
      <c r="D13" s="143">
        <v>6.1584895339864625</v>
      </c>
      <c r="E13" s="143">
        <v>5.8509398591477932</v>
      </c>
    </row>
    <row r="14" spans="1:5">
      <c r="A14" s="14">
        <v>2009</v>
      </c>
      <c r="B14" s="143">
        <v>2.5395279851908041</v>
      </c>
      <c r="C14" s="143">
        <v>4.5854696289966528</v>
      </c>
      <c r="D14" s="143">
        <v>6.0303162411122857</v>
      </c>
      <c r="E14" s="143">
        <v>5.7747333312047315</v>
      </c>
    </row>
    <row r="15" spans="1:5">
      <c r="A15" s="14">
        <v>2010</v>
      </c>
      <c r="B15" s="143">
        <v>4.4565018941987313</v>
      </c>
      <c r="C15" s="143">
        <v>4.5739549475835073</v>
      </c>
      <c r="D15" s="143">
        <v>5.9942219029748021</v>
      </c>
      <c r="E15" s="143">
        <v>5.702057192557449</v>
      </c>
    </row>
    <row r="16" spans="1:5">
      <c r="A16" s="14">
        <v>2011</v>
      </c>
      <c r="B16" s="143">
        <v>4.4624605495555487</v>
      </c>
      <c r="C16" s="143">
        <v>4.5980300750491558</v>
      </c>
      <c r="D16" s="143">
        <v>5.9663700833196769</v>
      </c>
      <c r="E16" s="143">
        <v>5.6970778274206291</v>
      </c>
    </row>
    <row r="17" spans="1:5">
      <c r="A17" s="14">
        <v>2012</v>
      </c>
      <c r="B17" s="143">
        <v>5.6380217987691852</v>
      </c>
      <c r="C17" s="143">
        <v>5.6156403625927087</v>
      </c>
      <c r="D17" s="143">
        <v>6.7506740769273099</v>
      </c>
      <c r="E17" s="143">
        <v>6.2083893607949889</v>
      </c>
    </row>
    <row r="18" spans="1:5">
      <c r="A18" s="14">
        <v>2013</v>
      </c>
      <c r="B18" s="143">
        <v>5.6633696109674707</v>
      </c>
      <c r="C18" s="143">
        <v>5.7030419670812629</v>
      </c>
      <c r="D18" s="143">
        <v>6.8348091827905524</v>
      </c>
      <c r="E18" s="143">
        <v>6.2791155974753252</v>
      </c>
    </row>
    <row r="19" spans="1:5">
      <c r="A19" s="14">
        <v>2014</v>
      </c>
      <c r="B19" s="143">
        <v>5.3243789904050329</v>
      </c>
      <c r="C19" s="143">
        <v>5.6820263451514599</v>
      </c>
      <c r="D19" s="143">
        <v>6.9950828628665089</v>
      </c>
      <c r="E19" s="143">
        <v>6.4846687859828904</v>
      </c>
    </row>
    <row r="20" spans="1:5">
      <c r="A20" s="14">
        <v>2015</v>
      </c>
      <c r="B20" s="143">
        <v>5.3268306886009604</v>
      </c>
      <c r="C20" s="143">
        <v>5.7433266731023958</v>
      </c>
      <c r="D20" s="143">
        <v>6.9670525004548827</v>
      </c>
      <c r="E20" s="143">
        <v>6.5123220096586314</v>
      </c>
    </row>
    <row r="21" spans="1:5">
      <c r="A21" s="14">
        <v>2016</v>
      </c>
      <c r="B21" s="143">
        <v>5.338049973233792</v>
      </c>
      <c r="C21" s="143">
        <v>5.7521677192116565</v>
      </c>
      <c r="D21" s="143">
        <v>6.8758202570166764</v>
      </c>
      <c r="E21" s="143">
        <v>6.4661135009805673</v>
      </c>
    </row>
    <row r="22" spans="1:5">
      <c r="A22" s="14">
        <v>2017</v>
      </c>
      <c r="B22" s="143">
        <v>5.5724349019872621</v>
      </c>
      <c r="C22" s="143">
        <v>5.8431240781133429</v>
      </c>
      <c r="D22" s="143">
        <v>6.8471526496177164</v>
      </c>
      <c r="E22" s="143">
        <v>6.4155381408726235</v>
      </c>
    </row>
    <row r="23" spans="1:5">
      <c r="A23" s="14">
        <v>2018</v>
      </c>
      <c r="B23" s="143">
        <v>5.1196897585052001</v>
      </c>
      <c r="C23" s="143">
        <v>5.4505126504517634</v>
      </c>
      <c r="D23" s="143">
        <v>6.7478521425540938</v>
      </c>
      <c r="E23" s="143">
        <v>6.3186928875226345</v>
      </c>
    </row>
    <row r="24" spans="1:5">
      <c r="A24" s="60">
        <v>2019</v>
      </c>
      <c r="B24" s="143">
        <v>4.8224465919619126</v>
      </c>
      <c r="C24" s="143">
        <v>5.1578048282041742</v>
      </c>
      <c r="D24" s="143">
        <v>6.5038678464245061</v>
      </c>
      <c r="E24" s="143">
        <v>6.1012390608982336</v>
      </c>
    </row>
    <row r="25" spans="1:5">
      <c r="A25" s="60"/>
      <c r="B25" s="143"/>
      <c r="C25" s="143"/>
      <c r="D25" s="143"/>
      <c r="E25" s="143"/>
    </row>
    <row r="27" spans="1:5">
      <c r="A27" s="5" t="s">
        <v>418</v>
      </c>
      <c r="B27" s="143">
        <f>B24-B4</f>
        <v>0.65444104476848786</v>
      </c>
      <c r="C27" s="143">
        <f t="shared" ref="C27:E27" si="0">C24-C4</f>
        <v>-0.41476100155700113</v>
      </c>
      <c r="D27" s="143">
        <f t="shared" si="0"/>
        <v>0.13120450142998319</v>
      </c>
      <c r="E27" s="143">
        <f t="shared" si="0"/>
        <v>0.24767695130702627</v>
      </c>
    </row>
    <row r="28" spans="1:5">
      <c r="A28" s="5" t="s">
        <v>164</v>
      </c>
      <c r="B28" s="143">
        <f>B13-B5</f>
        <v>-1.4869233512626052</v>
      </c>
      <c r="C28" s="143">
        <f t="shared" ref="C28:E28" si="1">C13-C5</f>
        <v>-1.0350720387971633</v>
      </c>
      <c r="D28" s="143">
        <f t="shared" si="1"/>
        <v>-0.2642452778881994</v>
      </c>
      <c r="E28" s="143">
        <f t="shared" si="1"/>
        <v>-7.2520862438388178E-2</v>
      </c>
    </row>
    <row r="29" spans="1:5">
      <c r="A29" s="5" t="s">
        <v>218</v>
      </c>
      <c r="B29" s="143">
        <f>B24-B13</f>
        <v>2.1966861731788216</v>
      </c>
      <c r="C29" s="143">
        <f t="shared" ref="C29:E29" si="2">C24-C13</f>
        <v>0.49431561542988867</v>
      </c>
      <c r="D29" s="143">
        <f t="shared" si="2"/>
        <v>0.34537831243804362</v>
      </c>
      <c r="E29" s="143">
        <f t="shared" si="2"/>
        <v>0.2502992017504404</v>
      </c>
    </row>
    <row r="32" spans="1:5">
      <c r="A32" s="4" t="s">
        <v>413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3E9D0-6E9E-DA41-989A-E6B202A192D7}">
  <sheetPr codeName="Sheet7"/>
  <dimension ref="A1:J30"/>
  <sheetViews>
    <sheetView zoomScale="139" workbookViewId="0"/>
  </sheetViews>
  <sheetFormatPr baseColWidth="10" defaultColWidth="11" defaultRowHeight="16"/>
  <cols>
    <col min="1" max="1" width="23" style="5" customWidth="1"/>
    <col min="2" max="16384" width="11" style="5"/>
  </cols>
  <sheetData>
    <row r="1" spans="1:10">
      <c r="A1" s="3" t="s">
        <v>48</v>
      </c>
    </row>
    <row r="3" spans="1:10">
      <c r="A3" s="43" t="s">
        <v>49</v>
      </c>
      <c r="B3" s="44">
        <v>2005</v>
      </c>
      <c r="C3" s="44">
        <v>2010</v>
      </c>
      <c r="D3" s="44">
        <v>2015</v>
      </c>
      <c r="E3" s="9"/>
      <c r="F3" s="9"/>
      <c r="G3" s="9"/>
      <c r="H3" s="9"/>
      <c r="I3" s="9"/>
      <c r="J3" s="9"/>
    </row>
    <row r="4" spans="1:10">
      <c r="A4" s="45" t="s">
        <v>42</v>
      </c>
      <c r="B4" s="46">
        <v>24.882599309436607</v>
      </c>
      <c r="C4" s="47">
        <v>24.670871107607411</v>
      </c>
      <c r="D4" s="48">
        <v>23.635098720302899</v>
      </c>
      <c r="E4" s="49"/>
      <c r="F4" s="50"/>
      <c r="G4" s="50"/>
      <c r="H4" s="50"/>
      <c r="I4" s="50"/>
      <c r="J4" s="51"/>
    </row>
    <row r="5" spans="1:10">
      <c r="A5" s="52" t="s">
        <v>50</v>
      </c>
      <c r="B5" s="50" t="s">
        <v>51</v>
      </c>
      <c r="C5" s="53">
        <v>21.803995541455887</v>
      </c>
      <c r="D5" s="53">
        <v>20.114942528735632</v>
      </c>
      <c r="E5" s="49"/>
      <c r="F5" s="50"/>
      <c r="G5" s="50"/>
      <c r="H5" s="50"/>
      <c r="I5" s="50"/>
      <c r="J5" s="51"/>
    </row>
    <row r="6" spans="1:10">
      <c r="A6" s="52" t="s">
        <v>52</v>
      </c>
      <c r="B6" s="54">
        <v>23.592324630386916</v>
      </c>
      <c r="C6" s="53">
        <v>21.273738730097833</v>
      </c>
      <c r="D6" s="53">
        <v>18.734632116512199</v>
      </c>
      <c r="E6" s="51"/>
      <c r="F6" s="51"/>
      <c r="G6" s="51"/>
      <c r="H6" s="51"/>
      <c r="I6" s="51"/>
      <c r="J6" s="9"/>
    </row>
    <row r="7" spans="1:10">
      <c r="A7" s="52" t="s">
        <v>535</v>
      </c>
      <c r="B7" s="50" t="s">
        <v>51</v>
      </c>
      <c r="C7" s="53">
        <v>19.774590163934427</v>
      </c>
      <c r="D7" s="53">
        <v>18.365676876315174</v>
      </c>
      <c r="E7" s="9"/>
      <c r="F7" s="9"/>
      <c r="G7" s="9"/>
      <c r="H7" s="9"/>
      <c r="I7" s="9"/>
      <c r="J7" s="9"/>
    </row>
    <row r="8" spans="1:10">
      <c r="A8" s="52" t="s">
        <v>53</v>
      </c>
      <c r="B8" s="50" t="s">
        <v>51</v>
      </c>
      <c r="C8" s="53">
        <v>20.185854414042332</v>
      </c>
      <c r="D8" s="53">
        <v>18.035121025154247</v>
      </c>
      <c r="E8" s="136"/>
      <c r="F8" s="136"/>
      <c r="G8" s="136"/>
      <c r="H8" s="136"/>
      <c r="I8" s="136"/>
      <c r="J8" s="51"/>
    </row>
    <row r="9" spans="1:10">
      <c r="A9" s="55" t="s">
        <v>54</v>
      </c>
      <c r="B9" s="46">
        <v>19.030240726462779</v>
      </c>
      <c r="C9" s="47">
        <v>18.606206314582771</v>
      </c>
      <c r="D9" s="47">
        <v>16.555390508951607</v>
      </c>
      <c r="E9" s="136"/>
      <c r="F9" s="136"/>
      <c r="G9" s="136"/>
      <c r="H9" s="136"/>
      <c r="I9" s="51"/>
      <c r="J9" s="51"/>
    </row>
    <row r="10" spans="1:10">
      <c r="A10" s="52" t="s">
        <v>55</v>
      </c>
      <c r="B10" s="50" t="s">
        <v>51</v>
      </c>
      <c r="C10" s="53">
        <v>16.712422786547702</v>
      </c>
      <c r="D10" s="53">
        <v>16.213314244810309</v>
      </c>
      <c r="E10" s="51"/>
      <c r="F10" s="51"/>
      <c r="G10" s="51"/>
      <c r="H10" s="51"/>
      <c r="I10" s="51"/>
      <c r="J10" s="9"/>
    </row>
    <row r="11" spans="1:10">
      <c r="A11" s="52" t="s">
        <v>56</v>
      </c>
      <c r="B11" s="50" t="s">
        <v>51</v>
      </c>
      <c r="C11" s="53">
        <v>16.069169126950655</v>
      </c>
      <c r="D11" s="53">
        <v>14.321608040201005</v>
      </c>
      <c r="E11" s="9"/>
      <c r="F11" s="9"/>
      <c r="G11" s="9"/>
      <c r="H11" s="9"/>
      <c r="I11" s="9"/>
      <c r="J11" s="9"/>
    </row>
    <row r="12" spans="1:10">
      <c r="A12" s="56"/>
      <c r="B12" s="51"/>
      <c r="C12" s="51"/>
      <c r="D12" s="49"/>
      <c r="E12" s="51"/>
      <c r="F12" s="51"/>
      <c r="G12" s="49"/>
      <c r="H12" s="51"/>
      <c r="I12" s="51"/>
      <c r="J12" s="51"/>
    </row>
    <row r="14" spans="1:10" ht="32">
      <c r="A14" s="56">
        <v>2005</v>
      </c>
      <c r="B14" s="9" t="s">
        <v>42</v>
      </c>
      <c r="C14" s="9" t="s">
        <v>54</v>
      </c>
      <c r="D14" s="9" t="s">
        <v>50</v>
      </c>
      <c r="E14" s="9" t="s">
        <v>52</v>
      </c>
      <c r="F14" s="9" t="s">
        <v>535</v>
      </c>
      <c r="G14" s="9" t="s">
        <v>55</v>
      </c>
      <c r="H14" s="9" t="s">
        <v>56</v>
      </c>
      <c r="I14" s="9" t="s">
        <v>53</v>
      </c>
    </row>
    <row r="15" spans="1:10">
      <c r="A15" s="56" t="s">
        <v>57</v>
      </c>
      <c r="B15" s="51">
        <v>12210320</v>
      </c>
      <c r="C15" s="51">
        <v>291825</v>
      </c>
      <c r="D15" s="50" t="s">
        <v>51</v>
      </c>
      <c r="E15" s="49">
        <v>31790</v>
      </c>
      <c r="F15" s="50" t="s">
        <v>51</v>
      </c>
      <c r="G15" s="50" t="s">
        <v>51</v>
      </c>
      <c r="H15" s="50" t="s">
        <v>51</v>
      </c>
      <c r="I15" s="50" t="s">
        <v>51</v>
      </c>
    </row>
    <row r="16" spans="1:10">
      <c r="A16" s="56" t="s">
        <v>58</v>
      </c>
      <c r="B16" s="51">
        <v>3038245</v>
      </c>
      <c r="C16" s="51">
        <v>55535</v>
      </c>
      <c r="D16" s="50" t="s">
        <v>51</v>
      </c>
      <c r="E16" s="49">
        <v>7500</v>
      </c>
      <c r="F16" s="50" t="s">
        <v>51</v>
      </c>
      <c r="G16" s="50" t="s">
        <v>51</v>
      </c>
      <c r="H16" s="50" t="s">
        <v>51</v>
      </c>
      <c r="I16" s="50" t="s">
        <v>51</v>
      </c>
    </row>
    <row r="17" spans="1:9">
      <c r="A17" s="56"/>
      <c r="B17" s="9"/>
      <c r="C17" s="9"/>
      <c r="D17" s="51"/>
      <c r="E17" s="51"/>
      <c r="F17" s="51"/>
      <c r="G17" s="51"/>
      <c r="H17" s="51"/>
      <c r="I17" s="51"/>
    </row>
    <row r="18" spans="1:9" ht="32">
      <c r="A18" s="56">
        <v>2010</v>
      </c>
      <c r="B18" s="9" t="s">
        <v>42</v>
      </c>
      <c r="C18" s="9" t="s">
        <v>54</v>
      </c>
      <c r="D18" s="9" t="s">
        <v>50</v>
      </c>
      <c r="E18" s="9" t="s">
        <v>52</v>
      </c>
      <c r="F18" s="9" t="s">
        <v>535</v>
      </c>
      <c r="G18" s="9" t="s">
        <v>55</v>
      </c>
      <c r="H18" s="9" t="s">
        <v>56</v>
      </c>
      <c r="I18" s="9" t="s">
        <v>53</v>
      </c>
    </row>
    <row r="19" spans="1:9">
      <c r="A19" s="56" t="s">
        <v>57</v>
      </c>
      <c r="B19" s="51">
        <v>13319250</v>
      </c>
      <c r="C19" s="51">
        <v>314035</v>
      </c>
      <c r="D19" s="136">
        <v>58315</v>
      </c>
      <c r="E19" s="136">
        <v>52130</v>
      </c>
      <c r="F19" s="136">
        <v>39040</v>
      </c>
      <c r="G19" s="136">
        <v>14570</v>
      </c>
      <c r="H19" s="136">
        <v>11855</v>
      </c>
      <c r="I19" s="136">
        <v>9685</v>
      </c>
    </row>
    <row r="20" spans="1:9">
      <c r="A20" s="56" t="s">
        <v>58</v>
      </c>
      <c r="B20" s="51">
        <v>3285975</v>
      </c>
      <c r="C20" s="51">
        <v>58430</v>
      </c>
      <c r="D20" s="136">
        <v>12715</v>
      </c>
      <c r="E20" s="136">
        <v>11090</v>
      </c>
      <c r="F20" s="136">
        <v>7720</v>
      </c>
      <c r="G20" s="136">
        <v>2435</v>
      </c>
      <c r="H20" s="136">
        <v>1905</v>
      </c>
      <c r="I20" s="51">
        <v>1955</v>
      </c>
    </row>
    <row r="21" spans="1:9">
      <c r="A21" s="56"/>
      <c r="B21" s="9"/>
      <c r="C21" s="9"/>
      <c r="D21" s="51"/>
      <c r="E21" s="51"/>
      <c r="F21" s="51"/>
      <c r="G21" s="51"/>
      <c r="H21" s="51"/>
      <c r="I21" s="51"/>
    </row>
    <row r="22" spans="1:9" ht="32">
      <c r="A22" s="56">
        <v>2015</v>
      </c>
      <c r="B22" s="9" t="s">
        <v>42</v>
      </c>
      <c r="C22" s="9" t="s">
        <v>54</v>
      </c>
      <c r="D22" s="9" t="s">
        <v>50</v>
      </c>
      <c r="E22" s="9" t="s">
        <v>52</v>
      </c>
      <c r="F22" s="9" t="s">
        <v>535</v>
      </c>
      <c r="G22" s="9" t="s">
        <v>55</v>
      </c>
      <c r="H22" s="9" t="s">
        <v>56</v>
      </c>
      <c r="I22" s="9" t="s">
        <v>53</v>
      </c>
    </row>
    <row r="23" spans="1:9">
      <c r="A23" s="56" t="s">
        <v>57</v>
      </c>
      <c r="B23" s="51">
        <v>14072080</v>
      </c>
      <c r="C23" s="51">
        <v>319775</v>
      </c>
      <c r="D23" s="49">
        <v>61770</v>
      </c>
      <c r="E23" s="51">
        <v>52870</v>
      </c>
      <c r="F23" s="51">
        <v>42770</v>
      </c>
      <c r="G23" s="49">
        <v>13970</v>
      </c>
      <c r="H23" s="51">
        <v>11940</v>
      </c>
      <c r="I23" s="51">
        <v>10535</v>
      </c>
    </row>
    <row r="24" spans="1:9">
      <c r="A24" s="56" t="s">
        <v>58</v>
      </c>
      <c r="B24" s="51">
        <v>3325950</v>
      </c>
      <c r="C24" s="51">
        <v>52940</v>
      </c>
      <c r="D24" s="49">
        <v>12425</v>
      </c>
      <c r="E24" s="49">
        <v>9905</v>
      </c>
      <c r="F24" s="49">
        <v>7855</v>
      </c>
      <c r="G24" s="51">
        <v>2265</v>
      </c>
      <c r="H24" s="51">
        <v>1710</v>
      </c>
      <c r="I24" s="51">
        <v>1900</v>
      </c>
    </row>
    <row r="27" spans="1:9">
      <c r="A27" s="7" t="s">
        <v>59</v>
      </c>
      <c r="B27" s="7"/>
      <c r="C27" s="7"/>
      <c r="D27" s="7"/>
      <c r="E27" s="7"/>
      <c r="F27" s="7"/>
      <c r="G27" s="7"/>
    </row>
    <row r="28" spans="1:9">
      <c r="A28" s="7" t="s">
        <v>608</v>
      </c>
      <c r="B28" s="7"/>
      <c r="C28" s="7"/>
      <c r="D28" s="7"/>
      <c r="E28" s="7"/>
      <c r="F28" s="7"/>
      <c r="G28" s="7"/>
    </row>
    <row r="29" spans="1:9">
      <c r="A29" s="7" t="s">
        <v>60</v>
      </c>
      <c r="B29" s="7"/>
      <c r="C29" s="7"/>
      <c r="D29" s="7"/>
      <c r="E29" s="7"/>
      <c r="F29" s="7"/>
      <c r="G29" s="7"/>
    </row>
    <row r="30" spans="1:9">
      <c r="A30" s="7" t="s">
        <v>609</v>
      </c>
      <c r="B30" s="7"/>
      <c r="C30" s="7"/>
      <c r="D30" s="7"/>
      <c r="E30" s="7"/>
      <c r="F30" s="7"/>
      <c r="G30" s="7"/>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3D391-3D54-8A4C-9CC0-A86C5ABB59C3}">
  <sheetPr codeName="Sheet79"/>
  <dimension ref="A1:E17"/>
  <sheetViews>
    <sheetView workbookViewId="0"/>
  </sheetViews>
  <sheetFormatPr baseColWidth="10" defaultColWidth="10.83203125" defaultRowHeight="16"/>
  <cols>
    <col min="1" max="5" width="15.83203125" style="5" customWidth="1"/>
    <col min="6" max="16384" width="10.83203125" style="5"/>
  </cols>
  <sheetData>
    <row r="1" spans="1:5">
      <c r="A1" s="13" t="s">
        <v>699</v>
      </c>
    </row>
    <row r="2" spans="1:5">
      <c r="A2" s="5" t="s">
        <v>419</v>
      </c>
    </row>
    <row r="4" spans="1:5" ht="51">
      <c r="A4" s="61" t="s">
        <v>420</v>
      </c>
      <c r="B4" s="66" t="s">
        <v>398</v>
      </c>
      <c r="C4" s="66" t="s">
        <v>399</v>
      </c>
      <c r="D4" s="66" t="s">
        <v>400</v>
      </c>
      <c r="E4" s="66" t="s">
        <v>401</v>
      </c>
    </row>
    <row r="5" spans="1:5" ht="32">
      <c r="A5" s="62" t="s">
        <v>421</v>
      </c>
      <c r="B5" s="63">
        <v>7131</v>
      </c>
      <c r="C5" s="63">
        <v>9843</v>
      </c>
      <c r="D5" s="63">
        <v>20111</v>
      </c>
      <c r="E5" s="63">
        <v>26723</v>
      </c>
    </row>
    <row r="6" spans="1:5" ht="32">
      <c r="A6" s="62" t="s">
        <v>422</v>
      </c>
      <c r="B6" s="63">
        <v>21374</v>
      </c>
      <c r="C6" s="63">
        <v>21374</v>
      </c>
      <c r="D6" s="63">
        <v>30227</v>
      </c>
      <c r="E6" s="63">
        <v>42748</v>
      </c>
    </row>
    <row r="7" spans="1:5" ht="48">
      <c r="A7" s="62" t="s">
        <v>423</v>
      </c>
      <c r="B7" s="64">
        <v>-14243</v>
      </c>
      <c r="C7" s="64">
        <v>-11531</v>
      </c>
      <c r="D7" s="64">
        <v>-10117</v>
      </c>
      <c r="E7" s="64">
        <v>-16025</v>
      </c>
    </row>
    <row r="8" spans="1:5" ht="32">
      <c r="A8" s="62" t="s">
        <v>424</v>
      </c>
      <c r="B8" s="65">
        <v>33</v>
      </c>
      <c r="C8" s="65">
        <v>46</v>
      </c>
      <c r="D8" s="65">
        <v>67</v>
      </c>
      <c r="E8" s="65">
        <v>63</v>
      </c>
    </row>
    <row r="9" spans="1:5" ht="32">
      <c r="A9" s="62" t="s">
        <v>425</v>
      </c>
      <c r="B9" s="63">
        <v>24642</v>
      </c>
      <c r="C9" s="63">
        <v>24642</v>
      </c>
      <c r="D9" s="63">
        <v>34850</v>
      </c>
      <c r="E9" s="63">
        <v>49285</v>
      </c>
    </row>
    <row r="10" spans="1:5" ht="48">
      <c r="A10" s="62" t="s">
        <v>426</v>
      </c>
      <c r="B10" s="63">
        <v>-24642</v>
      </c>
      <c r="C10" s="63">
        <v>-24642</v>
      </c>
      <c r="D10" s="63">
        <v>-34849</v>
      </c>
      <c r="E10" s="63">
        <v>-49284</v>
      </c>
    </row>
    <row r="11" spans="1:5" ht="32">
      <c r="A11" s="62" t="s">
        <v>427</v>
      </c>
      <c r="B11" s="65">
        <v>28.999999999999996</v>
      </c>
      <c r="C11" s="65">
        <v>40</v>
      </c>
      <c r="D11" s="65">
        <v>57.999999999999993</v>
      </c>
      <c r="E11" s="65">
        <v>54</v>
      </c>
    </row>
    <row r="12" spans="1:5" ht="32">
      <c r="A12" s="62" t="s">
        <v>428</v>
      </c>
      <c r="B12" s="63">
        <v>18520</v>
      </c>
      <c r="C12" s="63">
        <v>18520</v>
      </c>
      <c r="D12" s="63">
        <v>22540</v>
      </c>
      <c r="E12" s="63">
        <v>35017</v>
      </c>
    </row>
    <row r="13" spans="1:5" ht="48">
      <c r="A13" s="62" t="s">
        <v>429</v>
      </c>
      <c r="B13" s="63">
        <v>-18520</v>
      </c>
      <c r="C13" s="63">
        <v>-18520</v>
      </c>
      <c r="D13" s="63">
        <v>-22539</v>
      </c>
      <c r="E13" s="63">
        <v>-35016</v>
      </c>
    </row>
    <row r="14" spans="1:5" ht="32">
      <c r="A14" s="62" t="s">
        <v>430</v>
      </c>
      <c r="B14" s="65">
        <v>39</v>
      </c>
      <c r="C14" s="65">
        <v>53</v>
      </c>
      <c r="D14" s="65">
        <v>89</v>
      </c>
      <c r="E14" s="65">
        <v>76</v>
      </c>
    </row>
    <row r="17" spans="1:1">
      <c r="A17" s="4" t="s">
        <v>413</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DFF1-F09E-F74D-A6EC-89DC65C31FE8}">
  <sheetPr codeName="Sheet80"/>
  <dimension ref="A1:J100"/>
  <sheetViews>
    <sheetView zoomScale="88" zoomScaleNormal="73" workbookViewId="0"/>
  </sheetViews>
  <sheetFormatPr baseColWidth="10" defaultColWidth="10.83203125" defaultRowHeight="16"/>
  <cols>
    <col min="1" max="1" width="22.33203125" style="5" customWidth="1"/>
    <col min="2" max="6" width="16.83203125" style="5" customWidth="1"/>
    <col min="7" max="16384" width="10.83203125" style="5"/>
  </cols>
  <sheetData>
    <row r="1" spans="1:10">
      <c r="A1" s="68" t="s">
        <v>700</v>
      </c>
    </row>
    <row r="2" spans="1:10">
      <c r="B2" s="70"/>
      <c r="C2" s="70"/>
      <c r="D2" s="70"/>
      <c r="E2" s="70"/>
      <c r="F2" s="70"/>
      <c r="G2" s="70"/>
      <c r="H2" s="70"/>
      <c r="I2" s="70"/>
      <c r="J2" s="73"/>
    </row>
    <row r="3" spans="1:10">
      <c r="B3" s="358" t="s">
        <v>431</v>
      </c>
      <c r="C3" s="358"/>
      <c r="D3" s="358" t="s">
        <v>432</v>
      </c>
      <c r="E3" s="358"/>
      <c r="F3" s="358" t="s">
        <v>433</v>
      </c>
      <c r="G3" s="358"/>
      <c r="H3" s="358" t="s">
        <v>45</v>
      </c>
      <c r="I3" s="358"/>
      <c r="J3" s="133"/>
    </row>
    <row r="4" spans="1:10">
      <c r="A4" s="69"/>
      <c r="B4" s="146" t="s">
        <v>434</v>
      </c>
      <c r="C4" s="146" t="s">
        <v>435</v>
      </c>
      <c r="D4" s="146" t="s">
        <v>434</v>
      </c>
      <c r="E4" s="146" t="s">
        <v>435</v>
      </c>
      <c r="F4" s="146" t="s">
        <v>434</v>
      </c>
      <c r="G4" s="146" t="s">
        <v>435</v>
      </c>
      <c r="H4" s="146" t="s">
        <v>434</v>
      </c>
      <c r="I4" s="146" t="s">
        <v>435</v>
      </c>
      <c r="J4" s="73"/>
    </row>
    <row r="5" spans="1:10">
      <c r="A5" s="69">
        <v>2001</v>
      </c>
      <c r="B5" s="71">
        <v>20705</v>
      </c>
      <c r="C5" s="71">
        <v>43780</v>
      </c>
      <c r="D5" s="71">
        <v>5837</v>
      </c>
      <c r="E5" s="71">
        <v>6941</v>
      </c>
      <c r="F5" s="71">
        <v>1827</v>
      </c>
      <c r="G5" s="71">
        <v>2182</v>
      </c>
      <c r="H5" s="71">
        <v>28369</v>
      </c>
      <c r="I5" s="71">
        <v>52903</v>
      </c>
      <c r="J5" s="73"/>
    </row>
    <row r="6" spans="1:10">
      <c r="A6" s="69">
        <v>2002</v>
      </c>
      <c r="B6" s="71">
        <v>20066</v>
      </c>
      <c r="C6" s="71">
        <v>41777</v>
      </c>
      <c r="D6" s="71">
        <v>5837</v>
      </c>
      <c r="E6" s="71">
        <v>6873</v>
      </c>
      <c r="F6" s="71">
        <v>1827</v>
      </c>
      <c r="G6" s="71">
        <v>2082</v>
      </c>
      <c r="H6" s="71">
        <v>27730</v>
      </c>
      <c r="I6" s="71">
        <v>50732</v>
      </c>
      <c r="J6" s="73"/>
    </row>
    <row r="7" spans="1:10">
      <c r="A7" s="69">
        <v>2003</v>
      </c>
      <c r="B7" s="71">
        <v>19633</v>
      </c>
      <c r="C7" s="71">
        <v>40480</v>
      </c>
      <c r="D7" s="71">
        <v>5822</v>
      </c>
      <c r="E7" s="71">
        <v>6819</v>
      </c>
      <c r="F7" s="71">
        <v>1767</v>
      </c>
      <c r="G7" s="71">
        <v>2031</v>
      </c>
      <c r="H7" s="71">
        <v>27222</v>
      </c>
      <c r="I7" s="71">
        <v>49330</v>
      </c>
      <c r="J7" s="73"/>
    </row>
    <row r="8" spans="1:10">
      <c r="A8" s="69">
        <v>2004</v>
      </c>
      <c r="B8" s="71">
        <v>18928</v>
      </c>
      <c r="C8" s="71">
        <v>38510</v>
      </c>
      <c r="D8" s="71">
        <v>5792</v>
      </c>
      <c r="E8" s="71">
        <v>6724</v>
      </c>
      <c r="F8" s="71">
        <v>1544</v>
      </c>
      <c r="G8" s="71">
        <v>1767</v>
      </c>
      <c r="H8" s="71">
        <v>26264</v>
      </c>
      <c r="I8" s="71">
        <v>47001</v>
      </c>
      <c r="J8" s="73"/>
    </row>
    <row r="9" spans="1:10">
      <c r="A9" s="69">
        <v>2005</v>
      </c>
      <c r="B9" s="71">
        <v>18764</v>
      </c>
      <c r="C9" s="71">
        <v>37644</v>
      </c>
      <c r="D9" s="71">
        <v>5728</v>
      </c>
      <c r="E9" s="71">
        <v>6656</v>
      </c>
      <c r="F9" s="71">
        <v>1641</v>
      </c>
      <c r="G9" s="71">
        <v>1894</v>
      </c>
      <c r="H9" s="71">
        <v>26133</v>
      </c>
      <c r="I9" s="71">
        <v>46194</v>
      </c>
      <c r="J9" s="73"/>
    </row>
    <row r="10" spans="1:10">
      <c r="A10" s="69">
        <v>2006</v>
      </c>
      <c r="B10" s="71">
        <v>18282</v>
      </c>
      <c r="C10" s="71">
        <v>36431</v>
      </c>
      <c r="D10" s="71">
        <v>5802</v>
      </c>
      <c r="E10" s="71">
        <v>6673</v>
      </c>
      <c r="F10" s="71">
        <v>1518</v>
      </c>
      <c r="G10" s="71">
        <v>1741</v>
      </c>
      <c r="H10" s="71">
        <v>25602</v>
      </c>
      <c r="I10" s="71">
        <v>44845</v>
      </c>
      <c r="J10" s="73"/>
    </row>
    <row r="11" spans="1:10">
      <c r="A11" s="69">
        <v>2007</v>
      </c>
      <c r="B11" s="71">
        <v>17461</v>
      </c>
      <c r="C11" s="71">
        <v>34199</v>
      </c>
      <c r="D11" s="71">
        <v>5875</v>
      </c>
      <c r="E11" s="71">
        <v>6713</v>
      </c>
      <c r="F11" s="71">
        <v>1519</v>
      </c>
      <c r="G11" s="71">
        <v>1746</v>
      </c>
      <c r="H11" s="71">
        <v>24855</v>
      </c>
      <c r="I11" s="71">
        <v>42658</v>
      </c>
      <c r="J11" s="73"/>
    </row>
    <row r="12" spans="1:10">
      <c r="A12" s="69">
        <v>2008</v>
      </c>
      <c r="B12" s="71">
        <v>16527</v>
      </c>
      <c r="C12" s="71">
        <v>32072</v>
      </c>
      <c r="D12" s="71">
        <v>5903</v>
      </c>
      <c r="E12" s="71">
        <v>6743</v>
      </c>
      <c r="F12" s="71">
        <v>1327</v>
      </c>
      <c r="G12" s="71">
        <v>1523</v>
      </c>
      <c r="H12" s="71">
        <v>23757</v>
      </c>
      <c r="I12" s="71">
        <v>40338</v>
      </c>
      <c r="J12" s="73"/>
    </row>
    <row r="13" spans="1:10">
      <c r="A13" s="69">
        <v>2009</v>
      </c>
      <c r="B13" s="71">
        <v>15987</v>
      </c>
      <c r="C13" s="71">
        <v>30765</v>
      </c>
      <c r="D13" s="71">
        <v>5946</v>
      </c>
      <c r="E13" s="71">
        <v>6787</v>
      </c>
      <c r="F13" s="71">
        <v>1284</v>
      </c>
      <c r="G13" s="71">
        <v>1455</v>
      </c>
      <c r="H13" s="71">
        <v>23217</v>
      </c>
      <c r="I13" s="71">
        <v>39007</v>
      </c>
      <c r="J13" s="73"/>
    </row>
    <row r="14" spans="1:10">
      <c r="A14" s="69">
        <v>2010</v>
      </c>
      <c r="B14" s="71">
        <v>18426</v>
      </c>
      <c r="C14" s="71">
        <v>33594</v>
      </c>
      <c r="D14" s="71">
        <v>5955</v>
      </c>
      <c r="E14" s="71">
        <v>6787</v>
      </c>
      <c r="F14" s="71" t="s">
        <v>87</v>
      </c>
      <c r="G14" s="71" t="s">
        <v>87</v>
      </c>
      <c r="H14" s="71">
        <v>24381</v>
      </c>
      <c r="I14" s="71">
        <v>40381</v>
      </c>
      <c r="J14" s="73"/>
    </row>
    <row r="15" spans="1:10">
      <c r="A15" s="69">
        <v>2011</v>
      </c>
      <c r="B15" s="71">
        <v>19061</v>
      </c>
      <c r="C15" s="71">
        <v>34180</v>
      </c>
      <c r="D15" s="71">
        <v>6023</v>
      </c>
      <c r="E15" s="71">
        <v>6861</v>
      </c>
      <c r="F15" s="71" t="s">
        <v>87</v>
      </c>
      <c r="G15" s="71" t="s">
        <v>87</v>
      </c>
      <c r="H15" s="71">
        <v>25084</v>
      </c>
      <c r="I15" s="71">
        <v>41041</v>
      </c>
      <c r="J15" s="73"/>
    </row>
    <row r="16" spans="1:10">
      <c r="A16" s="69">
        <v>2012</v>
      </c>
      <c r="B16" s="71">
        <v>19217</v>
      </c>
      <c r="C16" s="71">
        <v>34055</v>
      </c>
      <c r="D16" s="71">
        <v>6138</v>
      </c>
      <c r="E16" s="71">
        <v>6992</v>
      </c>
      <c r="F16" s="71" t="s">
        <v>87</v>
      </c>
      <c r="G16" s="71" t="s">
        <v>87</v>
      </c>
      <c r="H16" s="71">
        <v>25355</v>
      </c>
      <c r="I16" s="71">
        <v>41047</v>
      </c>
      <c r="J16" s="73"/>
    </row>
    <row r="17" spans="1:10">
      <c r="A17" s="69">
        <v>2013</v>
      </c>
      <c r="B17" s="71">
        <v>18683</v>
      </c>
      <c r="C17" s="71">
        <v>32943</v>
      </c>
      <c r="D17" s="71">
        <v>6134</v>
      </c>
      <c r="E17" s="71">
        <v>6958</v>
      </c>
      <c r="F17" s="71" t="s">
        <v>87</v>
      </c>
      <c r="G17" s="71" t="s">
        <v>87</v>
      </c>
      <c r="H17" s="71">
        <v>24817</v>
      </c>
      <c r="I17" s="71">
        <v>39901</v>
      </c>
      <c r="J17" s="73"/>
    </row>
    <row r="18" spans="1:10">
      <c r="A18" s="69">
        <v>2014</v>
      </c>
      <c r="B18" s="71">
        <v>18461</v>
      </c>
      <c r="C18" s="71">
        <v>32424</v>
      </c>
      <c r="D18" s="71">
        <v>6164</v>
      </c>
      <c r="E18" s="71">
        <v>6986</v>
      </c>
      <c r="F18" s="71" t="s">
        <v>87</v>
      </c>
      <c r="G18" s="71" t="s">
        <v>87</v>
      </c>
      <c r="H18" s="71">
        <v>24625</v>
      </c>
      <c r="I18" s="71">
        <v>39410</v>
      </c>
      <c r="J18" s="73"/>
    </row>
    <row r="19" spans="1:10">
      <c r="A19" s="69">
        <v>2015</v>
      </c>
      <c r="B19" s="71">
        <v>17825</v>
      </c>
      <c r="C19" s="71">
        <v>31471</v>
      </c>
      <c r="D19" s="71">
        <v>6206</v>
      </c>
      <c r="E19" s="71">
        <v>6994</v>
      </c>
      <c r="F19" s="71" t="s">
        <v>87</v>
      </c>
      <c r="G19" s="71" t="s">
        <v>87</v>
      </c>
      <c r="H19" s="71">
        <v>24031</v>
      </c>
      <c r="I19" s="71">
        <v>38465</v>
      </c>
      <c r="J19" s="73"/>
    </row>
    <row r="20" spans="1:10">
      <c r="A20" s="69">
        <v>2016</v>
      </c>
      <c r="B20" s="71">
        <v>17306</v>
      </c>
      <c r="C20" s="71">
        <v>30306</v>
      </c>
      <c r="D20" s="71">
        <v>6234</v>
      </c>
      <c r="E20" s="71">
        <v>7022</v>
      </c>
      <c r="F20" s="71" t="s">
        <v>87</v>
      </c>
      <c r="G20" s="71" t="s">
        <v>87</v>
      </c>
      <c r="H20" s="71">
        <v>23540</v>
      </c>
      <c r="I20" s="71">
        <v>37328</v>
      </c>
      <c r="J20" s="73"/>
    </row>
    <row r="21" spans="1:10">
      <c r="A21" s="69">
        <v>2017</v>
      </c>
      <c r="B21" s="71">
        <v>16936</v>
      </c>
      <c r="C21" s="71">
        <v>29662</v>
      </c>
      <c r="D21" s="71">
        <v>6230</v>
      </c>
      <c r="E21" s="71">
        <v>6998</v>
      </c>
      <c r="F21" s="71" t="s">
        <v>87</v>
      </c>
      <c r="G21" s="71" t="s">
        <v>87</v>
      </c>
      <c r="H21" s="71">
        <v>23166</v>
      </c>
      <c r="I21" s="71">
        <v>36660</v>
      </c>
      <c r="J21" s="73"/>
    </row>
    <row r="22" spans="1:10">
      <c r="A22" s="69">
        <v>2018</v>
      </c>
      <c r="B22" s="71">
        <v>16758</v>
      </c>
      <c r="C22" s="71">
        <v>29873</v>
      </c>
      <c r="D22" s="71">
        <v>6153</v>
      </c>
      <c r="E22" s="71">
        <v>6898</v>
      </c>
      <c r="F22" s="71" t="s">
        <v>87</v>
      </c>
      <c r="G22" s="71" t="s">
        <v>87</v>
      </c>
      <c r="H22" s="71">
        <v>22911</v>
      </c>
      <c r="I22" s="71">
        <v>36771</v>
      </c>
      <c r="J22" s="73"/>
    </row>
    <row r="23" spans="1:10">
      <c r="A23" s="69">
        <v>2019</v>
      </c>
      <c r="B23" s="71">
        <v>16251</v>
      </c>
      <c r="C23" s="71">
        <v>28810</v>
      </c>
      <c r="D23" s="71">
        <v>6121</v>
      </c>
      <c r="E23" s="71">
        <v>6854</v>
      </c>
      <c r="F23" s="71" t="s">
        <v>87</v>
      </c>
      <c r="G23" s="71" t="s">
        <v>87</v>
      </c>
      <c r="H23" s="71">
        <v>22372</v>
      </c>
      <c r="I23" s="71">
        <v>35664</v>
      </c>
      <c r="J23" s="73"/>
    </row>
    <row r="24" spans="1:10">
      <c r="A24" s="5" t="s">
        <v>552</v>
      </c>
      <c r="B24" s="131">
        <f>100*(B13-B5)/B5</f>
        <v>-22.7867664815262</v>
      </c>
      <c r="C24" s="73"/>
      <c r="D24" s="73"/>
      <c r="E24" s="73"/>
      <c r="F24" s="73"/>
      <c r="G24" s="73"/>
      <c r="H24" s="73"/>
      <c r="I24" s="73"/>
      <c r="J24" s="73"/>
    </row>
    <row r="25" spans="1:10">
      <c r="A25" s="5" t="s">
        <v>553</v>
      </c>
      <c r="B25" s="204">
        <f>100*(B23-B5)/B5</f>
        <v>-21.51171214682444</v>
      </c>
      <c r="C25" s="204">
        <f>100*(C23-C5)/C5</f>
        <v>-34.193695751484697</v>
      </c>
      <c r="D25" s="204">
        <f t="shared" ref="D25:E25" si="0">100*(D23-D5)/D5</f>
        <v>4.8655131060476275</v>
      </c>
      <c r="E25" s="204">
        <f t="shared" si="0"/>
        <v>-1.2534216971617922</v>
      </c>
      <c r="F25" s="73"/>
      <c r="G25" s="73"/>
      <c r="H25" s="73"/>
      <c r="I25" s="73"/>
      <c r="J25" s="73"/>
    </row>
    <row r="26" spans="1:10">
      <c r="A26" s="5" t="s">
        <v>436</v>
      </c>
      <c r="B26" s="73"/>
      <c r="C26" s="73"/>
      <c r="D26" s="73"/>
      <c r="E26" s="73"/>
      <c r="F26" s="73"/>
      <c r="G26" s="73"/>
      <c r="H26" s="73"/>
      <c r="I26" s="73"/>
      <c r="J26" s="73"/>
    </row>
    <row r="27" spans="1:10">
      <c r="A27" s="74" t="s">
        <v>437</v>
      </c>
    </row>
    <row r="30" spans="1:10">
      <c r="A30" s="72" t="s">
        <v>438</v>
      </c>
    </row>
    <row r="31" spans="1:10">
      <c r="A31" s="72"/>
    </row>
    <row r="32" spans="1:10" ht="33" customHeight="1">
      <c r="B32" s="75" t="s">
        <v>434</v>
      </c>
      <c r="C32" s="75" t="s">
        <v>435</v>
      </c>
      <c r="D32" s="137" t="s">
        <v>290</v>
      </c>
      <c r="E32" s="137" t="s">
        <v>439</v>
      </c>
      <c r="F32" s="137" t="s">
        <v>440</v>
      </c>
    </row>
    <row r="33" spans="1:6">
      <c r="A33" s="69">
        <v>2001</v>
      </c>
      <c r="B33" s="71">
        <v>28369</v>
      </c>
      <c r="C33" s="71">
        <v>52903</v>
      </c>
      <c r="D33" s="20">
        <v>749820</v>
      </c>
      <c r="E33" s="143">
        <f>100*C33/D33</f>
        <v>7.0554266357259072</v>
      </c>
      <c r="F33" s="143">
        <f>C33/B33</f>
        <v>1.864817230075082</v>
      </c>
    </row>
    <row r="34" spans="1:6">
      <c r="A34" s="69">
        <v>2002</v>
      </c>
      <c r="B34" s="71">
        <v>27730</v>
      </c>
      <c r="C34" s="71">
        <v>50732</v>
      </c>
      <c r="D34" s="20">
        <v>749372</v>
      </c>
      <c r="E34" s="143">
        <f t="shared" ref="E34:E51" si="1">100*C34/D34</f>
        <v>6.7699353592074427</v>
      </c>
      <c r="F34" s="143">
        <f t="shared" ref="F34:F51" si="2">C34/B34</f>
        <v>1.8294987378290659</v>
      </c>
    </row>
    <row r="35" spans="1:6">
      <c r="A35" s="69">
        <v>2003</v>
      </c>
      <c r="B35" s="71">
        <v>27222</v>
      </c>
      <c r="C35" s="71">
        <v>49330</v>
      </c>
      <c r="D35" s="20">
        <v>749441</v>
      </c>
      <c r="E35" s="143">
        <f t="shared" si="1"/>
        <v>6.5822392956883862</v>
      </c>
      <c r="F35" s="143">
        <f t="shared" si="2"/>
        <v>1.8121372419366688</v>
      </c>
    </row>
    <row r="36" spans="1:6">
      <c r="A36" s="69">
        <v>2004</v>
      </c>
      <c r="B36" s="71">
        <v>26264</v>
      </c>
      <c r="C36" s="71">
        <v>47001</v>
      </c>
      <c r="D36" s="20">
        <v>749419</v>
      </c>
      <c r="E36" s="143">
        <f t="shared" si="1"/>
        <v>6.2716584447418597</v>
      </c>
      <c r="F36" s="143">
        <f t="shared" si="2"/>
        <v>1.7895598537922632</v>
      </c>
    </row>
    <row r="37" spans="1:6">
      <c r="A37" s="69">
        <v>2005</v>
      </c>
      <c r="B37" s="71">
        <v>26133</v>
      </c>
      <c r="C37" s="71">
        <v>46194</v>
      </c>
      <c r="D37" s="20">
        <v>748057</v>
      </c>
      <c r="E37" s="143">
        <f t="shared" si="1"/>
        <v>6.1751978793059887</v>
      </c>
      <c r="F37" s="143">
        <f t="shared" si="2"/>
        <v>1.7676500975777751</v>
      </c>
    </row>
    <row r="38" spans="1:6">
      <c r="A38" s="69">
        <v>2006</v>
      </c>
      <c r="B38" s="71">
        <v>25602</v>
      </c>
      <c r="C38" s="71">
        <v>44845</v>
      </c>
      <c r="D38" s="20">
        <v>745621</v>
      </c>
      <c r="E38" s="143">
        <f t="shared" si="1"/>
        <v>6.0144497003169173</v>
      </c>
      <c r="F38" s="143">
        <f t="shared" si="2"/>
        <v>1.7516209671119445</v>
      </c>
    </row>
    <row r="39" spans="1:6">
      <c r="A39" s="69">
        <v>2007</v>
      </c>
      <c r="B39" s="71">
        <v>24855</v>
      </c>
      <c r="C39" s="71">
        <v>42658</v>
      </c>
      <c r="D39" s="20">
        <v>745433</v>
      </c>
      <c r="E39" s="143">
        <f t="shared" si="1"/>
        <v>5.72258003066674</v>
      </c>
      <c r="F39" s="143">
        <f t="shared" si="2"/>
        <v>1.716274391470529</v>
      </c>
    </row>
    <row r="40" spans="1:6">
      <c r="A40" s="69">
        <v>2008</v>
      </c>
      <c r="B40" s="71">
        <v>23757</v>
      </c>
      <c r="C40" s="71">
        <v>40338</v>
      </c>
      <c r="D40" s="20">
        <v>746877</v>
      </c>
      <c r="E40" s="143">
        <f t="shared" si="1"/>
        <v>5.4008893030579328</v>
      </c>
      <c r="F40" s="143">
        <f t="shared" si="2"/>
        <v>1.6979416593004166</v>
      </c>
    </row>
    <row r="41" spans="1:6">
      <c r="A41" s="69">
        <v>2009</v>
      </c>
      <c r="B41" s="71">
        <v>23217</v>
      </c>
      <c r="C41" s="71">
        <v>39007</v>
      </c>
      <c r="D41" s="20">
        <v>749956</v>
      </c>
      <c r="E41" s="143">
        <f t="shared" si="1"/>
        <v>5.2012384726570629</v>
      </c>
      <c r="F41" s="143">
        <f t="shared" si="2"/>
        <v>1.6801050954042296</v>
      </c>
    </row>
    <row r="42" spans="1:6">
      <c r="A42" s="69">
        <v>2010</v>
      </c>
      <c r="B42" s="71">
        <v>24381</v>
      </c>
      <c r="C42" s="71">
        <v>40381</v>
      </c>
      <c r="D42" s="20">
        <v>753035</v>
      </c>
      <c r="E42" s="143">
        <f t="shared" si="1"/>
        <v>5.3624333530313999</v>
      </c>
      <c r="F42" s="143">
        <f t="shared" si="2"/>
        <v>1.656248718264222</v>
      </c>
    </row>
    <row r="43" spans="1:6">
      <c r="A43" s="69">
        <v>2011</v>
      </c>
      <c r="B43" s="71">
        <v>25084</v>
      </c>
      <c r="C43" s="71">
        <v>41041</v>
      </c>
      <c r="D43" s="20">
        <v>755705</v>
      </c>
      <c r="E43" s="143">
        <f t="shared" si="1"/>
        <v>5.4308228740050684</v>
      </c>
      <c r="F43" s="143">
        <f t="shared" si="2"/>
        <v>1.6361425609950566</v>
      </c>
    </row>
    <row r="44" spans="1:6">
      <c r="A44" s="69">
        <v>2012</v>
      </c>
      <c r="B44" s="71">
        <v>25355</v>
      </c>
      <c r="C44" s="71">
        <v>41047</v>
      </c>
      <c r="D44" s="20">
        <v>758378</v>
      </c>
      <c r="E44" s="143">
        <f t="shared" si="1"/>
        <v>5.4124724082185924</v>
      </c>
      <c r="F44" s="143">
        <f t="shared" si="2"/>
        <v>1.6188917373299152</v>
      </c>
    </row>
    <row r="45" spans="1:6">
      <c r="A45" s="69">
        <v>2013</v>
      </c>
      <c r="B45" s="71">
        <v>24817</v>
      </c>
      <c r="C45" s="71">
        <v>39901</v>
      </c>
      <c r="D45" s="20">
        <v>758544</v>
      </c>
      <c r="E45" s="143">
        <f t="shared" si="1"/>
        <v>5.2602090320403301</v>
      </c>
      <c r="F45" s="143">
        <f t="shared" si="2"/>
        <v>1.6078091630736995</v>
      </c>
    </row>
    <row r="46" spans="1:6">
      <c r="A46" s="69">
        <v>2014</v>
      </c>
      <c r="B46" s="71">
        <v>24625</v>
      </c>
      <c r="C46" s="71">
        <v>39410</v>
      </c>
      <c r="D46" s="20">
        <v>758976</v>
      </c>
      <c r="E46" s="143">
        <f t="shared" si="1"/>
        <v>5.1925225567079858</v>
      </c>
      <c r="F46" s="143">
        <f t="shared" si="2"/>
        <v>1.6004060913705584</v>
      </c>
    </row>
    <row r="47" spans="1:6">
      <c r="A47" s="69">
        <v>2015</v>
      </c>
      <c r="B47" s="71">
        <v>24031</v>
      </c>
      <c r="C47" s="71">
        <v>38465</v>
      </c>
      <c r="D47" s="20">
        <v>758842</v>
      </c>
      <c r="E47" s="143">
        <f t="shared" si="1"/>
        <v>5.0689076250392047</v>
      </c>
      <c r="F47" s="143">
        <f t="shared" si="2"/>
        <v>1.6006408389163997</v>
      </c>
    </row>
    <row r="48" spans="1:6">
      <c r="A48" s="69">
        <v>2016</v>
      </c>
      <c r="B48" s="71">
        <v>23540</v>
      </c>
      <c r="C48" s="71">
        <v>37328</v>
      </c>
      <c r="D48" s="20">
        <v>763350</v>
      </c>
      <c r="E48" s="143">
        <f t="shared" si="1"/>
        <v>4.8900242352787053</v>
      </c>
      <c r="F48" s="143">
        <f t="shared" si="2"/>
        <v>1.5857264231096007</v>
      </c>
    </row>
    <row r="49" spans="1:7">
      <c r="A49" s="69">
        <v>2017</v>
      </c>
      <c r="B49" s="71">
        <v>23166</v>
      </c>
      <c r="C49" s="71">
        <v>36660</v>
      </c>
      <c r="D49" s="20">
        <v>766621</v>
      </c>
      <c r="E49" s="143">
        <f t="shared" si="1"/>
        <v>4.7820239727322891</v>
      </c>
      <c r="F49" s="143">
        <f t="shared" si="2"/>
        <v>1.5824915824915824</v>
      </c>
    </row>
    <row r="50" spans="1:7">
      <c r="A50" s="69">
        <v>2018</v>
      </c>
      <c r="B50" s="71">
        <v>22911</v>
      </c>
      <c r="C50" s="71">
        <v>36771</v>
      </c>
      <c r="D50" s="20">
        <v>770301</v>
      </c>
      <c r="E50" s="143">
        <f t="shared" si="1"/>
        <v>4.7735885063111692</v>
      </c>
      <c r="F50" s="143">
        <f t="shared" si="2"/>
        <v>1.6049495875343722</v>
      </c>
    </row>
    <row r="51" spans="1:7">
      <c r="A51" s="69">
        <v>2019</v>
      </c>
      <c r="B51" s="71">
        <v>22372</v>
      </c>
      <c r="C51" s="71">
        <v>35664</v>
      </c>
      <c r="D51" s="20">
        <v>776868</v>
      </c>
      <c r="E51" s="143">
        <f t="shared" si="1"/>
        <v>4.5907412842336148</v>
      </c>
      <c r="F51" s="143">
        <f t="shared" si="2"/>
        <v>1.594135526551046</v>
      </c>
    </row>
    <row r="52" spans="1:7">
      <c r="G52" s="27"/>
    </row>
    <row r="54" spans="1:7">
      <c r="A54" s="72" t="s">
        <v>441</v>
      </c>
    </row>
    <row r="56" spans="1:7">
      <c r="A56" s="5" t="s">
        <v>442</v>
      </c>
    </row>
    <row r="58" spans="1:7">
      <c r="B58" s="135" t="s">
        <v>54</v>
      </c>
      <c r="C58" s="135" t="s">
        <v>42</v>
      </c>
    </row>
    <row r="59" spans="1:7">
      <c r="A59" s="69">
        <v>2001</v>
      </c>
      <c r="B59" s="143">
        <v>1.864817230075082</v>
      </c>
      <c r="C59" s="143">
        <v>1.7107254895719495</v>
      </c>
    </row>
    <row r="60" spans="1:7">
      <c r="A60" s="69">
        <v>2002</v>
      </c>
      <c r="B60" s="143">
        <v>1.8294987378290659</v>
      </c>
      <c r="C60" s="143">
        <v>1.6771663841965516</v>
      </c>
    </row>
    <row r="61" spans="1:7">
      <c r="A61" s="69">
        <v>2003</v>
      </c>
      <c r="B61" s="143">
        <v>1.8121372419366688</v>
      </c>
      <c r="C61" s="143">
        <v>1.6468946810940257</v>
      </c>
    </row>
    <row r="62" spans="1:7">
      <c r="A62" s="69">
        <v>2004</v>
      </c>
      <c r="B62" s="143">
        <v>1.7895598537922632</v>
      </c>
      <c r="C62" s="143">
        <v>1.6219859444471005</v>
      </c>
    </row>
    <row r="63" spans="1:7">
      <c r="A63" s="69">
        <v>2005</v>
      </c>
      <c r="B63" s="143">
        <v>1.7676500975777751</v>
      </c>
      <c r="C63" s="143">
        <v>1.6159294038662644</v>
      </c>
    </row>
    <row r="64" spans="1:7">
      <c r="A64" s="69">
        <v>2006</v>
      </c>
      <c r="B64" s="143">
        <v>1.7516209671119445</v>
      </c>
      <c r="C64" s="143">
        <v>1.5976825968638642</v>
      </c>
    </row>
    <row r="65" spans="1:3">
      <c r="A65" s="69">
        <v>2007</v>
      </c>
      <c r="B65" s="143">
        <v>1.716274391470529</v>
      </c>
      <c r="C65" s="143">
        <v>1.5789389194222052</v>
      </c>
    </row>
    <row r="66" spans="1:3">
      <c r="A66" s="69">
        <v>2008</v>
      </c>
      <c r="B66" s="143">
        <v>1.6979416593004166</v>
      </c>
      <c r="C66" s="143">
        <v>1.5645905755117806</v>
      </c>
    </row>
    <row r="67" spans="1:3">
      <c r="A67" s="69">
        <v>2009</v>
      </c>
      <c r="B67" s="143">
        <v>1.6801050954042296</v>
      </c>
      <c r="C67" s="143">
        <v>1.5541272250171001</v>
      </c>
    </row>
    <row r="68" spans="1:3">
      <c r="A68" s="69">
        <v>2010</v>
      </c>
      <c r="B68" s="143">
        <v>1.656248718264222</v>
      </c>
      <c r="C68" s="143">
        <v>1.5475554612184679</v>
      </c>
    </row>
    <row r="69" spans="1:3">
      <c r="A69" s="69">
        <v>2011</v>
      </c>
      <c r="B69" s="143">
        <v>1.6361425609950566</v>
      </c>
      <c r="C69" s="143">
        <v>1.5413669019224037</v>
      </c>
    </row>
    <row r="70" spans="1:3">
      <c r="A70" s="69">
        <v>2012</v>
      </c>
      <c r="B70" s="143">
        <v>1.6188917373299152</v>
      </c>
      <c r="C70" s="143">
        <v>1.5315778052878679</v>
      </c>
    </row>
    <row r="71" spans="1:3">
      <c r="A71" s="69">
        <v>2013</v>
      </c>
      <c r="B71" s="143">
        <v>1.6078091630736995</v>
      </c>
      <c r="C71" s="143">
        <v>1.5233662557182295</v>
      </c>
    </row>
    <row r="72" spans="1:3">
      <c r="A72" s="69">
        <v>2014</v>
      </c>
      <c r="B72" s="143">
        <v>1.6004060913705584</v>
      </c>
      <c r="C72" s="143">
        <v>1.4998992155402171</v>
      </c>
    </row>
    <row r="73" spans="1:3">
      <c r="A73" s="69">
        <v>2015</v>
      </c>
      <c r="B73" s="143">
        <v>1.6006408389163997</v>
      </c>
      <c r="C73" s="143">
        <v>1.5009115687711525</v>
      </c>
    </row>
    <row r="74" spans="1:3">
      <c r="A74" s="69">
        <v>2016</v>
      </c>
      <c r="B74" s="143">
        <v>1.5857264231096007</v>
      </c>
      <c r="C74" s="143">
        <v>1.4917966925387294</v>
      </c>
    </row>
    <row r="75" spans="1:3">
      <c r="A75" s="69">
        <v>2017</v>
      </c>
      <c r="B75" s="143">
        <v>1.5824915824915824</v>
      </c>
      <c r="C75" s="143">
        <v>1.4900537855418716</v>
      </c>
    </row>
    <row r="76" spans="1:3">
      <c r="A76" s="69">
        <v>2018</v>
      </c>
      <c r="B76" s="143">
        <v>1.6049495875343722</v>
      </c>
      <c r="C76" s="143">
        <v>1.4981437209514334</v>
      </c>
    </row>
    <row r="77" spans="1:3">
      <c r="A77" s="69">
        <v>2019</v>
      </c>
      <c r="B77" s="143">
        <v>1.594135526551046</v>
      </c>
      <c r="C77" s="143">
        <v>1.4989981896698032</v>
      </c>
    </row>
    <row r="82" spans="1:2">
      <c r="A82" s="69"/>
      <c r="B82" s="143"/>
    </row>
    <row r="83" spans="1:2">
      <c r="A83" s="69"/>
      <c r="B83" s="143"/>
    </row>
    <row r="84" spans="1:2">
      <c r="A84" s="69"/>
      <c r="B84" s="143"/>
    </row>
    <row r="85" spans="1:2">
      <c r="A85" s="69"/>
      <c r="B85" s="143"/>
    </row>
    <row r="86" spans="1:2">
      <c r="A86" s="69"/>
      <c r="B86" s="143"/>
    </row>
    <row r="87" spans="1:2">
      <c r="A87" s="69"/>
      <c r="B87" s="143"/>
    </row>
    <row r="88" spans="1:2">
      <c r="A88" s="69"/>
      <c r="B88" s="143"/>
    </row>
    <row r="89" spans="1:2">
      <c r="A89" s="69"/>
      <c r="B89" s="143"/>
    </row>
    <row r="90" spans="1:2">
      <c r="A90" s="69"/>
      <c r="B90" s="143"/>
    </row>
    <row r="91" spans="1:2">
      <c r="A91" s="69"/>
      <c r="B91" s="143"/>
    </row>
    <row r="92" spans="1:2">
      <c r="A92" s="69"/>
      <c r="B92" s="143"/>
    </row>
    <row r="93" spans="1:2">
      <c r="A93" s="69"/>
      <c r="B93" s="143"/>
    </row>
    <row r="94" spans="1:2">
      <c r="A94" s="69"/>
      <c r="B94" s="143"/>
    </row>
    <row r="95" spans="1:2">
      <c r="A95" s="69"/>
      <c r="B95" s="143"/>
    </row>
    <row r="96" spans="1:2">
      <c r="A96" s="69"/>
      <c r="B96" s="143"/>
    </row>
    <row r="97" spans="1:2">
      <c r="A97" s="69"/>
      <c r="B97" s="143"/>
    </row>
    <row r="98" spans="1:2">
      <c r="A98" s="69"/>
      <c r="B98" s="143"/>
    </row>
    <row r="99" spans="1:2">
      <c r="A99" s="69"/>
      <c r="B99" s="143"/>
    </row>
    <row r="100" spans="1:2">
      <c r="A100" s="69"/>
      <c r="B100" s="143"/>
    </row>
  </sheetData>
  <mergeCells count="4">
    <mergeCell ref="H3:I3"/>
    <mergeCell ref="F3:G3"/>
    <mergeCell ref="D3:E3"/>
    <mergeCell ref="B3:C3"/>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A2EB8-8911-3844-8BDA-FC367AD43580}">
  <sheetPr codeName="Sheet81"/>
  <dimension ref="A1:C25"/>
  <sheetViews>
    <sheetView zoomScale="106" workbookViewId="0"/>
  </sheetViews>
  <sheetFormatPr baseColWidth="10" defaultColWidth="11" defaultRowHeight="16"/>
  <cols>
    <col min="2" max="3" width="14.83203125" customWidth="1"/>
  </cols>
  <sheetData>
    <row r="1" spans="1:3">
      <c r="A1" s="68" t="s">
        <v>701</v>
      </c>
      <c r="B1" s="2"/>
      <c r="C1" s="2"/>
    </row>
    <row r="3" spans="1:3">
      <c r="A3" s="2"/>
      <c r="B3" s="135" t="s">
        <v>434</v>
      </c>
      <c r="C3" s="135" t="s">
        <v>435</v>
      </c>
    </row>
    <row r="4" spans="1:3">
      <c r="A4" s="69">
        <v>2001</v>
      </c>
      <c r="B4" s="143">
        <v>2.5083378426649974</v>
      </c>
      <c r="C4" s="143">
        <v>2.7342736496090057</v>
      </c>
    </row>
    <row r="5" spans="1:3">
      <c r="A5" s="69">
        <v>2002</v>
      </c>
      <c r="B5" s="143">
        <v>2.5362859006101539</v>
      </c>
      <c r="C5" s="143">
        <v>2.7666496882256513</v>
      </c>
    </row>
    <row r="6" spans="1:3">
      <c r="A6" s="69">
        <v>2003</v>
      </c>
      <c r="B6" s="143">
        <v>2.5584658603360726</v>
      </c>
      <c r="C6" s="143">
        <v>2.8151716809593839</v>
      </c>
    </row>
    <row r="7" spans="1:3">
      <c r="A7" s="69">
        <v>2004</v>
      </c>
      <c r="B7" s="143">
        <v>2.5112587847205621</v>
      </c>
      <c r="C7" s="143">
        <v>2.7707070576070798</v>
      </c>
    </row>
    <row r="8" spans="1:3">
      <c r="A8" s="69">
        <v>2005</v>
      </c>
      <c r="B8" s="143">
        <v>2.5280760289868249</v>
      </c>
      <c r="C8" s="143">
        <v>2.7654387800795495</v>
      </c>
    </row>
    <row r="9" spans="1:3">
      <c r="A9" s="69">
        <v>2006</v>
      </c>
      <c r="B9" s="143">
        <v>2.4953800088890969</v>
      </c>
      <c r="C9" s="143">
        <v>2.7358124530254075</v>
      </c>
    </row>
    <row r="10" spans="1:3">
      <c r="A10" s="69">
        <v>2007</v>
      </c>
      <c r="B10" s="143">
        <v>2.4181802792071521</v>
      </c>
      <c r="C10" s="143">
        <v>2.6285126271262156</v>
      </c>
    </row>
    <row r="11" spans="1:3">
      <c r="A11" s="69">
        <v>2008</v>
      </c>
      <c r="B11" s="143">
        <v>2.2940324449594436</v>
      </c>
      <c r="C11" s="143">
        <v>2.4895543390380732</v>
      </c>
    </row>
    <row r="12" spans="1:3">
      <c r="A12" s="69">
        <v>2009</v>
      </c>
      <c r="B12" s="143">
        <v>2.1843954548918623</v>
      </c>
      <c r="C12" s="143">
        <v>2.3614629967641654</v>
      </c>
    </row>
    <row r="13" spans="1:3">
      <c r="A13" s="69">
        <v>2010</v>
      </c>
      <c r="B13" s="143">
        <v>2.1209316406012135</v>
      </c>
      <c r="C13" s="143">
        <v>2.2698962326726551</v>
      </c>
    </row>
    <row r="14" spans="1:3">
      <c r="A14" s="69">
        <v>2011</v>
      </c>
      <c r="B14" s="143">
        <v>2.1163735461743873</v>
      </c>
      <c r="C14" s="143">
        <v>2.2465052477390439</v>
      </c>
    </row>
    <row r="15" spans="1:3">
      <c r="A15" s="69">
        <v>2012</v>
      </c>
      <c r="B15" s="143">
        <v>2.1080137779547736</v>
      </c>
      <c r="C15" s="143">
        <v>2.2281898285064119</v>
      </c>
    </row>
    <row r="16" spans="1:3">
      <c r="A16" s="69">
        <v>2013</v>
      </c>
      <c r="B16" s="143">
        <v>2.0611373006302096</v>
      </c>
      <c r="C16" s="143">
        <v>2.1753898157234763</v>
      </c>
    </row>
    <row r="17" spans="1:3">
      <c r="A17" s="69">
        <v>2014</v>
      </c>
      <c r="B17" s="143">
        <v>2.0426480017718158</v>
      </c>
      <c r="C17" s="143">
        <v>2.1795239778054665</v>
      </c>
    </row>
    <row r="18" spans="1:3">
      <c r="A18" s="69">
        <v>2015</v>
      </c>
      <c r="B18" s="143">
        <v>1.9788535808101186</v>
      </c>
      <c r="C18" s="143">
        <v>2.1103400903718237</v>
      </c>
    </row>
    <row r="19" spans="1:3">
      <c r="A19" s="69">
        <v>2016</v>
      </c>
      <c r="B19" s="143">
        <v>1.8990594250706501</v>
      </c>
      <c r="C19" s="143">
        <v>2.0186321128417948</v>
      </c>
    </row>
    <row r="20" spans="1:3">
      <c r="A20" s="69">
        <v>2017</v>
      </c>
      <c r="B20" s="143">
        <v>1.831359360992614</v>
      </c>
      <c r="C20" s="143">
        <v>1.9449705785177751</v>
      </c>
    </row>
    <row r="21" spans="1:3">
      <c r="A21" s="69">
        <v>2018</v>
      </c>
      <c r="B21" s="143">
        <v>1.8005592413932938</v>
      </c>
      <c r="C21" s="143">
        <v>1.9289249565256164</v>
      </c>
    </row>
    <row r="22" spans="1:3">
      <c r="A22" s="69">
        <v>2019</v>
      </c>
      <c r="B22" s="143">
        <v>1.7578431927184497</v>
      </c>
      <c r="C22" s="143">
        <v>1.8694087177221141</v>
      </c>
    </row>
    <row r="25" spans="1:3">
      <c r="A25" s="74" t="s">
        <v>437</v>
      </c>
      <c r="B25" s="2"/>
      <c r="C25" s="2"/>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C4EAE-D93B-084D-852F-DB82D175BB4B}">
  <sheetPr codeName="Sheet82"/>
  <dimension ref="A1:M24"/>
  <sheetViews>
    <sheetView workbookViewId="0">
      <selection activeCell="M34" sqref="M34"/>
    </sheetView>
  </sheetViews>
  <sheetFormatPr baseColWidth="10" defaultColWidth="10.83203125" defaultRowHeight="16"/>
  <cols>
    <col min="1" max="1" width="22.33203125" style="5" customWidth="1"/>
    <col min="2" max="16384" width="10.83203125" style="5"/>
  </cols>
  <sheetData>
    <row r="1" spans="1:13">
      <c r="A1" s="19" t="s">
        <v>703</v>
      </c>
    </row>
    <row r="2" spans="1:13">
      <c r="A2" s="19"/>
    </row>
    <row r="3" spans="1:13">
      <c r="B3" s="328" t="s">
        <v>443</v>
      </c>
      <c r="C3" s="328"/>
      <c r="D3" s="328"/>
      <c r="E3" s="328"/>
      <c r="F3" s="328"/>
      <c r="G3" s="328"/>
      <c r="H3" s="328" t="s">
        <v>444</v>
      </c>
      <c r="I3" s="328"/>
      <c r="J3" s="328"/>
      <c r="K3" s="328"/>
      <c r="L3" s="328"/>
      <c r="M3" s="328"/>
    </row>
    <row r="4" spans="1:13" ht="36" customHeight="1">
      <c r="B4" s="330" t="s">
        <v>445</v>
      </c>
      <c r="C4" s="330"/>
      <c r="D4" s="330"/>
      <c r="E4" s="330" t="s">
        <v>446</v>
      </c>
      <c r="F4" s="330"/>
      <c r="G4" s="330"/>
      <c r="H4" s="330" t="s">
        <v>445</v>
      </c>
      <c r="I4" s="330"/>
      <c r="J4" s="330"/>
      <c r="K4" s="330" t="s">
        <v>446</v>
      </c>
      <c r="L4" s="330"/>
      <c r="M4" s="330"/>
    </row>
    <row r="5" spans="1:13" ht="68">
      <c r="B5" s="137" t="s">
        <v>447</v>
      </c>
      <c r="C5" s="137" t="s">
        <v>448</v>
      </c>
      <c r="D5" s="137" t="s">
        <v>78</v>
      </c>
      <c r="E5" s="137" t="s">
        <v>447</v>
      </c>
      <c r="F5" s="137" t="s">
        <v>448</v>
      </c>
      <c r="G5" s="137" t="s">
        <v>78</v>
      </c>
      <c r="H5" s="137" t="s">
        <v>447</v>
      </c>
      <c r="I5" s="137" t="s">
        <v>448</v>
      </c>
      <c r="J5" s="137" t="s">
        <v>78</v>
      </c>
      <c r="K5" s="137" t="s">
        <v>447</v>
      </c>
      <c r="L5" s="137" t="s">
        <v>448</v>
      </c>
      <c r="M5" s="137" t="s">
        <v>78</v>
      </c>
    </row>
    <row r="6" spans="1:13">
      <c r="A6" s="5">
        <v>1999</v>
      </c>
      <c r="B6" s="8">
        <v>51.3</v>
      </c>
      <c r="C6" s="8">
        <v>51.7</v>
      </c>
      <c r="D6" s="8">
        <v>47.9</v>
      </c>
      <c r="E6" s="8">
        <v>41.7</v>
      </c>
      <c r="F6" s="8">
        <v>42</v>
      </c>
      <c r="G6" s="8">
        <v>39.799999999999997</v>
      </c>
      <c r="H6" s="8">
        <v>43.4</v>
      </c>
      <c r="I6" s="8">
        <v>43.8</v>
      </c>
      <c r="J6" s="8">
        <v>40.5</v>
      </c>
      <c r="K6" s="8">
        <v>30.9</v>
      </c>
      <c r="L6" s="8">
        <v>30.5</v>
      </c>
      <c r="M6" s="8">
        <v>34.799999999999997</v>
      </c>
    </row>
    <row r="7" spans="1:13">
      <c r="A7" s="5">
        <v>2005</v>
      </c>
      <c r="B7" s="8">
        <v>41.9</v>
      </c>
      <c r="C7" s="8">
        <v>45.8</v>
      </c>
      <c r="D7" s="8">
        <v>17.5</v>
      </c>
      <c r="E7" s="8">
        <v>35.1</v>
      </c>
      <c r="F7" s="8">
        <v>38.5</v>
      </c>
      <c r="G7" s="8">
        <v>13.5</v>
      </c>
      <c r="H7" s="8">
        <v>36</v>
      </c>
      <c r="I7" s="8">
        <v>39.299999999999997</v>
      </c>
      <c r="J7" s="8">
        <v>14.5</v>
      </c>
      <c r="K7" s="8">
        <v>26.8</v>
      </c>
      <c r="L7" s="8">
        <v>29</v>
      </c>
      <c r="M7" s="8">
        <v>13.2</v>
      </c>
    </row>
    <row r="8" spans="1:13">
      <c r="A8" s="5">
        <v>2012</v>
      </c>
      <c r="B8" s="8">
        <v>53.3</v>
      </c>
      <c r="C8" s="8">
        <v>55</v>
      </c>
      <c r="D8" s="8">
        <v>43.5</v>
      </c>
      <c r="E8" s="8">
        <v>46</v>
      </c>
      <c r="F8" s="8">
        <v>47.2</v>
      </c>
      <c r="G8" s="8">
        <v>38.799999999999997</v>
      </c>
      <c r="H8" s="8">
        <v>47.7</v>
      </c>
      <c r="I8" s="8">
        <v>47.7</v>
      </c>
      <c r="J8" s="8">
        <v>47.7</v>
      </c>
      <c r="K8" s="8">
        <v>39.200000000000003</v>
      </c>
      <c r="L8" s="8">
        <v>39.1</v>
      </c>
      <c r="M8" s="8">
        <v>40</v>
      </c>
    </row>
    <row r="9" spans="1:13">
      <c r="A9" s="5">
        <v>2016</v>
      </c>
      <c r="B9" s="8">
        <v>53.7</v>
      </c>
      <c r="C9" s="8">
        <v>54</v>
      </c>
      <c r="D9" s="8">
        <v>51.6</v>
      </c>
      <c r="E9" s="8">
        <v>43.1</v>
      </c>
      <c r="F9" s="8">
        <v>44.5</v>
      </c>
      <c r="G9" s="8">
        <v>35.299999999999997</v>
      </c>
      <c r="H9" s="8">
        <v>46.5</v>
      </c>
      <c r="I9" s="8">
        <v>45.4</v>
      </c>
      <c r="J9" s="8">
        <v>52.8</v>
      </c>
      <c r="K9" s="8">
        <v>32.200000000000003</v>
      </c>
      <c r="L9" s="8">
        <v>33.200000000000003</v>
      </c>
      <c r="M9" s="8">
        <v>26.6</v>
      </c>
    </row>
    <row r="10" spans="1:13">
      <c r="A10" s="5">
        <v>2019</v>
      </c>
      <c r="B10" s="8">
        <v>56.5</v>
      </c>
      <c r="C10" s="8">
        <v>59.2</v>
      </c>
      <c r="D10" s="8">
        <v>43.5</v>
      </c>
      <c r="E10" s="8">
        <v>46.8</v>
      </c>
      <c r="F10" s="8">
        <v>49.4</v>
      </c>
      <c r="G10" s="8">
        <v>34.1</v>
      </c>
      <c r="H10" s="8">
        <v>48.3</v>
      </c>
      <c r="I10" s="8">
        <v>50.1</v>
      </c>
      <c r="J10" s="8">
        <v>40</v>
      </c>
      <c r="K10" s="8">
        <v>31.6</v>
      </c>
      <c r="L10" s="8">
        <v>31.6</v>
      </c>
      <c r="M10" s="8">
        <v>31.5</v>
      </c>
    </row>
    <row r="12" spans="1:13">
      <c r="A12" s="5" t="s">
        <v>418</v>
      </c>
      <c r="B12" s="143">
        <f>B10-B6</f>
        <v>5.2000000000000028</v>
      </c>
      <c r="C12" s="143">
        <f t="shared" ref="C12:M12" si="0">C10-C6</f>
        <v>7.5</v>
      </c>
      <c r="D12" s="143">
        <f t="shared" si="0"/>
        <v>-4.3999999999999986</v>
      </c>
      <c r="E12" s="143">
        <f t="shared" si="0"/>
        <v>5.0999999999999943</v>
      </c>
      <c r="F12" s="143">
        <f t="shared" si="0"/>
        <v>7.3999999999999986</v>
      </c>
      <c r="G12" s="143">
        <f t="shared" si="0"/>
        <v>-5.6999999999999957</v>
      </c>
      <c r="H12" s="143">
        <f t="shared" si="0"/>
        <v>4.8999999999999986</v>
      </c>
      <c r="I12" s="143">
        <f t="shared" si="0"/>
        <v>6.3000000000000043</v>
      </c>
      <c r="J12" s="143">
        <f t="shared" si="0"/>
        <v>-0.5</v>
      </c>
      <c r="K12" s="143">
        <f t="shared" si="0"/>
        <v>0.70000000000000284</v>
      </c>
      <c r="L12" s="143">
        <f t="shared" si="0"/>
        <v>1.1000000000000014</v>
      </c>
      <c r="M12" s="143">
        <f t="shared" si="0"/>
        <v>-3.2999999999999972</v>
      </c>
    </row>
    <row r="13" spans="1:13">
      <c r="A13" s="5" t="s">
        <v>449</v>
      </c>
      <c r="B13" s="143">
        <f>B7-B6</f>
        <v>-9.3999999999999986</v>
      </c>
      <c r="C13" s="143">
        <f t="shared" ref="C13:M14" si="1">C7-C6</f>
        <v>-5.9000000000000057</v>
      </c>
      <c r="D13" s="143">
        <f t="shared" si="1"/>
        <v>-30.4</v>
      </c>
      <c r="E13" s="143">
        <f t="shared" si="1"/>
        <v>-6.6000000000000014</v>
      </c>
      <c r="F13" s="143">
        <f t="shared" si="1"/>
        <v>-3.5</v>
      </c>
      <c r="G13" s="143">
        <f t="shared" si="1"/>
        <v>-26.299999999999997</v>
      </c>
      <c r="H13" s="143">
        <f t="shared" si="1"/>
        <v>-7.3999999999999986</v>
      </c>
      <c r="I13" s="143">
        <f t="shared" si="1"/>
        <v>-4.5</v>
      </c>
      <c r="J13" s="143">
        <f t="shared" si="1"/>
        <v>-26</v>
      </c>
      <c r="K13" s="143">
        <f t="shared" si="1"/>
        <v>-4.0999999999999979</v>
      </c>
      <c r="L13" s="143">
        <f t="shared" si="1"/>
        <v>-1.5</v>
      </c>
      <c r="M13" s="143">
        <f t="shared" si="1"/>
        <v>-21.599999999999998</v>
      </c>
    </row>
    <row r="14" spans="1:13">
      <c r="A14" s="5" t="s">
        <v>450</v>
      </c>
      <c r="B14" s="143">
        <f>B8-B7</f>
        <v>11.399999999999999</v>
      </c>
      <c r="C14" s="143">
        <f t="shared" si="1"/>
        <v>9.2000000000000028</v>
      </c>
      <c r="D14" s="143">
        <f t="shared" si="1"/>
        <v>26</v>
      </c>
      <c r="E14" s="143">
        <f t="shared" si="1"/>
        <v>10.899999999999999</v>
      </c>
      <c r="F14" s="143">
        <f t="shared" si="1"/>
        <v>8.7000000000000028</v>
      </c>
      <c r="G14" s="143">
        <f t="shared" si="1"/>
        <v>25.299999999999997</v>
      </c>
      <c r="H14" s="143">
        <f t="shared" si="1"/>
        <v>11.700000000000003</v>
      </c>
      <c r="I14" s="143">
        <f t="shared" si="1"/>
        <v>8.4000000000000057</v>
      </c>
      <c r="J14" s="143">
        <f t="shared" si="1"/>
        <v>33.200000000000003</v>
      </c>
      <c r="K14" s="143">
        <f t="shared" si="1"/>
        <v>12.400000000000002</v>
      </c>
      <c r="L14" s="143">
        <f t="shared" si="1"/>
        <v>10.100000000000001</v>
      </c>
      <c r="M14" s="143">
        <f t="shared" si="1"/>
        <v>26.8</v>
      </c>
    </row>
    <row r="15" spans="1:13">
      <c r="A15" s="5" t="s">
        <v>451</v>
      </c>
      <c r="B15" s="143">
        <f>B10-B8</f>
        <v>3.2000000000000028</v>
      </c>
      <c r="C15" s="143">
        <f t="shared" ref="C15:M15" si="2">C10-C8</f>
        <v>4.2000000000000028</v>
      </c>
      <c r="D15" s="143">
        <f t="shared" si="2"/>
        <v>0</v>
      </c>
      <c r="E15" s="143">
        <f t="shared" si="2"/>
        <v>0.79999999999999716</v>
      </c>
      <c r="F15" s="143">
        <f t="shared" si="2"/>
        <v>2.1999999999999957</v>
      </c>
      <c r="G15" s="143">
        <f t="shared" si="2"/>
        <v>-4.6999999999999957</v>
      </c>
      <c r="H15" s="143">
        <f t="shared" si="2"/>
        <v>0.59999999999999432</v>
      </c>
      <c r="I15" s="143">
        <f t="shared" si="2"/>
        <v>2.3999999999999986</v>
      </c>
      <c r="J15" s="143">
        <f t="shared" si="2"/>
        <v>-7.7000000000000028</v>
      </c>
      <c r="K15" s="143">
        <f t="shared" si="2"/>
        <v>-7.6000000000000014</v>
      </c>
      <c r="L15" s="143">
        <f t="shared" si="2"/>
        <v>-7.5</v>
      </c>
      <c r="M15" s="143">
        <f t="shared" si="2"/>
        <v>-8.5</v>
      </c>
    </row>
    <row r="18" spans="1:2">
      <c r="A18" s="5" t="s">
        <v>153</v>
      </c>
    </row>
    <row r="19" spans="1:2">
      <c r="A19" s="5">
        <v>1</v>
      </c>
      <c r="B19" s="5" t="s">
        <v>452</v>
      </c>
    </row>
    <row r="20" spans="1:2">
      <c r="A20" s="5">
        <v>2</v>
      </c>
      <c r="B20" s="5" t="s">
        <v>453</v>
      </c>
    </row>
    <row r="21" spans="1:2">
      <c r="A21" s="5">
        <v>3</v>
      </c>
      <c r="B21" s="5" t="s">
        <v>454</v>
      </c>
    </row>
    <row r="24" spans="1:2">
      <c r="A24" s="5" t="s">
        <v>702</v>
      </c>
    </row>
  </sheetData>
  <mergeCells count="6">
    <mergeCell ref="B3:G3"/>
    <mergeCell ref="H3:M3"/>
    <mergeCell ref="B4:D4"/>
    <mergeCell ref="E4:G4"/>
    <mergeCell ref="H4:J4"/>
    <mergeCell ref="K4:M4"/>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BE159-DAC7-5C4D-BFEB-DE08594D545B}">
  <sheetPr codeName="Sheet83"/>
  <dimension ref="A1:Q27"/>
  <sheetViews>
    <sheetView workbookViewId="0">
      <selection activeCell="P38" sqref="P38"/>
    </sheetView>
  </sheetViews>
  <sheetFormatPr baseColWidth="10" defaultColWidth="11" defaultRowHeight="16"/>
  <cols>
    <col min="1" max="1" width="19.6640625" customWidth="1"/>
  </cols>
  <sheetData>
    <row r="1" spans="1:17">
      <c r="A1" s="15" t="s">
        <v>704</v>
      </c>
      <c r="B1" s="15"/>
      <c r="C1" s="15"/>
      <c r="D1" s="15"/>
      <c r="E1" s="15"/>
      <c r="F1" s="15"/>
      <c r="G1" s="15"/>
      <c r="H1" s="15"/>
      <c r="I1" s="15"/>
      <c r="J1" s="15"/>
      <c r="K1" s="15"/>
      <c r="L1" s="6"/>
      <c r="M1" s="6"/>
      <c r="N1" s="6"/>
      <c r="O1" s="6"/>
      <c r="P1" s="6"/>
      <c r="Q1" s="6"/>
    </row>
    <row r="2" spans="1:17">
      <c r="A2" s="6" t="s">
        <v>455</v>
      </c>
      <c r="B2" s="6"/>
      <c r="C2" s="6"/>
      <c r="D2" s="6"/>
      <c r="E2" s="6"/>
      <c r="F2" s="6"/>
      <c r="G2" s="6"/>
      <c r="H2" s="6"/>
      <c r="I2" s="6"/>
      <c r="J2" s="6"/>
      <c r="K2" s="6"/>
      <c r="L2" s="6"/>
      <c r="M2" s="6"/>
      <c r="N2" s="6"/>
      <c r="O2" s="6"/>
      <c r="P2" s="6"/>
      <c r="Q2" s="6"/>
    </row>
    <row r="3" spans="1:17">
      <c r="A3" s="6"/>
      <c r="B3" s="6"/>
      <c r="C3" s="6"/>
      <c r="D3" s="6"/>
      <c r="E3" s="6"/>
      <c r="F3" s="6"/>
      <c r="G3" s="6"/>
      <c r="H3" s="6"/>
      <c r="I3" s="6"/>
      <c r="J3" s="6"/>
      <c r="K3" s="6"/>
      <c r="L3" s="6"/>
      <c r="M3" s="6"/>
      <c r="N3" s="6"/>
      <c r="O3" s="6"/>
      <c r="P3" s="6"/>
      <c r="Q3" s="6"/>
    </row>
    <row r="4" spans="1:17">
      <c r="A4" s="6"/>
      <c r="B4" s="338" t="s">
        <v>360</v>
      </c>
      <c r="C4" s="338"/>
      <c r="D4" s="338"/>
      <c r="E4" s="338" t="s">
        <v>456</v>
      </c>
      <c r="F4" s="338"/>
      <c r="G4" s="338"/>
      <c r="H4" s="338" t="s">
        <v>457</v>
      </c>
      <c r="I4" s="338"/>
      <c r="J4" s="338" t="s">
        <v>458</v>
      </c>
      <c r="K4" s="338"/>
      <c r="L4" s="338" t="s">
        <v>459</v>
      </c>
      <c r="M4" s="338"/>
      <c r="N4" s="338"/>
      <c r="O4" s="338" t="s">
        <v>363</v>
      </c>
      <c r="P4" s="338"/>
      <c r="Q4" s="338"/>
    </row>
    <row r="5" spans="1:17" ht="102">
      <c r="A5" s="6"/>
      <c r="B5" s="142" t="s">
        <v>81</v>
      </c>
      <c r="C5" s="142" t="s">
        <v>77</v>
      </c>
      <c r="D5" s="142" t="s">
        <v>78</v>
      </c>
      <c r="E5" s="142" t="s">
        <v>81</v>
      </c>
      <c r="F5" s="142" t="s">
        <v>77</v>
      </c>
      <c r="G5" s="142" t="s">
        <v>78</v>
      </c>
      <c r="H5" s="142" t="s">
        <v>81</v>
      </c>
      <c r="I5" s="142" t="s">
        <v>77</v>
      </c>
      <c r="J5" s="142" t="s">
        <v>81</v>
      </c>
      <c r="K5" s="142" t="s">
        <v>77</v>
      </c>
      <c r="L5" s="142" t="s">
        <v>81</v>
      </c>
      <c r="M5" s="142" t="s">
        <v>77</v>
      </c>
      <c r="N5" s="142" t="s">
        <v>78</v>
      </c>
      <c r="O5" s="142" t="s">
        <v>81</v>
      </c>
      <c r="P5" s="142" t="s">
        <v>77</v>
      </c>
      <c r="Q5" s="142" t="s">
        <v>78</v>
      </c>
    </row>
    <row r="6" spans="1:17">
      <c r="A6" s="6">
        <v>1999</v>
      </c>
      <c r="B6" s="16">
        <v>77546</v>
      </c>
      <c r="C6" s="16">
        <v>67885</v>
      </c>
      <c r="D6" s="16">
        <v>9660</v>
      </c>
      <c r="E6" s="16">
        <v>7773</v>
      </c>
      <c r="F6" s="16">
        <v>6705</v>
      </c>
      <c r="G6" s="16">
        <v>1067</v>
      </c>
      <c r="H6" s="16">
        <v>12269</v>
      </c>
      <c r="I6" s="16">
        <v>11499</v>
      </c>
      <c r="J6" s="16">
        <v>22694</v>
      </c>
      <c r="K6" s="16">
        <v>22182</v>
      </c>
      <c r="L6" s="16">
        <v>17046</v>
      </c>
      <c r="M6" s="16">
        <v>15319</v>
      </c>
      <c r="N6" s="16">
        <v>1727</v>
      </c>
      <c r="O6" s="16">
        <v>17764</v>
      </c>
      <c r="P6" s="16">
        <v>12180</v>
      </c>
      <c r="Q6" s="16">
        <v>5584</v>
      </c>
    </row>
    <row r="7" spans="1:17">
      <c r="A7" s="6">
        <v>2005</v>
      </c>
      <c r="B7" s="16">
        <v>81090</v>
      </c>
      <c r="C7" s="16">
        <v>73017</v>
      </c>
      <c r="D7" s="16">
        <v>8073</v>
      </c>
      <c r="E7" s="16">
        <v>2694</v>
      </c>
      <c r="F7" s="17" t="s">
        <v>87</v>
      </c>
      <c r="G7" s="17" t="s">
        <v>87</v>
      </c>
      <c r="H7" s="16">
        <v>7271</v>
      </c>
      <c r="I7" s="16">
        <v>7271</v>
      </c>
      <c r="J7" s="16">
        <v>28753</v>
      </c>
      <c r="K7" s="16">
        <v>27088</v>
      </c>
      <c r="L7" s="16">
        <v>20529</v>
      </c>
      <c r="M7" s="16">
        <v>18164</v>
      </c>
      <c r="N7" s="17" t="s">
        <v>87</v>
      </c>
      <c r="O7" s="16">
        <v>21843</v>
      </c>
      <c r="P7" s="17" t="s">
        <v>87</v>
      </c>
      <c r="Q7" s="17" t="s">
        <v>87</v>
      </c>
    </row>
    <row r="8" spans="1:17">
      <c r="A8" s="6">
        <v>2012</v>
      </c>
      <c r="B8" s="16">
        <v>137731</v>
      </c>
      <c r="C8" s="16">
        <v>112638</v>
      </c>
      <c r="D8" s="16">
        <v>25093</v>
      </c>
      <c r="E8" s="16">
        <v>5167</v>
      </c>
      <c r="F8" s="16">
        <v>4229</v>
      </c>
      <c r="G8" s="17" t="s">
        <v>87</v>
      </c>
      <c r="H8" s="16">
        <v>17994</v>
      </c>
      <c r="I8" s="16">
        <v>16685</v>
      </c>
      <c r="J8" s="16">
        <v>27434</v>
      </c>
      <c r="K8" s="16">
        <v>24362</v>
      </c>
      <c r="L8" s="16">
        <v>52766</v>
      </c>
      <c r="M8" s="16">
        <v>42648</v>
      </c>
      <c r="N8" s="16">
        <v>10119</v>
      </c>
      <c r="O8" s="16">
        <v>34370</v>
      </c>
      <c r="P8" s="16">
        <v>24715</v>
      </c>
      <c r="Q8" s="16">
        <v>9656</v>
      </c>
    </row>
    <row r="9" spans="1:17">
      <c r="A9" s="6">
        <v>2016</v>
      </c>
      <c r="B9" s="16">
        <v>144860</v>
      </c>
      <c r="C9" s="16">
        <v>119302</v>
      </c>
      <c r="D9" s="16">
        <v>25558</v>
      </c>
      <c r="E9" s="16">
        <v>3950</v>
      </c>
      <c r="F9" s="16">
        <v>3439</v>
      </c>
      <c r="G9" s="17" t="s">
        <v>87</v>
      </c>
      <c r="H9" s="16">
        <v>13461</v>
      </c>
      <c r="I9" s="16">
        <v>12253</v>
      </c>
      <c r="J9" s="16">
        <v>35874</v>
      </c>
      <c r="K9" s="16">
        <v>29616</v>
      </c>
      <c r="L9" s="16">
        <v>48444</v>
      </c>
      <c r="M9" s="16">
        <v>41706</v>
      </c>
      <c r="N9" s="17" t="s">
        <v>87</v>
      </c>
      <c r="O9" s="16">
        <v>43131</v>
      </c>
      <c r="P9" s="16">
        <v>32287</v>
      </c>
      <c r="Q9" s="16">
        <v>10844</v>
      </c>
    </row>
    <row r="10" spans="1:17">
      <c r="A10" s="6">
        <v>2019</v>
      </c>
      <c r="B10" s="16">
        <v>132783</v>
      </c>
      <c r="C10" s="16">
        <v>105939</v>
      </c>
      <c r="D10" s="16">
        <v>26844</v>
      </c>
      <c r="E10" s="16">
        <v>4691</v>
      </c>
      <c r="F10" s="16">
        <v>4355</v>
      </c>
      <c r="G10" s="17" t="s">
        <v>87</v>
      </c>
      <c r="H10" s="16">
        <v>14223</v>
      </c>
      <c r="I10" s="16">
        <v>13094</v>
      </c>
      <c r="J10" s="16">
        <v>31447</v>
      </c>
      <c r="K10" s="16">
        <v>27673</v>
      </c>
      <c r="L10" s="16">
        <v>44625</v>
      </c>
      <c r="M10" s="16">
        <v>37776</v>
      </c>
      <c r="N10" s="17" t="s">
        <v>87</v>
      </c>
      <c r="O10" s="16">
        <v>37796</v>
      </c>
      <c r="P10" s="16">
        <v>23042</v>
      </c>
      <c r="Q10" s="16">
        <v>14754</v>
      </c>
    </row>
    <row r="11" spans="1:17">
      <c r="A11" s="6"/>
      <c r="B11" s="6"/>
      <c r="C11" s="6"/>
      <c r="D11" s="6"/>
      <c r="E11" s="6"/>
      <c r="F11" s="6"/>
      <c r="G11" s="6"/>
      <c r="H11" s="6"/>
      <c r="I11" s="6"/>
      <c r="J11" s="6"/>
      <c r="K11" s="6"/>
      <c r="L11" s="6"/>
      <c r="M11" s="6"/>
      <c r="N11" s="6"/>
      <c r="O11" s="6"/>
      <c r="P11" s="6"/>
      <c r="Q11" s="6"/>
    </row>
    <row r="12" spans="1:17">
      <c r="A12" s="6"/>
      <c r="B12" s="6"/>
      <c r="C12" s="6"/>
      <c r="D12" s="6"/>
      <c r="E12" s="6"/>
      <c r="F12" s="6"/>
      <c r="G12" s="6"/>
      <c r="H12" s="6"/>
      <c r="I12" s="6"/>
      <c r="J12" s="6"/>
      <c r="K12" s="6"/>
      <c r="L12" s="6"/>
      <c r="M12" s="6"/>
      <c r="N12" s="6"/>
      <c r="O12" s="6"/>
      <c r="P12" s="6"/>
      <c r="Q12" s="6"/>
    </row>
    <row r="13" spans="1:17">
      <c r="A13" s="6" t="s">
        <v>460</v>
      </c>
      <c r="B13" s="18">
        <f>100*((B10/B6)^(1/20)-1)</f>
        <v>2.7257105127912906</v>
      </c>
      <c r="C13" s="18">
        <f t="shared" ref="C13:Q13" si="0">100*((C10/C6)^(1/20)-1)</f>
        <v>2.2501849756214387</v>
      </c>
      <c r="D13" s="18">
        <f t="shared" si="0"/>
        <v>5.2430692661762146</v>
      </c>
      <c r="E13" s="18">
        <f t="shared" si="0"/>
        <v>-2.4934392539524008</v>
      </c>
      <c r="F13" s="18">
        <f t="shared" si="0"/>
        <v>-2.1345338960659266</v>
      </c>
      <c r="G13" s="17" t="s">
        <v>87</v>
      </c>
      <c r="H13" s="18">
        <f t="shared" si="0"/>
        <v>0.74165985724525818</v>
      </c>
      <c r="I13" s="18">
        <f t="shared" si="0"/>
        <v>0.65158380562446716</v>
      </c>
      <c r="J13" s="18">
        <f t="shared" si="0"/>
        <v>1.64438874449504</v>
      </c>
      <c r="K13" s="18">
        <f t="shared" si="0"/>
        <v>1.1120177566677603</v>
      </c>
      <c r="L13" s="18">
        <f t="shared" si="0"/>
        <v>4.9295444178306891</v>
      </c>
      <c r="M13" s="18">
        <f t="shared" si="0"/>
        <v>4.6162811035194595</v>
      </c>
      <c r="N13" s="24">
        <f>100*((N8/N6)^(1/13)-1)</f>
        <v>14.568445336684643</v>
      </c>
      <c r="O13" s="18">
        <f t="shared" si="0"/>
        <v>3.8473105940399321</v>
      </c>
      <c r="P13" s="18">
        <f t="shared" si="0"/>
        <v>3.2389655305113285</v>
      </c>
      <c r="Q13" s="18">
        <f t="shared" si="0"/>
        <v>4.9779816229070795</v>
      </c>
    </row>
    <row r="14" spans="1:17">
      <c r="A14" s="6" t="s">
        <v>461</v>
      </c>
      <c r="B14" s="18">
        <f>100*((B7/B6)^(1/6)-1)</f>
        <v>0.74758624795576711</v>
      </c>
      <c r="C14" s="18">
        <f t="shared" ref="C14:O14" si="1">100*((C7/C6)^(1/6)-1)</f>
        <v>1.222026358812256</v>
      </c>
      <c r="D14" s="18">
        <f t="shared" si="1"/>
        <v>-2.9468495372106718</v>
      </c>
      <c r="E14" s="18">
        <f t="shared" si="1"/>
        <v>-16.188910309211991</v>
      </c>
      <c r="F14" s="17" t="s">
        <v>87</v>
      </c>
      <c r="G14" s="17" t="s">
        <v>87</v>
      </c>
      <c r="H14" s="18">
        <f t="shared" si="1"/>
        <v>-8.3503460075296747</v>
      </c>
      <c r="I14" s="18">
        <f t="shared" si="1"/>
        <v>-7.3549233188803136</v>
      </c>
      <c r="J14" s="18">
        <f t="shared" si="1"/>
        <v>4.0228349843825617</v>
      </c>
      <c r="K14" s="18">
        <f t="shared" si="1"/>
        <v>3.3862318227337651</v>
      </c>
      <c r="L14" s="18">
        <f t="shared" si="1"/>
        <v>3.1472257727287456</v>
      </c>
      <c r="M14" s="18">
        <f t="shared" si="1"/>
        <v>2.8798161569965286</v>
      </c>
      <c r="N14" s="17" t="s">
        <v>87</v>
      </c>
      <c r="O14" s="18">
        <f t="shared" si="1"/>
        <v>3.505140737146184</v>
      </c>
      <c r="P14" s="17" t="s">
        <v>87</v>
      </c>
      <c r="Q14" s="17" t="s">
        <v>87</v>
      </c>
    </row>
    <row r="15" spans="1:17">
      <c r="A15" s="6" t="s">
        <v>462</v>
      </c>
      <c r="B15" s="18">
        <f>100*((B8/B7)^(1/7)-1)</f>
        <v>7.8614720075418143</v>
      </c>
      <c r="C15" s="18">
        <f t="shared" ref="C15:O15" si="2">100*((C8/C7)^(1/7)-1)</f>
        <v>6.388435091207878</v>
      </c>
      <c r="D15" s="18">
        <f t="shared" si="2"/>
        <v>17.587095217442304</v>
      </c>
      <c r="E15" s="18">
        <f t="shared" si="2"/>
        <v>9.7503309680324399</v>
      </c>
      <c r="F15" s="17" t="s">
        <v>87</v>
      </c>
      <c r="G15" s="17" t="s">
        <v>87</v>
      </c>
      <c r="H15" s="18">
        <f t="shared" si="2"/>
        <v>13.820131137281265</v>
      </c>
      <c r="I15" s="18">
        <f t="shared" si="2"/>
        <v>12.598641899583928</v>
      </c>
      <c r="J15" s="18">
        <f t="shared" si="2"/>
        <v>-0.66859758166638583</v>
      </c>
      <c r="K15" s="18">
        <f t="shared" si="2"/>
        <v>-1.5038107427269409</v>
      </c>
      <c r="L15" s="18">
        <f t="shared" si="2"/>
        <v>14.43779538212917</v>
      </c>
      <c r="M15" s="18">
        <f t="shared" si="2"/>
        <v>12.967966413533105</v>
      </c>
      <c r="N15" s="17" t="s">
        <v>87</v>
      </c>
      <c r="O15" s="18">
        <f t="shared" si="2"/>
        <v>6.6900435337067021</v>
      </c>
      <c r="P15" s="17" t="s">
        <v>87</v>
      </c>
      <c r="Q15" s="17" t="s">
        <v>87</v>
      </c>
    </row>
    <row r="16" spans="1:17">
      <c r="A16" s="6" t="s">
        <v>463</v>
      </c>
      <c r="B16" s="18">
        <f>100*((B10/B8)^(1/7)-1)</f>
        <v>-0.52129779788067099</v>
      </c>
      <c r="C16" s="18">
        <f t="shared" ref="C16:Q16" si="3">100*((C10/C8)^(1/7)-1)</f>
        <v>-0.87211312036840072</v>
      </c>
      <c r="D16" s="18">
        <f t="shared" si="3"/>
        <v>0.96827790381486256</v>
      </c>
      <c r="E16" s="18">
        <f t="shared" si="3"/>
        <v>-1.3711764065840959</v>
      </c>
      <c r="F16" s="18">
        <f t="shared" si="3"/>
        <v>0.42029580167386449</v>
      </c>
      <c r="G16" s="17" t="s">
        <v>87</v>
      </c>
      <c r="H16" s="18">
        <f t="shared" si="3"/>
        <v>-3.3038749911962206</v>
      </c>
      <c r="I16" s="18">
        <f t="shared" si="3"/>
        <v>-3.4029792194583686</v>
      </c>
      <c r="J16" s="18">
        <f t="shared" si="3"/>
        <v>1.9694348593082722</v>
      </c>
      <c r="K16" s="18">
        <f t="shared" si="3"/>
        <v>1.8371381832873457</v>
      </c>
      <c r="L16" s="18">
        <f t="shared" si="3"/>
        <v>-2.3654707631878824</v>
      </c>
      <c r="M16" s="18">
        <f t="shared" si="3"/>
        <v>-1.7180193689169232</v>
      </c>
      <c r="N16" s="17" t="s">
        <v>87</v>
      </c>
      <c r="O16" s="18">
        <f t="shared" si="3"/>
        <v>1.3666716751765895</v>
      </c>
      <c r="P16" s="18">
        <f t="shared" si="3"/>
        <v>-0.99631371118413803</v>
      </c>
      <c r="Q16" s="18">
        <f t="shared" si="3"/>
        <v>6.2433580033114389</v>
      </c>
    </row>
    <row r="17" spans="1:17">
      <c r="A17" s="6"/>
      <c r="B17" s="6"/>
      <c r="C17" s="6"/>
      <c r="D17" s="6"/>
      <c r="E17" s="6"/>
      <c r="F17" s="6"/>
      <c r="G17" s="6"/>
      <c r="H17" s="6"/>
      <c r="I17" s="6"/>
      <c r="J17" s="6"/>
      <c r="K17" s="6"/>
      <c r="L17" s="6"/>
      <c r="M17" s="6"/>
      <c r="N17" s="6"/>
      <c r="O17" s="6"/>
      <c r="P17" s="6"/>
      <c r="Q17" s="6"/>
    </row>
    <row r="18" spans="1:17">
      <c r="A18" s="6"/>
      <c r="B18" s="6"/>
      <c r="C18" s="6"/>
      <c r="D18" s="6"/>
      <c r="E18" s="6"/>
      <c r="F18" s="6"/>
      <c r="G18" s="6"/>
      <c r="H18" s="6"/>
      <c r="I18" s="6"/>
      <c r="J18" s="6"/>
      <c r="K18" s="6"/>
      <c r="L18" s="6"/>
      <c r="M18" s="6"/>
      <c r="N18" s="6"/>
      <c r="O18" s="6"/>
      <c r="P18" s="6"/>
      <c r="Q18" s="6"/>
    </row>
    <row r="19" spans="1:17">
      <c r="A19" s="6" t="s">
        <v>464</v>
      </c>
      <c r="B19" s="6"/>
      <c r="C19" s="6"/>
      <c r="D19" s="6"/>
      <c r="E19" s="6"/>
      <c r="F19" s="6"/>
      <c r="G19" s="6"/>
      <c r="H19" s="6"/>
      <c r="I19" s="6"/>
      <c r="J19" s="6"/>
      <c r="K19" s="6"/>
      <c r="L19" s="6"/>
      <c r="M19" s="6"/>
      <c r="N19" s="6"/>
      <c r="O19" s="6"/>
      <c r="P19" s="6"/>
      <c r="Q19" s="6"/>
    </row>
    <row r="22" spans="1:17">
      <c r="A22" s="5" t="s">
        <v>153</v>
      </c>
      <c r="B22" s="5"/>
      <c r="C22" s="5"/>
      <c r="D22" s="2"/>
      <c r="E22" s="2"/>
      <c r="F22" s="2"/>
      <c r="G22" s="2"/>
      <c r="H22" s="2"/>
      <c r="I22" s="2"/>
      <c r="J22" s="2"/>
      <c r="K22" s="2"/>
      <c r="L22" s="2"/>
      <c r="M22" s="2"/>
      <c r="N22" s="2"/>
      <c r="O22" s="2"/>
      <c r="P22" s="2"/>
      <c r="Q22" s="2"/>
    </row>
    <row r="23" spans="1:17">
      <c r="A23" s="5">
        <v>1</v>
      </c>
      <c r="B23" s="5" t="s">
        <v>465</v>
      </c>
      <c r="C23" s="5"/>
      <c r="D23" s="2"/>
      <c r="E23" s="2"/>
      <c r="F23" s="2"/>
      <c r="G23" s="2"/>
      <c r="H23" s="2"/>
      <c r="I23" s="2"/>
      <c r="J23" s="2"/>
      <c r="K23" s="2"/>
      <c r="L23" s="2"/>
      <c r="M23" s="2"/>
      <c r="N23" s="2"/>
      <c r="O23" s="2"/>
      <c r="P23" s="2"/>
      <c r="Q23" s="2"/>
    </row>
    <row r="24" spans="1:17">
      <c r="A24" s="5"/>
      <c r="B24" s="5"/>
      <c r="C24" s="5"/>
      <c r="D24" s="2"/>
      <c r="E24" s="2"/>
      <c r="F24" s="2"/>
      <c r="G24" s="2"/>
      <c r="H24" s="2"/>
      <c r="I24" s="2"/>
      <c r="J24" s="2"/>
      <c r="K24" s="2"/>
      <c r="L24" s="2"/>
      <c r="M24" s="2"/>
      <c r="N24" s="2"/>
      <c r="O24" s="2"/>
      <c r="P24" s="2"/>
      <c r="Q24" s="2"/>
    </row>
    <row r="25" spans="1:17">
      <c r="A25" s="5"/>
      <c r="B25" s="5"/>
      <c r="C25" s="5"/>
      <c r="D25" s="2"/>
      <c r="E25" s="2"/>
      <c r="F25" s="2"/>
      <c r="G25" s="2"/>
      <c r="H25" s="2"/>
      <c r="I25" s="2"/>
      <c r="J25" s="2"/>
      <c r="K25" s="2"/>
      <c r="L25" s="2"/>
      <c r="M25" s="2"/>
      <c r="N25" s="2"/>
      <c r="O25" s="2"/>
      <c r="P25" s="2"/>
      <c r="Q25" s="2"/>
    </row>
    <row r="26" spans="1:17">
      <c r="A26" s="5" t="s">
        <v>554</v>
      </c>
      <c r="B26" s="5"/>
      <c r="C26" s="5"/>
      <c r="D26" s="2"/>
      <c r="E26" s="2"/>
      <c r="F26" s="2"/>
      <c r="G26" s="2"/>
      <c r="H26" s="2"/>
      <c r="I26" s="2"/>
      <c r="J26" s="2"/>
      <c r="K26" s="2"/>
      <c r="L26" s="2"/>
      <c r="M26" s="2"/>
      <c r="N26" s="2"/>
      <c r="O26" s="2"/>
      <c r="P26" s="2"/>
      <c r="Q26" s="2"/>
    </row>
    <row r="27" spans="1:17">
      <c r="A27" s="5"/>
      <c r="B27" s="5"/>
      <c r="C27" s="5"/>
      <c r="D27" s="2"/>
      <c r="E27" s="2"/>
      <c r="F27" s="2"/>
      <c r="G27" s="2"/>
      <c r="H27" s="2"/>
      <c r="I27" s="2"/>
      <c r="J27" s="2"/>
      <c r="K27" s="2"/>
      <c r="L27" s="2"/>
      <c r="M27" s="2"/>
      <c r="N27" s="2"/>
      <c r="O27" s="2"/>
      <c r="P27" s="2"/>
      <c r="Q27" s="2"/>
    </row>
  </sheetData>
  <mergeCells count="6">
    <mergeCell ref="O4:Q4"/>
    <mergeCell ref="B4:D4"/>
    <mergeCell ref="E4:G4"/>
    <mergeCell ref="H4:I4"/>
    <mergeCell ref="J4:K4"/>
    <mergeCell ref="L4:N4"/>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5948-8DA7-EC49-B450-7EBDEBFF2D1D}">
  <sheetPr codeName="Sheet84"/>
  <dimension ref="A1:Q26"/>
  <sheetViews>
    <sheetView workbookViewId="0">
      <selection activeCell="P42" sqref="P42"/>
    </sheetView>
  </sheetViews>
  <sheetFormatPr baseColWidth="10" defaultColWidth="10.83203125" defaultRowHeight="16"/>
  <cols>
    <col min="1" max="1" width="20.6640625" style="5" customWidth="1"/>
    <col min="2" max="16384" width="10.83203125" style="5"/>
  </cols>
  <sheetData>
    <row r="1" spans="1:17">
      <c r="A1" s="19" t="s">
        <v>705</v>
      </c>
    </row>
    <row r="2" spans="1:17">
      <c r="B2" s="135"/>
      <c r="C2" s="135"/>
      <c r="D2" s="135"/>
      <c r="E2" s="135"/>
      <c r="F2" s="135"/>
      <c r="G2" s="135"/>
      <c r="H2" s="135"/>
      <c r="I2" s="135"/>
      <c r="J2" s="135"/>
      <c r="K2" s="135"/>
      <c r="L2" s="135"/>
      <c r="M2" s="135"/>
      <c r="N2" s="135"/>
      <c r="O2" s="135"/>
      <c r="P2" s="135"/>
      <c r="Q2" s="135"/>
    </row>
    <row r="3" spans="1:17">
      <c r="B3" s="338" t="s">
        <v>360</v>
      </c>
      <c r="C3" s="338"/>
      <c r="D3" s="338"/>
      <c r="E3" s="338" t="s">
        <v>456</v>
      </c>
      <c r="F3" s="338"/>
      <c r="G3" s="338"/>
      <c r="H3" s="338" t="s">
        <v>457</v>
      </c>
      <c r="I3" s="338"/>
      <c r="J3" s="338" t="s">
        <v>458</v>
      </c>
      <c r="K3" s="338"/>
      <c r="L3" s="338" t="s">
        <v>459</v>
      </c>
      <c r="M3" s="338"/>
      <c r="N3" s="338"/>
      <c r="O3" s="338" t="s">
        <v>363</v>
      </c>
      <c r="P3" s="338"/>
      <c r="Q3" s="338"/>
    </row>
    <row r="4" spans="1:17" ht="102">
      <c r="B4" s="142" t="s">
        <v>81</v>
      </c>
      <c r="C4" s="142" t="s">
        <v>77</v>
      </c>
      <c r="D4" s="142" t="s">
        <v>78</v>
      </c>
      <c r="E4" s="142" t="s">
        <v>81</v>
      </c>
      <c r="F4" s="142" t="s">
        <v>77</v>
      </c>
      <c r="G4" s="142" t="s">
        <v>78</v>
      </c>
      <c r="H4" s="142" t="s">
        <v>81</v>
      </c>
      <c r="I4" s="142" t="s">
        <v>77</v>
      </c>
      <c r="J4" s="142" t="s">
        <v>81</v>
      </c>
      <c r="K4" s="142" t="s">
        <v>77</v>
      </c>
      <c r="L4" s="142" t="s">
        <v>81</v>
      </c>
      <c r="M4" s="142" t="s">
        <v>77</v>
      </c>
      <c r="N4" s="142" t="s">
        <v>78</v>
      </c>
      <c r="O4" s="142" t="s">
        <v>81</v>
      </c>
      <c r="P4" s="142" t="s">
        <v>77</v>
      </c>
      <c r="Q4" s="142" t="s">
        <v>78</v>
      </c>
    </row>
    <row r="5" spans="1:17">
      <c r="A5" s="5">
        <v>1999</v>
      </c>
      <c r="B5" s="143">
        <v>1.7779153411859112</v>
      </c>
      <c r="C5" s="143">
        <v>1.8491339836967862</v>
      </c>
      <c r="D5" s="143">
        <v>1.3990916042917063</v>
      </c>
      <c r="E5" s="143">
        <v>2.2508708985240333</v>
      </c>
      <c r="F5" s="143">
        <v>2.3274946368691811</v>
      </c>
      <c r="G5" s="143">
        <v>1.8635926993275695</v>
      </c>
      <c r="H5" s="143">
        <v>1.4373343767645976</v>
      </c>
      <c r="I5" s="143">
        <v>1.4906122152683077</v>
      </c>
      <c r="J5" s="143">
        <v>2.0093356991326581</v>
      </c>
      <c r="K5" s="143">
        <v>2.1613773884574536</v>
      </c>
      <c r="L5" s="143">
        <v>1.7890109013588129</v>
      </c>
      <c r="M5" s="143">
        <v>1.8481721566512601</v>
      </c>
      <c r="N5" s="143">
        <v>1.3933711998967275</v>
      </c>
      <c r="O5" s="143">
        <v>1.6441236739370673</v>
      </c>
      <c r="P5" s="143">
        <v>1.6100271113760709</v>
      </c>
      <c r="Q5" s="143">
        <v>1.7237494019046442</v>
      </c>
    </row>
    <row r="6" spans="1:17">
      <c r="A6" s="5">
        <v>2005</v>
      </c>
      <c r="B6" s="143">
        <v>1.3120603408606235</v>
      </c>
      <c r="C6" s="143">
        <v>1.4017816912724466</v>
      </c>
      <c r="D6" s="143">
        <v>0.83099584656479508</v>
      </c>
      <c r="E6" s="143">
        <v>0.82167464246172994</v>
      </c>
      <c r="F6" s="143" t="s">
        <v>87</v>
      </c>
      <c r="G6" s="143" t="s">
        <v>87</v>
      </c>
      <c r="H6" s="143">
        <v>0.64543847828846512</v>
      </c>
      <c r="I6" s="143">
        <v>0.71447803110254249</v>
      </c>
      <c r="J6" s="143">
        <v>1.7485638946762849</v>
      </c>
      <c r="K6" s="143">
        <v>1.8168818154866906</v>
      </c>
      <c r="L6" s="143">
        <v>1.2838143337692136</v>
      </c>
      <c r="M6" s="143">
        <v>1.3159000483935934</v>
      </c>
      <c r="N6" s="143" t="s">
        <v>87</v>
      </c>
      <c r="O6" s="143">
        <v>1.4733617172829114</v>
      </c>
      <c r="P6" s="143" t="s">
        <v>87</v>
      </c>
      <c r="Q6" s="143" t="s">
        <v>87</v>
      </c>
    </row>
    <row r="7" spans="1:17">
      <c r="A7" s="5">
        <v>2012</v>
      </c>
      <c r="B7" s="143">
        <v>1.5265707615219621</v>
      </c>
      <c r="C7" s="143">
        <v>1.4936949808490954</v>
      </c>
      <c r="D7" s="143">
        <v>1.6939266925934502</v>
      </c>
      <c r="E7" s="143">
        <v>0.88248304460920191</v>
      </c>
      <c r="F7" s="143">
        <v>0.80766836132511854</v>
      </c>
      <c r="G7" s="143" t="s">
        <v>87</v>
      </c>
      <c r="H7" s="143">
        <v>1.5245599542479507</v>
      </c>
      <c r="I7" s="143">
        <v>1.585990433678319</v>
      </c>
      <c r="J7" s="143">
        <v>1.2189123803980548</v>
      </c>
      <c r="K7" s="143">
        <v>1.2125845591327846</v>
      </c>
      <c r="L7" s="143">
        <v>2.0545579639916971</v>
      </c>
      <c r="M7" s="143">
        <v>1.9925778251429793</v>
      </c>
      <c r="N7" s="143">
        <v>2.3648159140729801</v>
      </c>
      <c r="O7" s="143">
        <v>1.4100345062561308</v>
      </c>
      <c r="P7" s="143">
        <v>1.3610878128808526</v>
      </c>
      <c r="Q7" s="143">
        <v>1.5531556919553098</v>
      </c>
    </row>
    <row r="8" spans="1:17">
      <c r="A8" s="5">
        <v>2016</v>
      </c>
      <c r="B8" s="143">
        <v>1.3313638290339882</v>
      </c>
      <c r="C8" s="143">
        <v>1.3234882838860293</v>
      </c>
      <c r="D8" s="143">
        <v>1.369401343682874</v>
      </c>
      <c r="E8" s="143">
        <v>0.6054233671961694</v>
      </c>
      <c r="F8" s="143">
        <v>0.62579498163012404</v>
      </c>
      <c r="G8" s="143" t="s">
        <v>87</v>
      </c>
      <c r="H8" s="143">
        <v>1.0043521178988963</v>
      </c>
      <c r="I8" s="143">
        <v>1.0136155209824949</v>
      </c>
      <c r="J8" s="143">
        <v>1.4891266853544303</v>
      </c>
      <c r="K8" s="143">
        <v>1.3698427382053655</v>
      </c>
      <c r="L8" s="143">
        <v>1.4577033138647915</v>
      </c>
      <c r="M8" s="143">
        <v>1.480242668085413</v>
      </c>
      <c r="N8" s="143" t="s">
        <v>87</v>
      </c>
      <c r="O8" s="143">
        <v>1.3668528285718542</v>
      </c>
      <c r="P8" s="143">
        <v>1.4183883081259367</v>
      </c>
      <c r="Q8" s="143">
        <v>1.2334206494453361</v>
      </c>
    </row>
    <row r="9" spans="1:17">
      <c r="A9" s="5">
        <v>2019</v>
      </c>
      <c r="B9" s="143">
        <v>1.1301872597459426</v>
      </c>
      <c r="C9" s="143">
        <v>1.1281254422588449</v>
      </c>
      <c r="D9" s="143">
        <v>1.1383982527936218</v>
      </c>
      <c r="E9" s="143">
        <v>0.62778024613375161</v>
      </c>
      <c r="F9" s="143">
        <v>0.69609833288045653</v>
      </c>
      <c r="G9" s="143" t="s">
        <v>87</v>
      </c>
      <c r="H9" s="143">
        <v>1.0087856484761826</v>
      </c>
      <c r="I9" s="143">
        <v>1.0335162679754399</v>
      </c>
      <c r="J9" s="143">
        <v>1.2025373089810001</v>
      </c>
      <c r="K9" s="143">
        <v>1.2097708460658076</v>
      </c>
      <c r="L9" s="143">
        <v>1.3494176865794854</v>
      </c>
      <c r="M9" s="143">
        <v>1.3794997341497759</v>
      </c>
      <c r="N9" s="143" t="s">
        <v>87</v>
      </c>
      <c r="O9" s="143">
        <v>1.029982755500908</v>
      </c>
      <c r="P9" s="143">
        <v>0.9320055025617815</v>
      </c>
      <c r="Q9" s="143">
        <v>1.2323004026650564</v>
      </c>
    </row>
    <row r="12" spans="1:17">
      <c r="A12" s="5" t="s">
        <v>467</v>
      </c>
      <c r="B12" s="143">
        <f>B9-B5</f>
        <v>-0.64772808143996863</v>
      </c>
      <c r="C12" s="143">
        <f t="shared" ref="C12:Q12" si="0">C9-C5</f>
        <v>-0.72100854143794124</v>
      </c>
      <c r="D12" s="143">
        <f t="shared" si="0"/>
        <v>-0.26069335149808448</v>
      </c>
      <c r="E12" s="143">
        <f t="shared" si="0"/>
        <v>-1.6230906523902817</v>
      </c>
      <c r="F12" s="143">
        <f t="shared" si="0"/>
        <v>-1.6313963039887245</v>
      </c>
      <c r="G12" s="143" t="s">
        <v>87</v>
      </c>
      <c r="H12" s="143">
        <f t="shared" si="0"/>
        <v>-0.42854872828841506</v>
      </c>
      <c r="I12" s="143">
        <f t="shared" si="0"/>
        <v>-0.45709594729286773</v>
      </c>
      <c r="J12" s="143">
        <f t="shared" si="0"/>
        <v>-0.806798390151658</v>
      </c>
      <c r="K12" s="143">
        <f t="shared" si="0"/>
        <v>-0.95160654239164599</v>
      </c>
      <c r="L12" s="143">
        <f t="shared" si="0"/>
        <v>-0.43959321477932756</v>
      </c>
      <c r="M12" s="143">
        <f t="shared" si="0"/>
        <v>-0.46867242250148422</v>
      </c>
      <c r="N12" s="23">
        <f>N7-N5</f>
        <v>0.97144471417625256</v>
      </c>
      <c r="O12" s="143">
        <f t="shared" si="0"/>
        <v>-0.61414091843615926</v>
      </c>
      <c r="P12" s="143">
        <f t="shared" si="0"/>
        <v>-0.67802160881428941</v>
      </c>
      <c r="Q12" s="143">
        <f t="shared" si="0"/>
        <v>-0.49144899923958785</v>
      </c>
    </row>
    <row r="13" spans="1:17">
      <c r="A13" s="5" t="s">
        <v>449</v>
      </c>
      <c r="B13" s="143">
        <f>B6-B5</f>
        <v>-0.4658550003252877</v>
      </c>
      <c r="C13" s="143">
        <f t="shared" ref="C13:O13" si="1">C6-C5</f>
        <v>-0.4473522924243396</v>
      </c>
      <c r="D13" s="143">
        <f t="shared" si="1"/>
        <v>-0.56809575772691123</v>
      </c>
      <c r="E13" s="143">
        <f t="shared" si="1"/>
        <v>-1.4291962560623035</v>
      </c>
      <c r="F13" s="143" t="s">
        <v>87</v>
      </c>
      <c r="G13" s="143" t="s">
        <v>87</v>
      </c>
      <c r="H13" s="143">
        <f t="shared" si="1"/>
        <v>-0.79189589847613251</v>
      </c>
      <c r="I13" s="143">
        <f t="shared" si="1"/>
        <v>-0.77613418416576518</v>
      </c>
      <c r="J13" s="143">
        <f t="shared" si="1"/>
        <v>-0.26077180445637316</v>
      </c>
      <c r="K13" s="143">
        <f t="shared" si="1"/>
        <v>-0.34449557297076305</v>
      </c>
      <c r="L13" s="143">
        <f t="shared" si="1"/>
        <v>-0.5051965675895993</v>
      </c>
      <c r="M13" s="143">
        <f t="shared" si="1"/>
        <v>-0.53227210825766669</v>
      </c>
      <c r="N13" s="143" t="s">
        <v>87</v>
      </c>
      <c r="O13" s="143">
        <f t="shared" si="1"/>
        <v>-0.17076195665415583</v>
      </c>
      <c r="P13" s="143" t="s">
        <v>87</v>
      </c>
      <c r="Q13" s="143" t="s">
        <v>87</v>
      </c>
    </row>
    <row r="14" spans="1:17">
      <c r="A14" s="5" t="s">
        <v>450</v>
      </c>
      <c r="B14" s="143">
        <f>B7-B6</f>
        <v>0.21451042066133863</v>
      </c>
      <c r="C14" s="143">
        <f t="shared" ref="C14:O14" si="2">C7-C6</f>
        <v>9.1913289576648793E-2</v>
      </c>
      <c r="D14" s="143">
        <f t="shared" si="2"/>
        <v>0.86293084602865511</v>
      </c>
      <c r="E14" s="143">
        <f t="shared" si="2"/>
        <v>6.0808402147471963E-2</v>
      </c>
      <c r="F14" s="143" t="s">
        <v>87</v>
      </c>
      <c r="G14" s="143" t="s">
        <v>87</v>
      </c>
      <c r="H14" s="143">
        <f t="shared" si="2"/>
        <v>0.87912147595948553</v>
      </c>
      <c r="I14" s="143">
        <f t="shared" si="2"/>
        <v>0.87151240257577656</v>
      </c>
      <c r="J14" s="143">
        <f t="shared" si="2"/>
        <v>-0.5296515142782301</v>
      </c>
      <c r="K14" s="143">
        <f t="shared" si="2"/>
        <v>-0.60429725635390596</v>
      </c>
      <c r="L14" s="143">
        <f t="shared" si="2"/>
        <v>0.77074363022248349</v>
      </c>
      <c r="M14" s="143">
        <f t="shared" si="2"/>
        <v>0.6766777767493859</v>
      </c>
      <c r="N14" s="143" t="s">
        <v>87</v>
      </c>
      <c r="O14" s="143">
        <f t="shared" si="2"/>
        <v>-6.3327211026780628E-2</v>
      </c>
      <c r="P14" s="143" t="s">
        <v>87</v>
      </c>
      <c r="Q14" s="143" t="s">
        <v>87</v>
      </c>
    </row>
    <row r="15" spans="1:17">
      <c r="A15" s="5" t="s">
        <v>451</v>
      </c>
      <c r="B15" s="143">
        <f>B9-B7</f>
        <v>-0.39638350177601955</v>
      </c>
      <c r="C15" s="143">
        <f t="shared" ref="C15:Q15" si="3">C9-C7</f>
        <v>-0.36556953859025043</v>
      </c>
      <c r="D15" s="143">
        <f t="shared" si="3"/>
        <v>-0.55552843979982836</v>
      </c>
      <c r="E15" s="143">
        <f t="shared" si="3"/>
        <v>-0.2547027984754503</v>
      </c>
      <c r="F15" s="143">
        <f t="shared" si="3"/>
        <v>-0.11157002844466202</v>
      </c>
      <c r="G15" s="143" t="s">
        <v>87</v>
      </c>
      <c r="H15" s="143">
        <f t="shared" si="3"/>
        <v>-0.51577430577176808</v>
      </c>
      <c r="I15" s="143">
        <f t="shared" si="3"/>
        <v>-0.55247416570287911</v>
      </c>
      <c r="J15" s="143">
        <f t="shared" si="3"/>
        <v>-1.6375071417054743E-2</v>
      </c>
      <c r="K15" s="143">
        <f t="shared" si="3"/>
        <v>-2.813713066976975E-3</v>
      </c>
      <c r="L15" s="143">
        <f t="shared" si="3"/>
        <v>-0.70514027741221175</v>
      </c>
      <c r="M15" s="143">
        <f t="shared" si="3"/>
        <v>-0.61307809099320343</v>
      </c>
      <c r="N15" s="143" t="s">
        <v>87</v>
      </c>
      <c r="O15" s="143">
        <f t="shared" si="3"/>
        <v>-0.38005175075522279</v>
      </c>
      <c r="P15" s="143">
        <f t="shared" si="3"/>
        <v>-0.42908231031907107</v>
      </c>
      <c r="Q15" s="143">
        <f t="shared" si="3"/>
        <v>-0.32085528929025342</v>
      </c>
    </row>
    <row r="18" spans="1:5">
      <c r="A18" s="6" t="s">
        <v>468</v>
      </c>
      <c r="B18" s="6"/>
      <c r="C18" s="6"/>
      <c r="D18" s="6"/>
      <c r="E18" s="6"/>
    </row>
    <row r="19" spans="1:5">
      <c r="A19" s="2"/>
      <c r="B19" s="2"/>
      <c r="C19" s="2"/>
      <c r="D19" s="2"/>
      <c r="E19" s="2"/>
    </row>
    <row r="20" spans="1:5">
      <c r="A20" s="2"/>
      <c r="B20" s="2"/>
      <c r="C20" s="2"/>
      <c r="D20" s="2"/>
      <c r="E20" s="2"/>
    </row>
    <row r="21" spans="1:5">
      <c r="A21" s="5" t="s">
        <v>153</v>
      </c>
      <c r="D21" s="2"/>
      <c r="E21" s="2"/>
    </row>
    <row r="22" spans="1:5">
      <c r="A22" s="5">
        <v>1</v>
      </c>
      <c r="B22" s="5" t="s">
        <v>465</v>
      </c>
      <c r="D22" s="2"/>
      <c r="E22" s="2"/>
    </row>
    <row r="23" spans="1:5">
      <c r="D23" s="2"/>
      <c r="E23" s="2"/>
    </row>
    <row r="24" spans="1:5">
      <c r="D24" s="2"/>
      <c r="E24" s="2"/>
    </row>
    <row r="25" spans="1:5">
      <c r="A25" s="5" t="s">
        <v>706</v>
      </c>
      <c r="D25" s="2"/>
      <c r="E25" s="2"/>
    </row>
    <row r="26" spans="1:5">
      <c r="D26" s="2"/>
      <c r="E26" s="2"/>
    </row>
  </sheetData>
  <mergeCells count="6">
    <mergeCell ref="O3:Q3"/>
    <mergeCell ref="B3:D3"/>
    <mergeCell ref="E3:G3"/>
    <mergeCell ref="H3:I3"/>
    <mergeCell ref="J3:K3"/>
    <mergeCell ref="L3:N3"/>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B285C-BC52-C544-AEBE-98D7B3CE299D}">
  <sheetPr codeName="Sheet85"/>
  <dimension ref="A1:Q39"/>
  <sheetViews>
    <sheetView workbookViewId="0">
      <selection activeCell="U41" sqref="U41"/>
    </sheetView>
  </sheetViews>
  <sheetFormatPr baseColWidth="10" defaultColWidth="10.83203125" defaultRowHeight="16"/>
  <cols>
    <col min="1" max="1" width="18.1640625" style="5" customWidth="1"/>
    <col min="2" max="16384" width="10.83203125" style="5"/>
  </cols>
  <sheetData>
    <row r="1" spans="1:17">
      <c r="A1" s="19" t="s">
        <v>707</v>
      </c>
    </row>
    <row r="2" spans="1:17">
      <c r="A2" s="5" t="s">
        <v>3</v>
      </c>
    </row>
    <row r="4" spans="1:17">
      <c r="B4" s="338" t="s">
        <v>360</v>
      </c>
      <c r="C4" s="338"/>
      <c r="D4" s="338"/>
      <c r="E4" s="338" t="s">
        <v>456</v>
      </c>
      <c r="F4" s="338"/>
      <c r="G4" s="338"/>
      <c r="H4" s="338" t="s">
        <v>457</v>
      </c>
      <c r="I4" s="338"/>
      <c r="J4" s="338" t="s">
        <v>458</v>
      </c>
      <c r="K4" s="338"/>
      <c r="L4" s="338" t="s">
        <v>459</v>
      </c>
      <c r="M4" s="338"/>
      <c r="N4" s="338"/>
      <c r="O4" s="338" t="s">
        <v>363</v>
      </c>
      <c r="P4" s="338"/>
      <c r="Q4" s="338"/>
    </row>
    <row r="5" spans="1:17" ht="102">
      <c r="B5" s="137" t="s">
        <v>81</v>
      </c>
      <c r="C5" s="137" t="s">
        <v>77</v>
      </c>
      <c r="D5" s="137" t="s">
        <v>78</v>
      </c>
      <c r="E5" s="137" t="s">
        <v>81</v>
      </c>
      <c r="F5" s="137" t="s">
        <v>77</v>
      </c>
      <c r="G5" s="137" t="s">
        <v>78</v>
      </c>
      <c r="H5" s="137" t="s">
        <v>81</v>
      </c>
      <c r="I5" s="137" t="s">
        <v>77</v>
      </c>
      <c r="J5" s="137" t="s">
        <v>81</v>
      </c>
      <c r="K5" s="137" t="s">
        <v>77</v>
      </c>
      <c r="L5" s="137" t="s">
        <v>81</v>
      </c>
      <c r="M5" s="137" t="s">
        <v>77</v>
      </c>
      <c r="N5" s="137" t="s">
        <v>78</v>
      </c>
      <c r="O5" s="137" t="s">
        <v>81</v>
      </c>
      <c r="P5" s="137" t="s">
        <v>77</v>
      </c>
      <c r="Q5" s="137" t="s">
        <v>78</v>
      </c>
    </row>
    <row r="6" spans="1:17">
      <c r="A6" s="5">
        <v>1999</v>
      </c>
      <c r="B6" s="20">
        <v>258100</v>
      </c>
      <c r="C6" s="20">
        <v>313900</v>
      </c>
      <c r="D6" s="20">
        <v>114800</v>
      </c>
      <c r="E6" s="20">
        <v>100000</v>
      </c>
      <c r="F6" s="20">
        <v>145500</v>
      </c>
      <c r="G6" s="20">
        <v>33700</v>
      </c>
      <c r="H6" s="20">
        <v>180300</v>
      </c>
      <c r="I6" s="20">
        <v>203000</v>
      </c>
      <c r="J6" s="20">
        <v>409300</v>
      </c>
      <c r="K6" s="20">
        <v>444400</v>
      </c>
      <c r="L6" s="20">
        <v>445700</v>
      </c>
      <c r="M6" s="20">
        <v>563500</v>
      </c>
      <c r="N6" s="20">
        <v>156200</v>
      </c>
      <c r="O6" s="20">
        <v>291600</v>
      </c>
      <c r="P6" s="20">
        <v>334400</v>
      </c>
      <c r="Q6" s="20">
        <v>227900</v>
      </c>
    </row>
    <row r="7" spans="1:17">
      <c r="A7" s="5">
        <v>2005</v>
      </c>
      <c r="B7" s="20">
        <v>250400</v>
      </c>
      <c r="C7" s="20">
        <v>325500</v>
      </c>
      <c r="D7" s="20">
        <v>81100</v>
      </c>
      <c r="E7" s="20">
        <v>27000</v>
      </c>
      <c r="F7" s="143" t="s">
        <v>87</v>
      </c>
      <c r="G7" s="143" t="s">
        <v>87</v>
      </c>
      <c r="H7" s="20">
        <v>177400</v>
      </c>
      <c r="I7" s="20">
        <v>199400</v>
      </c>
      <c r="J7" s="20">
        <v>342100</v>
      </c>
      <c r="K7" s="20">
        <v>351600</v>
      </c>
      <c r="L7" s="20">
        <v>459200</v>
      </c>
      <c r="M7" s="20">
        <v>502200</v>
      </c>
      <c r="N7" s="143" t="s">
        <v>87</v>
      </c>
      <c r="O7" s="20">
        <v>401700</v>
      </c>
      <c r="P7" s="143" t="s">
        <v>87</v>
      </c>
      <c r="Q7" s="143" t="s">
        <v>87</v>
      </c>
    </row>
    <row r="8" spans="1:17">
      <c r="A8" s="5">
        <v>2012</v>
      </c>
      <c r="B8" s="20">
        <v>417100</v>
      </c>
      <c r="C8" s="20">
        <v>510400</v>
      </c>
      <c r="D8" s="20">
        <v>229100</v>
      </c>
      <c r="E8" s="20">
        <v>74500</v>
      </c>
      <c r="F8" s="20">
        <v>94000</v>
      </c>
      <c r="G8" s="143" t="s">
        <v>87</v>
      </c>
      <c r="H8" s="20">
        <v>335700</v>
      </c>
      <c r="I8" s="20">
        <v>383400</v>
      </c>
      <c r="J8" s="20">
        <v>469700</v>
      </c>
      <c r="K8" s="20">
        <v>493300</v>
      </c>
      <c r="L8" s="20">
        <v>718100</v>
      </c>
      <c r="M8" s="20">
        <v>876000</v>
      </c>
      <c r="N8" s="20">
        <v>408000</v>
      </c>
      <c r="O8" s="20">
        <v>456000</v>
      </c>
      <c r="P8" s="20">
        <v>724100</v>
      </c>
      <c r="Q8" s="20">
        <v>234200</v>
      </c>
    </row>
    <row r="9" spans="1:17">
      <c r="A9" s="5">
        <v>2016</v>
      </c>
      <c r="B9" s="20">
        <v>429800</v>
      </c>
      <c r="C9" s="20">
        <v>533600</v>
      </c>
      <c r="D9" s="20">
        <v>225200</v>
      </c>
      <c r="E9" s="20">
        <v>60700</v>
      </c>
      <c r="F9" s="20">
        <v>95600</v>
      </c>
      <c r="G9" s="143" t="s">
        <v>87</v>
      </c>
      <c r="H9" s="20">
        <v>247800</v>
      </c>
      <c r="I9" s="20">
        <v>275900</v>
      </c>
      <c r="J9" s="20">
        <v>575200</v>
      </c>
      <c r="K9" s="20">
        <v>633600</v>
      </c>
      <c r="L9" s="20">
        <v>727100</v>
      </c>
      <c r="M9" s="20">
        <v>881500</v>
      </c>
      <c r="N9" s="143" t="s">
        <v>87</v>
      </c>
      <c r="O9" s="20">
        <v>486200</v>
      </c>
      <c r="P9" s="20">
        <v>657500</v>
      </c>
      <c r="Q9" s="20">
        <v>273800</v>
      </c>
    </row>
    <row r="10" spans="1:17">
      <c r="A10" s="5">
        <v>2019</v>
      </c>
      <c r="B10" s="20">
        <v>378800</v>
      </c>
      <c r="C10" s="20">
        <v>477500</v>
      </c>
      <c r="D10" s="20">
        <v>208700</v>
      </c>
      <c r="E10" s="20">
        <v>75000</v>
      </c>
      <c r="F10" s="20">
        <v>102000</v>
      </c>
      <c r="G10" s="143" t="s">
        <v>87</v>
      </c>
      <c r="H10" s="20">
        <v>276800</v>
      </c>
      <c r="I10" s="20">
        <v>350600</v>
      </c>
      <c r="J10" s="20">
        <v>522500</v>
      </c>
      <c r="K10" s="20">
        <v>640500</v>
      </c>
      <c r="L10" s="20">
        <v>590200</v>
      </c>
      <c r="M10" s="20">
        <v>755600</v>
      </c>
      <c r="N10" s="143" t="s">
        <v>87</v>
      </c>
      <c r="O10" s="20">
        <v>375200</v>
      </c>
      <c r="P10" s="20">
        <v>473700</v>
      </c>
      <c r="Q10" s="20">
        <v>283200</v>
      </c>
    </row>
    <row r="13" spans="1:17">
      <c r="A13" s="5" t="s">
        <v>460</v>
      </c>
      <c r="B13" s="143">
        <f>100*((B10/B6)^(1/20)-1)</f>
        <v>1.9368239870156456</v>
      </c>
      <c r="C13" s="143">
        <f t="shared" ref="C13:Q13" si="0">100*((C10/C6)^(1/20)-1)</f>
        <v>2.1195995288775693</v>
      </c>
      <c r="D13" s="143">
        <f t="shared" si="0"/>
        <v>3.0336364607323807</v>
      </c>
      <c r="E13" s="143">
        <f t="shared" si="0"/>
        <v>-1.4281146643185361</v>
      </c>
      <c r="F13" s="143">
        <f t="shared" si="0"/>
        <v>-1.7603381490728043</v>
      </c>
      <c r="G13" s="143" t="s">
        <v>87</v>
      </c>
      <c r="H13" s="143">
        <f t="shared" si="0"/>
        <v>2.1665005393725068</v>
      </c>
      <c r="I13" s="143">
        <f t="shared" si="0"/>
        <v>2.7698668125687664</v>
      </c>
      <c r="J13" s="143">
        <f t="shared" si="0"/>
        <v>1.2283662009157981</v>
      </c>
      <c r="K13" s="143">
        <f t="shared" si="0"/>
        <v>1.8444235080654625</v>
      </c>
      <c r="L13" s="143">
        <f t="shared" si="0"/>
        <v>1.4139803690972341</v>
      </c>
      <c r="M13" s="143">
        <f t="shared" si="0"/>
        <v>1.4775331896404564</v>
      </c>
      <c r="N13" s="23">
        <f>100*((N8/N6)^(1/13)-1)</f>
        <v>7.6651916901031347</v>
      </c>
      <c r="O13" s="143">
        <f t="shared" si="0"/>
        <v>1.2683573626569355</v>
      </c>
      <c r="P13" s="143">
        <f t="shared" si="0"/>
        <v>1.7564285748822961</v>
      </c>
      <c r="Q13" s="143">
        <f t="shared" si="0"/>
        <v>1.0921530479095498</v>
      </c>
    </row>
    <row r="14" spans="1:17">
      <c r="A14" s="5" t="s">
        <v>461</v>
      </c>
      <c r="B14" s="143">
        <f>100*((B7/B6)^(1/6)-1)</f>
        <v>-0.50351919567320769</v>
      </c>
      <c r="C14" s="143">
        <f t="shared" ref="C14:O14" si="1">100*((C7/C6)^(1/6)-1)</f>
        <v>0.60663257099757839</v>
      </c>
      <c r="D14" s="143">
        <f t="shared" si="1"/>
        <v>-5.6272752319331376</v>
      </c>
      <c r="E14" s="143">
        <f t="shared" si="1"/>
        <v>-19.605323123383034</v>
      </c>
      <c r="F14" s="143" t="s">
        <v>87</v>
      </c>
      <c r="G14" s="143" t="s">
        <v>87</v>
      </c>
      <c r="H14" s="143">
        <f t="shared" si="1"/>
        <v>-0.26988615627679957</v>
      </c>
      <c r="I14" s="143">
        <f t="shared" si="1"/>
        <v>-0.29777446166208144</v>
      </c>
      <c r="J14" s="143">
        <f t="shared" si="1"/>
        <v>-2.9448567519646085</v>
      </c>
      <c r="K14" s="143">
        <f t="shared" si="1"/>
        <v>-3.8286300225020109</v>
      </c>
      <c r="L14" s="143">
        <f t="shared" si="1"/>
        <v>0.49856815297577572</v>
      </c>
      <c r="M14" s="143">
        <f t="shared" si="1"/>
        <v>-1.9011767066233975</v>
      </c>
      <c r="N14" s="143" t="s">
        <v>87</v>
      </c>
      <c r="O14" s="143">
        <f t="shared" si="1"/>
        <v>5.4837883514416763</v>
      </c>
      <c r="P14" s="143" t="s">
        <v>87</v>
      </c>
      <c r="Q14" s="143" t="s">
        <v>87</v>
      </c>
    </row>
    <row r="15" spans="1:17">
      <c r="A15" s="5" t="s">
        <v>462</v>
      </c>
      <c r="B15" s="143">
        <f>100*((B8/B7)^(1/7)-1)</f>
        <v>7.5617800419015113</v>
      </c>
      <c r="C15" s="143">
        <f t="shared" ref="C15:O15" si="2">100*((C8/C7)^(1/7)-1)</f>
        <v>6.6371488075657625</v>
      </c>
      <c r="D15" s="143">
        <f t="shared" si="2"/>
        <v>15.992304359736554</v>
      </c>
      <c r="E15" s="143">
        <f t="shared" si="2"/>
        <v>15.603333747785841</v>
      </c>
      <c r="F15" s="143" t="s">
        <v>87</v>
      </c>
      <c r="G15" s="143" t="s">
        <v>87</v>
      </c>
      <c r="H15" s="143">
        <f t="shared" si="2"/>
        <v>9.5395881387951409</v>
      </c>
      <c r="I15" s="143">
        <f t="shared" si="2"/>
        <v>9.7895470901124604</v>
      </c>
      <c r="J15" s="143">
        <f t="shared" si="2"/>
        <v>4.632543753858509</v>
      </c>
      <c r="K15" s="143">
        <f t="shared" si="2"/>
        <v>4.9563919566784298</v>
      </c>
      <c r="L15" s="143">
        <f t="shared" si="2"/>
        <v>6.5958839474539399</v>
      </c>
      <c r="M15" s="143">
        <f t="shared" si="2"/>
        <v>8.2725087202876857</v>
      </c>
      <c r="N15" s="143" t="s">
        <v>87</v>
      </c>
      <c r="O15" s="143">
        <f t="shared" si="2"/>
        <v>1.8277492441012289</v>
      </c>
      <c r="P15" s="143" t="s">
        <v>87</v>
      </c>
      <c r="Q15" s="143" t="s">
        <v>87</v>
      </c>
    </row>
    <row r="16" spans="1:17">
      <c r="A16" s="5" t="s">
        <v>463</v>
      </c>
      <c r="B16" s="143">
        <f>100*((B10/B8)^(1/7)-1)</f>
        <v>-1.3665431373673154</v>
      </c>
      <c r="C16" s="143">
        <f t="shared" ref="C16:Q16" si="3">100*((C10/C8)^(1/7)-1)</f>
        <v>-0.9473494177375974</v>
      </c>
      <c r="D16" s="143">
        <f t="shared" si="3"/>
        <v>-1.3234610005703473</v>
      </c>
      <c r="E16" s="143">
        <f t="shared" si="3"/>
        <v>9.5602643804681975E-2</v>
      </c>
      <c r="F16" s="143">
        <f t="shared" si="3"/>
        <v>1.1736630187506147</v>
      </c>
      <c r="G16" s="143" t="s">
        <v>87</v>
      </c>
      <c r="H16" s="143">
        <f t="shared" si="3"/>
        <v>-2.7184060659659837</v>
      </c>
      <c r="I16" s="143">
        <f t="shared" si="3"/>
        <v>-1.2694854400608691</v>
      </c>
      <c r="J16" s="143">
        <f t="shared" si="3"/>
        <v>1.5335078282637138</v>
      </c>
      <c r="K16" s="143">
        <f t="shared" si="3"/>
        <v>3.8009063246293717</v>
      </c>
      <c r="L16" s="143">
        <f t="shared" si="3"/>
        <v>-2.7632104898833609</v>
      </c>
      <c r="M16" s="143">
        <f t="shared" si="3"/>
        <v>-2.0900486606180935</v>
      </c>
      <c r="N16" s="143" t="s">
        <v>87</v>
      </c>
      <c r="O16" s="143">
        <f t="shared" si="3"/>
        <v>-2.7477377713568396</v>
      </c>
      <c r="P16" s="143">
        <f t="shared" si="3"/>
        <v>-5.882123586275501</v>
      </c>
      <c r="Q16" s="143">
        <f t="shared" si="3"/>
        <v>2.7511337635261812</v>
      </c>
    </row>
    <row r="17" spans="1:17">
      <c r="A17" s="5" t="s">
        <v>592</v>
      </c>
      <c r="B17" s="249">
        <f>100*((B9/B7)^(1/11)-1)</f>
        <v>5.0340688538361045</v>
      </c>
      <c r="C17" s="249"/>
      <c r="D17" s="249"/>
      <c r="E17" s="249"/>
      <c r="F17" s="249"/>
      <c r="G17" s="249"/>
      <c r="H17" s="249"/>
      <c r="I17" s="249"/>
      <c r="J17" s="249"/>
      <c r="K17" s="249"/>
      <c r="L17" s="249"/>
      <c r="M17" s="249"/>
      <c r="N17" s="249"/>
      <c r="O17" s="249"/>
      <c r="P17" s="249"/>
      <c r="Q17" s="249"/>
    </row>
    <row r="18" spans="1:17">
      <c r="A18" s="5" t="s">
        <v>593</v>
      </c>
      <c r="B18" s="249">
        <f>100*((B10/B9)^(1/3)-1)</f>
        <v>-4.1229816180779704</v>
      </c>
      <c r="C18" s="249"/>
      <c r="D18" s="249"/>
      <c r="E18" s="249"/>
      <c r="F18" s="249"/>
      <c r="G18" s="249"/>
      <c r="H18" s="249"/>
      <c r="I18" s="249"/>
      <c r="J18" s="249"/>
      <c r="K18" s="249"/>
      <c r="L18" s="249"/>
      <c r="M18" s="249"/>
      <c r="N18" s="249"/>
      <c r="O18" s="249"/>
      <c r="P18" s="249"/>
      <c r="Q18" s="249"/>
    </row>
    <row r="21" spans="1:17">
      <c r="A21" s="6" t="s">
        <v>464</v>
      </c>
      <c r="B21" s="6"/>
      <c r="C21" s="6"/>
    </row>
    <row r="24" spans="1:17">
      <c r="A24" s="5" t="s">
        <v>153</v>
      </c>
    </row>
    <row r="25" spans="1:17">
      <c r="A25" s="5">
        <v>1</v>
      </c>
      <c r="B25" s="5" t="s">
        <v>465</v>
      </c>
    </row>
    <row r="28" spans="1:17">
      <c r="A28" s="5" t="s">
        <v>554</v>
      </c>
    </row>
    <row r="31" spans="1:17">
      <c r="A31" s="5" t="s">
        <v>497</v>
      </c>
    </row>
    <row r="35" spans="1:3" ht="31" customHeight="1">
      <c r="A35" s="150" t="s">
        <v>95</v>
      </c>
      <c r="B35" s="148" t="s">
        <v>43</v>
      </c>
      <c r="C35" s="148" t="s">
        <v>44</v>
      </c>
    </row>
    <row r="36" spans="1:3">
      <c r="A36" s="5" t="s">
        <v>498</v>
      </c>
      <c r="B36" s="149">
        <v>3.6991726010587644</v>
      </c>
      <c r="C36" s="149">
        <v>1.9368239870156456</v>
      </c>
    </row>
    <row r="37" spans="1:3">
      <c r="A37" s="5" t="s">
        <v>499</v>
      </c>
      <c r="B37" s="149">
        <v>4.4284413118421462</v>
      </c>
      <c r="C37" s="149">
        <v>-0.50351919567320769</v>
      </c>
    </row>
    <row r="38" spans="1:3">
      <c r="A38" s="5" t="s">
        <v>500</v>
      </c>
      <c r="B38" s="149">
        <v>4.2403133219326428</v>
      </c>
      <c r="C38" s="149">
        <v>7.5617800419015113</v>
      </c>
    </row>
    <row r="39" spans="1:3">
      <c r="A39" s="5" t="s">
        <v>501</v>
      </c>
      <c r="B39" s="149">
        <v>2.543032383324717</v>
      </c>
      <c r="C39" s="149">
        <v>-1.3665431373673154</v>
      </c>
    </row>
  </sheetData>
  <mergeCells count="6">
    <mergeCell ref="O4:Q4"/>
    <mergeCell ref="B4:D4"/>
    <mergeCell ref="E4:G4"/>
    <mergeCell ref="H4:I4"/>
    <mergeCell ref="J4:K4"/>
    <mergeCell ref="L4:N4"/>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7054C-C8C4-0748-8F34-F63AB55204B1}">
  <sheetPr codeName="Sheet86"/>
  <dimension ref="A1:Q26"/>
  <sheetViews>
    <sheetView workbookViewId="0">
      <selection activeCell="E36" sqref="E36"/>
    </sheetView>
  </sheetViews>
  <sheetFormatPr baseColWidth="10" defaultColWidth="10.83203125" defaultRowHeight="16"/>
  <cols>
    <col min="1" max="1" width="21" style="5" customWidth="1"/>
    <col min="2" max="16384" width="10.83203125" style="5"/>
  </cols>
  <sheetData>
    <row r="1" spans="1:17">
      <c r="A1" s="19" t="s">
        <v>708</v>
      </c>
    </row>
    <row r="4" spans="1:17">
      <c r="B4" s="338" t="s">
        <v>360</v>
      </c>
      <c r="C4" s="338"/>
      <c r="D4" s="338"/>
      <c r="E4" s="338" t="s">
        <v>469</v>
      </c>
      <c r="F4" s="338"/>
      <c r="G4" s="338"/>
      <c r="H4" s="338" t="s">
        <v>470</v>
      </c>
      <c r="I4" s="338"/>
      <c r="J4" s="338" t="s">
        <v>471</v>
      </c>
      <c r="K4" s="338"/>
      <c r="L4" s="338" t="s">
        <v>472</v>
      </c>
      <c r="M4" s="338"/>
      <c r="N4" s="338"/>
      <c r="O4" s="338" t="s">
        <v>473</v>
      </c>
      <c r="P4" s="338"/>
      <c r="Q4" s="338"/>
    </row>
    <row r="5" spans="1:17" ht="102">
      <c r="B5" s="137" t="s">
        <v>81</v>
      </c>
      <c r="C5" s="137" t="s">
        <v>77</v>
      </c>
      <c r="D5" s="137" t="s">
        <v>78</v>
      </c>
      <c r="E5" s="137" t="s">
        <v>81</v>
      </c>
      <c r="F5" s="137" t="s">
        <v>77</v>
      </c>
      <c r="G5" s="137" t="s">
        <v>78</v>
      </c>
      <c r="H5" s="137" t="s">
        <v>81</v>
      </c>
      <c r="I5" s="137" t="s">
        <v>77</v>
      </c>
      <c r="J5" s="137" t="s">
        <v>81</v>
      </c>
      <c r="K5" s="137" t="s">
        <v>77</v>
      </c>
      <c r="L5" s="137" t="s">
        <v>81</v>
      </c>
      <c r="M5" s="137" t="s">
        <v>77</v>
      </c>
      <c r="N5" s="137" t="s">
        <v>78</v>
      </c>
      <c r="O5" s="137" t="s">
        <v>81</v>
      </c>
      <c r="P5" s="137" t="s">
        <v>77</v>
      </c>
      <c r="Q5" s="137" t="s">
        <v>78</v>
      </c>
    </row>
    <row r="6" spans="1:17">
      <c r="A6" s="5">
        <v>1999</v>
      </c>
      <c r="B6" s="8">
        <v>72.296918767507009</v>
      </c>
      <c r="C6" s="8">
        <v>70.873786407766985</v>
      </c>
      <c r="D6" s="8">
        <v>65.301478953356082</v>
      </c>
      <c r="E6" s="8">
        <v>89.928057553956833</v>
      </c>
      <c r="F6" s="8">
        <v>93.448940269749514</v>
      </c>
      <c r="G6" s="8">
        <v>73.903508771929822</v>
      </c>
      <c r="H6" s="8">
        <v>65.043290043290042</v>
      </c>
      <c r="I6" s="8">
        <v>62.731767614338686</v>
      </c>
      <c r="J6" s="8">
        <v>84.531185460553488</v>
      </c>
      <c r="K6" s="8">
        <v>79.698708751793404</v>
      </c>
      <c r="L6" s="8">
        <v>67.756156886591668</v>
      </c>
      <c r="M6" s="8">
        <v>69.59367667037175</v>
      </c>
      <c r="N6" s="8">
        <v>53.529814941740916</v>
      </c>
      <c r="O6" s="8">
        <v>60.737346386169548</v>
      </c>
      <c r="P6" s="8">
        <v>52.644836272040301</v>
      </c>
      <c r="Q6" s="8">
        <v>74.550212626758267</v>
      </c>
    </row>
    <row r="7" spans="1:17">
      <c r="A7" s="5">
        <v>2005</v>
      </c>
      <c r="B7" s="8">
        <v>54.08207343412527</v>
      </c>
      <c r="C7" s="8">
        <v>55.319510537049624</v>
      </c>
      <c r="D7" s="8">
        <v>37.52892179546506</v>
      </c>
      <c r="E7" s="8">
        <v>27.439024390243901</v>
      </c>
      <c r="F7" s="8" t="s">
        <v>87</v>
      </c>
      <c r="G7" s="8" t="s">
        <v>87</v>
      </c>
      <c r="H7" s="8">
        <v>45.863495346432266</v>
      </c>
      <c r="I7" s="8">
        <v>44.568618685739828</v>
      </c>
      <c r="J7" s="8">
        <v>57.457171649311384</v>
      </c>
      <c r="K7" s="8">
        <v>49.236801568407785</v>
      </c>
      <c r="L7" s="8">
        <v>55.687606112054333</v>
      </c>
      <c r="M7" s="8">
        <v>48.691099476439788</v>
      </c>
      <c r="N7" s="8" t="s">
        <v>87</v>
      </c>
      <c r="O7" s="8">
        <v>65.08425145819831</v>
      </c>
      <c r="P7" s="8" t="s">
        <v>87</v>
      </c>
      <c r="Q7" s="8" t="s">
        <v>87</v>
      </c>
    </row>
    <row r="8" spans="1:17">
      <c r="A8" s="5">
        <v>2012</v>
      </c>
      <c r="B8" s="8">
        <v>67.361111111111114</v>
      </c>
      <c r="C8" s="8">
        <v>64.28211586901763</v>
      </c>
      <c r="D8" s="8">
        <v>78.458904109589042</v>
      </c>
      <c r="E8" s="8">
        <v>42.353610005685049</v>
      </c>
      <c r="F8" s="8">
        <v>33.922771562612773</v>
      </c>
      <c r="G8" s="8" t="s">
        <v>87</v>
      </c>
      <c r="H8" s="8">
        <v>76.469248291571759</v>
      </c>
      <c r="I8" s="8">
        <v>74.765990639625585</v>
      </c>
      <c r="J8" s="8">
        <v>59.849643221202854</v>
      </c>
      <c r="K8" s="8">
        <v>52.501064282673475</v>
      </c>
      <c r="L8" s="8">
        <v>74.553571428571431</v>
      </c>
      <c r="M8" s="8">
        <v>72.229551451187334</v>
      </c>
      <c r="N8" s="8">
        <v>85.96713021491783</v>
      </c>
      <c r="O8" s="8">
        <v>56.463595839524515</v>
      </c>
      <c r="P8" s="8">
        <v>65.911159657746225</v>
      </c>
      <c r="Q8" s="8">
        <v>51.438611904238961</v>
      </c>
    </row>
    <row r="9" spans="1:17">
      <c r="A9" s="5">
        <v>2016</v>
      </c>
      <c r="B9" s="8">
        <v>60.629143743828465</v>
      </c>
      <c r="C9" s="8">
        <v>57.867910204966925</v>
      </c>
      <c r="D9" s="8">
        <v>67.243953418931028</v>
      </c>
      <c r="E9" s="8">
        <v>31.94736842105263</v>
      </c>
      <c r="F9" s="8">
        <v>32.55022131426626</v>
      </c>
      <c r="G9" s="8" t="s">
        <v>87</v>
      </c>
      <c r="H9" s="8">
        <v>49.63942307692308</v>
      </c>
      <c r="I9" s="8">
        <v>48.049460118425635</v>
      </c>
      <c r="J9" s="8">
        <v>68.795598612606142</v>
      </c>
      <c r="K9" s="8">
        <v>60.893801057184049</v>
      </c>
      <c r="L9" s="8">
        <v>61.812462807107032</v>
      </c>
      <c r="M9" s="8">
        <v>58.83727139233747</v>
      </c>
      <c r="N9" s="8" t="s">
        <v>87</v>
      </c>
      <c r="O9" s="8">
        <v>54.281567489114657</v>
      </c>
      <c r="P9" s="8">
        <v>53.169982209283518</v>
      </c>
      <c r="Q9" s="8">
        <v>52.391886720244926</v>
      </c>
    </row>
    <row r="10" spans="1:17">
      <c r="A10" s="5">
        <v>2019</v>
      </c>
      <c r="B10" s="8">
        <v>51.314007044161471</v>
      </c>
      <c r="C10" s="8">
        <v>50.363885666068981</v>
      </c>
      <c r="D10" s="8">
        <v>53.185524974515801</v>
      </c>
      <c r="E10" s="8">
        <v>34.106412005457024</v>
      </c>
      <c r="F10" s="8">
        <v>30.348110681344838</v>
      </c>
      <c r="G10" s="8" t="s">
        <v>87</v>
      </c>
      <c r="H10" s="8">
        <v>55.415415415415417</v>
      </c>
      <c r="I10" s="8">
        <v>59.494315289326316</v>
      </c>
      <c r="J10" s="8">
        <v>55.180061252508182</v>
      </c>
      <c r="K10" s="8">
        <v>57.024572649572647</v>
      </c>
      <c r="L10" s="8">
        <v>53.489215153162952</v>
      </c>
      <c r="M10" s="8">
        <v>53.898280904486768</v>
      </c>
      <c r="N10" s="8" t="s">
        <v>87</v>
      </c>
      <c r="O10" s="8">
        <v>40.222984562607202</v>
      </c>
      <c r="P10" s="8">
        <v>36.472128118263015</v>
      </c>
      <c r="Q10" s="8">
        <v>48.024419196201457</v>
      </c>
    </row>
    <row r="13" spans="1:17">
      <c r="A13" s="5" t="s">
        <v>467</v>
      </c>
      <c r="B13" s="143">
        <f>B10-B6</f>
        <v>-20.982911723345538</v>
      </c>
      <c r="C13" s="143">
        <f t="shared" ref="C13:Q13" si="0">C10-C6</f>
        <v>-20.509900741698004</v>
      </c>
      <c r="D13" s="143">
        <f t="shared" si="0"/>
        <v>-12.115953978840281</v>
      </c>
      <c r="E13" s="143">
        <f t="shared" si="0"/>
        <v>-55.821645548499809</v>
      </c>
      <c r="F13" s="143">
        <f t="shared" si="0"/>
        <v>-63.100829588404679</v>
      </c>
      <c r="G13" s="143" t="s">
        <v>87</v>
      </c>
      <c r="H13" s="143">
        <f t="shared" si="0"/>
        <v>-9.6278746278746254</v>
      </c>
      <c r="I13" s="143">
        <f t="shared" si="0"/>
        <v>-3.2374523250123701</v>
      </c>
      <c r="J13" s="143">
        <f t="shared" si="0"/>
        <v>-29.351124208045306</v>
      </c>
      <c r="K13" s="143">
        <f t="shared" si="0"/>
        <v>-22.674136102220757</v>
      </c>
      <c r="L13" s="143">
        <f t="shared" si="0"/>
        <v>-14.266941733428716</v>
      </c>
      <c r="M13" s="143">
        <f t="shared" si="0"/>
        <v>-15.695395765884982</v>
      </c>
      <c r="N13" s="23">
        <f>N8-N6</f>
        <v>32.437315273176914</v>
      </c>
      <c r="O13" s="143">
        <f t="shared" si="0"/>
        <v>-20.514361823562346</v>
      </c>
      <c r="P13" s="143">
        <f t="shared" si="0"/>
        <v>-16.172708153777286</v>
      </c>
      <c r="Q13" s="143">
        <f t="shared" si="0"/>
        <v>-26.52579343055681</v>
      </c>
    </row>
    <row r="14" spans="1:17">
      <c r="A14" s="5" t="s">
        <v>449</v>
      </c>
      <c r="B14" s="143">
        <f>B7-B6</f>
        <v>-18.214845333381739</v>
      </c>
      <c r="C14" s="143">
        <f t="shared" ref="C14:O15" si="1">C7-C6</f>
        <v>-15.554275870717362</v>
      </c>
      <c r="D14" s="143">
        <f t="shared" si="1"/>
        <v>-27.772557157891022</v>
      </c>
      <c r="E14" s="143">
        <f t="shared" si="1"/>
        <v>-62.489033163712932</v>
      </c>
      <c r="F14" s="143" t="s">
        <v>87</v>
      </c>
      <c r="G14" s="143" t="s">
        <v>87</v>
      </c>
      <c r="H14" s="143">
        <f t="shared" si="1"/>
        <v>-19.179794696857776</v>
      </c>
      <c r="I14" s="143">
        <f t="shared" si="1"/>
        <v>-18.163148928598858</v>
      </c>
      <c r="J14" s="143">
        <f t="shared" si="1"/>
        <v>-27.074013811242104</v>
      </c>
      <c r="K14" s="143">
        <f t="shared" si="1"/>
        <v>-30.46190718338562</v>
      </c>
      <c r="L14" s="143">
        <f t="shared" si="1"/>
        <v>-12.068550774537336</v>
      </c>
      <c r="M14" s="143">
        <f t="shared" si="1"/>
        <v>-20.902577193931961</v>
      </c>
      <c r="N14" s="143" t="s">
        <v>87</v>
      </c>
      <c r="O14" s="143">
        <f t="shared" si="1"/>
        <v>4.3469050720287612</v>
      </c>
      <c r="P14" s="143" t="s">
        <v>87</v>
      </c>
      <c r="Q14" s="143" t="s">
        <v>87</v>
      </c>
    </row>
    <row r="15" spans="1:17">
      <c r="A15" s="5" t="s">
        <v>450</v>
      </c>
      <c r="B15" s="143">
        <f>B8-B7</f>
        <v>13.279037676985844</v>
      </c>
      <c r="C15" s="143">
        <f t="shared" si="1"/>
        <v>8.9626053319680068</v>
      </c>
      <c r="D15" s="143">
        <f t="shared" si="1"/>
        <v>40.929982314123983</v>
      </c>
      <c r="E15" s="143">
        <f t="shared" si="1"/>
        <v>14.914585615441148</v>
      </c>
      <c r="F15" s="143" t="s">
        <v>87</v>
      </c>
      <c r="G15" s="143" t="s">
        <v>87</v>
      </c>
      <c r="H15" s="143">
        <f t="shared" si="1"/>
        <v>30.605752945139493</v>
      </c>
      <c r="I15" s="143">
        <f t="shared" si="1"/>
        <v>30.197371953885757</v>
      </c>
      <c r="J15" s="143">
        <f t="shared" si="1"/>
        <v>2.3924715718914698</v>
      </c>
      <c r="K15" s="143">
        <f t="shared" si="1"/>
        <v>3.2642627142656906</v>
      </c>
      <c r="L15" s="143">
        <f t="shared" si="1"/>
        <v>18.865965316517098</v>
      </c>
      <c r="M15" s="143">
        <f t="shared" si="1"/>
        <v>23.538451974747545</v>
      </c>
      <c r="N15" s="143" t="s">
        <v>87</v>
      </c>
      <c r="O15" s="143">
        <f t="shared" si="1"/>
        <v>-8.6206556186737942</v>
      </c>
      <c r="P15" s="143" t="s">
        <v>87</v>
      </c>
      <c r="Q15" s="143" t="s">
        <v>87</v>
      </c>
    </row>
    <row r="16" spans="1:17">
      <c r="A16" s="5" t="s">
        <v>451</v>
      </c>
      <c r="B16" s="143">
        <f>B10-B8</f>
        <v>-16.047104066949643</v>
      </c>
      <c r="C16" s="143">
        <f t="shared" ref="C16:Q16" si="2">C10-C8</f>
        <v>-13.918230202948649</v>
      </c>
      <c r="D16" s="143">
        <f t="shared" si="2"/>
        <v>-25.273379135073242</v>
      </c>
      <c r="E16" s="143">
        <f t="shared" si="2"/>
        <v>-8.2471980002280247</v>
      </c>
      <c r="F16" s="143">
        <f t="shared" si="2"/>
        <v>-3.5746608812679348</v>
      </c>
      <c r="G16" s="143" t="s">
        <v>87</v>
      </c>
      <c r="H16" s="143">
        <f t="shared" si="2"/>
        <v>-21.053832876156342</v>
      </c>
      <c r="I16" s="143">
        <f t="shared" si="2"/>
        <v>-15.271675350299269</v>
      </c>
      <c r="J16" s="143">
        <f t="shared" si="2"/>
        <v>-4.669581968694672</v>
      </c>
      <c r="K16" s="143">
        <f t="shared" si="2"/>
        <v>4.523508366899172</v>
      </c>
      <c r="L16" s="143">
        <f t="shared" si="2"/>
        <v>-21.064356275408478</v>
      </c>
      <c r="M16" s="143">
        <f t="shared" si="2"/>
        <v>-18.331270546700566</v>
      </c>
      <c r="N16" s="143" t="s">
        <v>87</v>
      </c>
      <c r="O16" s="143">
        <f t="shared" si="2"/>
        <v>-16.240611276917313</v>
      </c>
      <c r="P16" s="143">
        <f t="shared" si="2"/>
        <v>-29.43903153948321</v>
      </c>
      <c r="Q16" s="143">
        <f t="shared" si="2"/>
        <v>-3.4141927080375041</v>
      </c>
    </row>
    <row r="19" spans="1:2">
      <c r="A19" s="5" t="s">
        <v>468</v>
      </c>
    </row>
    <row r="22" spans="1:2">
      <c r="A22" s="5" t="s">
        <v>153</v>
      </c>
    </row>
    <row r="23" spans="1:2">
      <c r="A23" s="5">
        <v>1</v>
      </c>
      <c r="B23" s="5" t="s">
        <v>465</v>
      </c>
    </row>
    <row r="26" spans="1:2">
      <c r="A26" s="5" t="s">
        <v>554</v>
      </c>
    </row>
  </sheetData>
  <mergeCells count="6">
    <mergeCell ref="O4:Q4"/>
    <mergeCell ref="B4:D4"/>
    <mergeCell ref="E4:G4"/>
    <mergeCell ref="H4:I4"/>
    <mergeCell ref="J4:K4"/>
    <mergeCell ref="L4:N4"/>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53CA-DCF3-0045-AA55-124ABA20D382}">
  <sheetPr codeName="Sheet87"/>
  <dimension ref="A1:Q37"/>
  <sheetViews>
    <sheetView workbookViewId="0"/>
  </sheetViews>
  <sheetFormatPr baseColWidth="10" defaultColWidth="10.83203125" defaultRowHeight="16"/>
  <cols>
    <col min="1" max="1" width="17.33203125" style="5" customWidth="1"/>
    <col min="2" max="16384" width="10.83203125" style="5"/>
  </cols>
  <sheetData>
    <row r="1" spans="1:17">
      <c r="A1" s="19" t="s">
        <v>709</v>
      </c>
    </row>
    <row r="2" spans="1:17">
      <c r="A2" s="5" t="s">
        <v>3</v>
      </c>
    </row>
    <row r="4" spans="1:17">
      <c r="B4" s="338" t="s">
        <v>360</v>
      </c>
      <c r="C4" s="338"/>
      <c r="D4" s="338"/>
      <c r="E4" s="338" t="s">
        <v>456</v>
      </c>
      <c r="F4" s="338"/>
      <c r="G4" s="338"/>
      <c r="H4" s="338" t="s">
        <v>457</v>
      </c>
      <c r="I4" s="338"/>
      <c r="J4" s="338" t="s">
        <v>458</v>
      </c>
      <c r="K4" s="338"/>
      <c r="L4" s="338" t="s">
        <v>459</v>
      </c>
      <c r="M4" s="338"/>
      <c r="N4" s="338"/>
      <c r="O4" s="338" t="s">
        <v>363</v>
      </c>
      <c r="P4" s="338"/>
      <c r="Q4" s="338"/>
    </row>
    <row r="5" spans="1:17" ht="102">
      <c r="B5" s="137" t="s">
        <v>81</v>
      </c>
      <c r="C5" s="137" t="s">
        <v>77</v>
      </c>
      <c r="D5" s="137" t="s">
        <v>78</v>
      </c>
      <c r="E5" s="137" t="s">
        <v>81</v>
      </c>
      <c r="F5" s="137" t="s">
        <v>77</v>
      </c>
      <c r="G5" s="137" t="s">
        <v>78</v>
      </c>
      <c r="H5" s="137" t="s">
        <v>81</v>
      </c>
      <c r="I5" s="137" t="s">
        <v>77</v>
      </c>
      <c r="J5" s="137" t="s">
        <v>81</v>
      </c>
      <c r="K5" s="137" t="s">
        <v>77</v>
      </c>
      <c r="L5" s="137" t="s">
        <v>81</v>
      </c>
      <c r="M5" s="137" t="s">
        <v>77</v>
      </c>
      <c r="N5" s="137" t="s">
        <v>78</v>
      </c>
      <c r="O5" s="137" t="s">
        <v>81</v>
      </c>
      <c r="P5" s="137" t="s">
        <v>77</v>
      </c>
      <c r="Q5" s="137" t="s">
        <v>78</v>
      </c>
    </row>
    <row r="6" spans="1:17">
      <c r="A6" s="5">
        <v>1999</v>
      </c>
      <c r="B6" s="20">
        <v>118700</v>
      </c>
      <c r="C6" s="20">
        <v>153700</v>
      </c>
      <c r="D6" s="20">
        <v>40300</v>
      </c>
      <c r="E6" s="20">
        <v>27800</v>
      </c>
      <c r="F6" s="20">
        <v>50200</v>
      </c>
      <c r="G6" s="20">
        <v>7100</v>
      </c>
      <c r="H6" s="20">
        <v>113000</v>
      </c>
      <c r="I6" s="20">
        <v>118700</v>
      </c>
      <c r="J6" s="20">
        <v>212800</v>
      </c>
      <c r="K6" s="20">
        <v>238200</v>
      </c>
      <c r="L6" s="20">
        <v>259500</v>
      </c>
      <c r="M6" s="20">
        <v>449400</v>
      </c>
      <c r="N6" s="20">
        <v>14100</v>
      </c>
      <c r="O6" s="20">
        <v>212900</v>
      </c>
      <c r="P6" s="20">
        <v>257200</v>
      </c>
      <c r="Q6" s="20">
        <v>152200</v>
      </c>
    </row>
    <row r="7" spans="1:17">
      <c r="A7" s="5">
        <v>2005</v>
      </c>
      <c r="B7" s="20">
        <v>131700</v>
      </c>
      <c r="C7" s="20">
        <v>141600</v>
      </c>
      <c r="D7" s="135">
        <v>300</v>
      </c>
      <c r="E7" s="135">
        <v>300</v>
      </c>
      <c r="F7" s="135" t="s">
        <v>87</v>
      </c>
      <c r="G7" s="135" t="s">
        <v>87</v>
      </c>
      <c r="H7" s="20">
        <v>94800</v>
      </c>
      <c r="I7" s="20">
        <v>125800</v>
      </c>
      <c r="J7" s="20">
        <v>141600</v>
      </c>
      <c r="K7" s="20">
        <v>141600</v>
      </c>
      <c r="L7" s="20">
        <v>350800</v>
      </c>
      <c r="M7" s="20">
        <v>421200</v>
      </c>
      <c r="N7" s="135" t="s">
        <v>87</v>
      </c>
      <c r="O7" s="20">
        <v>234000</v>
      </c>
      <c r="P7" s="135" t="s">
        <v>87</v>
      </c>
      <c r="Q7" s="135" t="s">
        <v>87</v>
      </c>
    </row>
    <row r="8" spans="1:17">
      <c r="A8" s="5">
        <v>2012</v>
      </c>
      <c r="B8" s="20">
        <v>195600</v>
      </c>
      <c r="C8" s="20">
        <v>264000</v>
      </c>
      <c r="D8" s="20">
        <v>76900</v>
      </c>
      <c r="E8" s="20">
        <v>30400</v>
      </c>
      <c r="F8" s="20">
        <v>47500</v>
      </c>
      <c r="G8" s="135" t="s">
        <v>87</v>
      </c>
      <c r="H8" s="20">
        <v>196100</v>
      </c>
      <c r="I8" s="20">
        <v>218300</v>
      </c>
      <c r="J8" s="20">
        <v>312300</v>
      </c>
      <c r="K8" s="20">
        <v>312300</v>
      </c>
      <c r="L8" s="20">
        <v>462600</v>
      </c>
      <c r="M8" s="20">
        <v>598100</v>
      </c>
      <c r="N8" s="20">
        <v>142300</v>
      </c>
      <c r="O8" s="20">
        <v>247800</v>
      </c>
      <c r="P8" s="20">
        <v>458400</v>
      </c>
      <c r="Q8" s="20">
        <v>127000</v>
      </c>
    </row>
    <row r="9" spans="1:17">
      <c r="A9" s="5">
        <v>2016</v>
      </c>
      <c r="B9" s="20">
        <v>167800</v>
      </c>
      <c r="C9" s="20">
        <v>219800</v>
      </c>
      <c r="D9" s="20">
        <v>69900</v>
      </c>
      <c r="E9" s="20">
        <v>18400</v>
      </c>
      <c r="F9" s="20">
        <v>31300</v>
      </c>
      <c r="G9" s="135" t="s">
        <v>87</v>
      </c>
      <c r="H9" s="20">
        <v>94400</v>
      </c>
      <c r="I9" s="20">
        <v>96200</v>
      </c>
      <c r="J9" s="20">
        <v>350200</v>
      </c>
      <c r="K9" s="20">
        <v>438900</v>
      </c>
      <c r="L9" s="20">
        <v>326200</v>
      </c>
      <c r="M9" s="20">
        <v>487200</v>
      </c>
      <c r="N9" s="135" t="s">
        <v>87</v>
      </c>
      <c r="O9" s="20">
        <v>265700</v>
      </c>
      <c r="P9" s="20">
        <v>437100</v>
      </c>
      <c r="Q9" s="20">
        <v>92700</v>
      </c>
    </row>
    <row r="10" spans="1:17">
      <c r="A10" s="5">
        <v>2019</v>
      </c>
      <c r="B10" s="20">
        <v>185000</v>
      </c>
      <c r="C10" s="20">
        <v>264500</v>
      </c>
      <c r="D10" s="20">
        <v>68300</v>
      </c>
      <c r="E10" s="20">
        <v>54500</v>
      </c>
      <c r="F10" s="20">
        <v>73300</v>
      </c>
      <c r="G10" s="135" t="s">
        <v>87</v>
      </c>
      <c r="H10" s="20">
        <v>166800</v>
      </c>
      <c r="I10" s="20">
        <v>222000</v>
      </c>
      <c r="J10" s="20">
        <v>408800</v>
      </c>
      <c r="K10" s="20">
        <v>501500</v>
      </c>
      <c r="L10" s="20">
        <v>280600</v>
      </c>
      <c r="M10" s="20">
        <v>551200</v>
      </c>
      <c r="N10" s="135" t="s">
        <v>87</v>
      </c>
      <c r="O10" s="20">
        <v>241000</v>
      </c>
      <c r="P10" s="20">
        <v>325300</v>
      </c>
      <c r="Q10" s="20">
        <v>143000</v>
      </c>
    </row>
    <row r="13" spans="1:17">
      <c r="A13" s="5" t="s">
        <v>460</v>
      </c>
      <c r="B13" s="143">
        <f>100*((B10/B6)^(1/20)-1)</f>
        <v>2.2435806641316614</v>
      </c>
      <c r="C13" s="143">
        <f t="shared" ref="C13:Q13" si="0">100*((C10/C6)^(1/20)-1)</f>
        <v>2.7513627462665058</v>
      </c>
      <c r="D13" s="143">
        <f t="shared" si="0"/>
        <v>2.6728891291125434</v>
      </c>
      <c r="E13" s="143">
        <f t="shared" si="0"/>
        <v>3.4231081350636572</v>
      </c>
      <c r="F13" s="143">
        <f t="shared" si="0"/>
        <v>1.9107535515408225</v>
      </c>
      <c r="G13" s="143" t="s">
        <v>87</v>
      </c>
      <c r="H13" s="143">
        <f t="shared" si="0"/>
        <v>1.9661167680298908</v>
      </c>
      <c r="I13" s="143">
        <f t="shared" si="0"/>
        <v>3.1799024107946439</v>
      </c>
      <c r="J13" s="143">
        <f t="shared" si="0"/>
        <v>3.3182313659738671</v>
      </c>
      <c r="K13" s="143">
        <f t="shared" si="0"/>
        <v>3.7926162192335022</v>
      </c>
      <c r="L13" s="143">
        <f t="shared" si="0"/>
        <v>0.39163220787605812</v>
      </c>
      <c r="M13" s="143">
        <f t="shared" si="0"/>
        <v>1.0261509864995855</v>
      </c>
      <c r="N13" s="143">
        <f>100*((N8/N6)^(1/13)-1)</f>
        <v>19.461971019907054</v>
      </c>
      <c r="O13" s="143">
        <f t="shared" si="0"/>
        <v>0.62179698907693925</v>
      </c>
      <c r="P13" s="143">
        <f t="shared" si="0"/>
        <v>1.1813931752332696</v>
      </c>
      <c r="Q13" s="143">
        <f t="shared" si="0"/>
        <v>-0.31126862741882588</v>
      </c>
    </row>
    <row r="14" spans="1:17">
      <c r="A14" s="5" t="s">
        <v>461</v>
      </c>
      <c r="B14" s="143">
        <f>100*((B7/B6)^(1/6)-1)</f>
        <v>1.7472100045123229</v>
      </c>
      <c r="C14" s="143">
        <f t="shared" ref="C14:O14" si="1">100*((C7/C6)^(1/6)-1)</f>
        <v>-1.357312130122923</v>
      </c>
      <c r="D14" s="143">
        <f t="shared" si="1"/>
        <v>-55.812167261649059</v>
      </c>
      <c r="E14" s="143">
        <f t="shared" si="1"/>
        <v>-52.991173506248224</v>
      </c>
      <c r="F14" s="143" t="s">
        <v>87</v>
      </c>
      <c r="G14" s="143" t="s">
        <v>87</v>
      </c>
      <c r="H14" s="143">
        <f t="shared" si="1"/>
        <v>-2.884552512915417</v>
      </c>
      <c r="I14" s="143">
        <f t="shared" si="1"/>
        <v>0.97293659497892371</v>
      </c>
      <c r="J14" s="143">
        <f t="shared" si="1"/>
        <v>-6.5637776212139283</v>
      </c>
      <c r="K14" s="143">
        <f t="shared" si="1"/>
        <v>-8.3033261326263208</v>
      </c>
      <c r="L14" s="143">
        <f t="shared" si="1"/>
        <v>5.1526859320737417</v>
      </c>
      <c r="M14" s="143">
        <f t="shared" si="1"/>
        <v>-1.0742809312112245</v>
      </c>
      <c r="N14" s="143" t="s">
        <v>87</v>
      </c>
      <c r="O14" s="143">
        <f t="shared" si="1"/>
        <v>1.5874438375503175</v>
      </c>
      <c r="P14" s="143" t="s">
        <v>87</v>
      </c>
      <c r="Q14" s="143" t="s">
        <v>87</v>
      </c>
    </row>
    <row r="15" spans="1:17">
      <c r="A15" s="5" t="s">
        <v>462</v>
      </c>
      <c r="B15" s="143">
        <f>100*((B8/B7)^(1/7)-1)</f>
        <v>5.8133439565289713</v>
      </c>
      <c r="C15" s="143">
        <f t="shared" ref="C15:O15" si="2">100*((C8/C7)^(1/7)-1)</f>
        <v>9.3071743365303874</v>
      </c>
      <c r="D15" s="143">
        <f t="shared" si="2"/>
        <v>120.85895459073184</v>
      </c>
      <c r="E15" s="143">
        <f t="shared" si="2"/>
        <v>93.435440578683867</v>
      </c>
      <c r="F15" s="143" t="s">
        <v>87</v>
      </c>
      <c r="G15" s="143" t="s">
        <v>87</v>
      </c>
      <c r="H15" s="143">
        <f t="shared" si="2"/>
        <v>10.941902216819033</v>
      </c>
      <c r="I15" s="143">
        <f t="shared" si="2"/>
        <v>8.1922509366097565</v>
      </c>
      <c r="J15" s="143">
        <f t="shared" si="2"/>
        <v>11.962522845740242</v>
      </c>
      <c r="K15" s="143">
        <f t="shared" si="2"/>
        <v>11.962522845740242</v>
      </c>
      <c r="L15" s="143">
        <f t="shared" si="2"/>
        <v>4.0312269316504112</v>
      </c>
      <c r="M15" s="143">
        <f t="shared" si="2"/>
        <v>5.1368746543348554</v>
      </c>
      <c r="N15" s="143" t="s">
        <v>87</v>
      </c>
      <c r="O15" s="143">
        <f t="shared" si="2"/>
        <v>0.82194318268316025</v>
      </c>
      <c r="P15" s="143" t="s">
        <v>87</v>
      </c>
      <c r="Q15" s="143" t="s">
        <v>87</v>
      </c>
    </row>
    <row r="16" spans="1:17">
      <c r="A16" s="5" t="s">
        <v>463</v>
      </c>
      <c r="B16" s="143">
        <f>100*((B10/B8)^(1/7)-1)</f>
        <v>-0.79278266312557966</v>
      </c>
      <c r="C16" s="143">
        <f t="shared" ref="C16:Q16" si="3">100*((C10/C8)^(1/7)-1)</f>
        <v>2.7034341505882686E-2</v>
      </c>
      <c r="D16" s="143">
        <f t="shared" si="3"/>
        <v>-1.6799587733292043</v>
      </c>
      <c r="E16" s="143">
        <f t="shared" si="3"/>
        <v>8.6970004848168969</v>
      </c>
      <c r="F16" s="143">
        <f t="shared" si="3"/>
        <v>6.3936642421646983</v>
      </c>
      <c r="G16" s="143" t="s">
        <v>87</v>
      </c>
      <c r="H16" s="143">
        <f t="shared" si="3"/>
        <v>-2.2853279133354221</v>
      </c>
      <c r="I16" s="143">
        <f t="shared" si="3"/>
        <v>0.2403901651738094</v>
      </c>
      <c r="J16" s="143">
        <f t="shared" si="3"/>
        <v>3.9215360971233348</v>
      </c>
      <c r="K16" s="143">
        <f t="shared" si="3"/>
        <v>7.000440287505727</v>
      </c>
      <c r="L16" s="143">
        <f t="shared" si="3"/>
        <v>-6.8928253071310008</v>
      </c>
      <c r="M16" s="143">
        <f t="shared" si="3"/>
        <v>-1.1597968169064665</v>
      </c>
      <c r="N16" s="143" t="s">
        <v>87</v>
      </c>
      <c r="O16" s="143">
        <f t="shared" si="3"/>
        <v>-0.39671152254118214</v>
      </c>
      <c r="P16" s="143">
        <f t="shared" si="3"/>
        <v>-4.7818099295804162</v>
      </c>
      <c r="Q16" s="143">
        <f t="shared" si="3"/>
        <v>1.7095562439493284</v>
      </c>
    </row>
    <row r="17" spans="1:17">
      <c r="A17" s="5" t="s">
        <v>555</v>
      </c>
      <c r="B17" s="200">
        <f>100*((B9/B8)^(1/4)-1)</f>
        <v>-3.7599640611126972</v>
      </c>
      <c r="C17" s="200">
        <f t="shared" ref="C17:Q17" si="4">100*((C9/C8)^(1/4)-1)</f>
        <v>-4.4774427951127738</v>
      </c>
      <c r="D17" s="200">
        <f t="shared" si="4"/>
        <v>-2.357765615300389</v>
      </c>
      <c r="E17" s="200">
        <f t="shared" si="4"/>
        <v>-11.796451022903899</v>
      </c>
      <c r="F17" s="200">
        <f t="shared" si="4"/>
        <v>-9.902512133162233</v>
      </c>
      <c r="G17" s="200"/>
      <c r="H17" s="200">
        <f t="shared" si="4"/>
        <v>-16.704104772706106</v>
      </c>
      <c r="I17" s="200">
        <f t="shared" si="4"/>
        <v>-18.523880950022242</v>
      </c>
      <c r="J17" s="200">
        <f t="shared" si="4"/>
        <v>2.9048963082763724</v>
      </c>
      <c r="K17" s="200">
        <f t="shared" si="4"/>
        <v>8.8800719420667242</v>
      </c>
      <c r="L17" s="200">
        <f t="shared" si="4"/>
        <v>-8.3632702524902847</v>
      </c>
      <c r="M17" s="200">
        <f t="shared" si="4"/>
        <v>-4.9978641409751612</v>
      </c>
      <c r="N17" s="200"/>
      <c r="O17" s="200">
        <f t="shared" si="4"/>
        <v>1.7589373552731047</v>
      </c>
      <c r="P17" s="200">
        <f t="shared" si="4"/>
        <v>-1.1824574560677203</v>
      </c>
      <c r="Q17" s="200">
        <f t="shared" si="4"/>
        <v>-7.5687123265442136</v>
      </c>
    </row>
    <row r="18" spans="1:17">
      <c r="A18" s="5" t="s">
        <v>556</v>
      </c>
      <c r="B18" s="200">
        <f>100*((B10/B9)^(1/3)-1)</f>
        <v>3.3062484834268657</v>
      </c>
      <c r="C18" s="200">
        <f t="shared" ref="C18:Q18" si="5">100*((C10/C9)^(1/3)-1)</f>
        <v>6.3651432744924463</v>
      </c>
      <c r="D18" s="200">
        <f t="shared" si="5"/>
        <v>-0.76889154433974483</v>
      </c>
      <c r="E18" s="200">
        <f t="shared" si="5"/>
        <v>43.612715154668138</v>
      </c>
      <c r="F18" s="200">
        <f t="shared" si="5"/>
        <v>32.796474569063804</v>
      </c>
      <c r="G18" s="200"/>
      <c r="H18" s="200">
        <f t="shared" si="5"/>
        <v>20.894910292709046</v>
      </c>
      <c r="I18" s="200">
        <f t="shared" si="5"/>
        <v>32.147606301246</v>
      </c>
      <c r="J18" s="200">
        <f t="shared" si="5"/>
        <v>5.2926966306204859</v>
      </c>
      <c r="K18" s="200">
        <f t="shared" si="5"/>
        <v>4.5446433802558639</v>
      </c>
      <c r="L18" s="200">
        <f t="shared" si="5"/>
        <v>-4.8954627724712374</v>
      </c>
      <c r="M18" s="200">
        <f t="shared" si="5"/>
        <v>4.1999018196884563</v>
      </c>
      <c r="N18" s="200"/>
      <c r="O18" s="200">
        <f t="shared" si="5"/>
        <v>-3.2000433715023813</v>
      </c>
      <c r="P18" s="200">
        <f t="shared" si="5"/>
        <v>-9.3778380269734836</v>
      </c>
      <c r="Q18" s="200">
        <f t="shared" si="5"/>
        <v>15.545251204086895</v>
      </c>
    </row>
    <row r="19" spans="1:17">
      <c r="A19" s="5" t="s">
        <v>590</v>
      </c>
      <c r="B19" s="245">
        <f>100*((B8/B6)^(1/13)-1)</f>
        <v>3.9168587306939395</v>
      </c>
      <c r="C19" s="245"/>
      <c r="D19" s="245"/>
      <c r="E19" s="245"/>
      <c r="F19" s="245"/>
      <c r="G19" s="245"/>
      <c r="H19" s="245"/>
      <c r="I19" s="245"/>
      <c r="J19" s="245"/>
      <c r="K19" s="245"/>
      <c r="L19" s="245"/>
      <c r="M19" s="245"/>
      <c r="N19" s="245"/>
      <c r="O19" s="245"/>
      <c r="P19" s="245"/>
      <c r="Q19" s="245"/>
    </row>
    <row r="21" spans="1:17">
      <c r="A21" s="5" t="s">
        <v>464</v>
      </c>
    </row>
    <row r="24" spans="1:17">
      <c r="A24" s="5" t="s">
        <v>153</v>
      </c>
    </row>
    <row r="25" spans="1:17">
      <c r="A25" s="5">
        <v>1</v>
      </c>
      <c r="B25" s="5" t="s">
        <v>465</v>
      </c>
    </row>
    <row r="28" spans="1:17">
      <c r="A28" s="5" t="s">
        <v>466</v>
      </c>
    </row>
    <row r="31" spans="1:17">
      <c r="A31" s="5" t="s">
        <v>502</v>
      </c>
    </row>
    <row r="33" spans="1:3" ht="34">
      <c r="A33" s="150" t="s">
        <v>95</v>
      </c>
      <c r="B33" s="148" t="s">
        <v>43</v>
      </c>
      <c r="C33" s="148" t="s">
        <v>44</v>
      </c>
    </row>
    <row r="34" spans="1:3">
      <c r="A34" s="5" t="s">
        <v>498</v>
      </c>
      <c r="B34" s="149">
        <v>3.9131131800602681</v>
      </c>
      <c r="C34" s="149">
        <v>2.2435806641316614</v>
      </c>
    </row>
    <row r="35" spans="1:3">
      <c r="A35" s="5" t="s">
        <v>499</v>
      </c>
      <c r="B35" s="149">
        <v>3.5367232631730472</v>
      </c>
      <c r="C35" s="149">
        <v>1.7472100045123229</v>
      </c>
    </row>
    <row r="36" spans="1:3">
      <c r="A36" s="5" t="s">
        <v>500</v>
      </c>
      <c r="B36" s="149">
        <v>5.3924122748020054</v>
      </c>
      <c r="C36" s="149">
        <v>5.8133439565289713</v>
      </c>
    </row>
    <row r="37" spans="1:3">
      <c r="A37" s="5" t="s">
        <v>501</v>
      </c>
      <c r="B37" s="149">
        <v>2.7737428695885358</v>
      </c>
      <c r="C37" s="149">
        <v>-0.79278266312557966</v>
      </c>
    </row>
  </sheetData>
  <mergeCells count="6">
    <mergeCell ref="O4:Q4"/>
    <mergeCell ref="B4:D4"/>
    <mergeCell ref="E4:G4"/>
    <mergeCell ref="H4:I4"/>
    <mergeCell ref="J4:K4"/>
    <mergeCell ref="L4:N4"/>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46D1-56CE-994E-872D-802C944014B1}">
  <sheetPr codeName="Sheet88"/>
  <dimension ref="A1:Q26"/>
  <sheetViews>
    <sheetView workbookViewId="0"/>
  </sheetViews>
  <sheetFormatPr baseColWidth="10" defaultColWidth="10.83203125" defaultRowHeight="16"/>
  <cols>
    <col min="1" max="1" width="23.1640625" style="5" customWidth="1"/>
    <col min="2" max="16384" width="10.83203125" style="5"/>
  </cols>
  <sheetData>
    <row r="1" spans="1:17">
      <c r="A1" s="19" t="s">
        <v>710</v>
      </c>
    </row>
    <row r="2" spans="1:17">
      <c r="A2" s="5" t="s">
        <v>3</v>
      </c>
    </row>
    <row r="4" spans="1:17">
      <c r="B4" s="338" t="s">
        <v>360</v>
      </c>
      <c r="C4" s="338"/>
      <c r="D4" s="338"/>
      <c r="E4" s="338" t="s">
        <v>456</v>
      </c>
      <c r="F4" s="338"/>
      <c r="G4" s="338"/>
      <c r="H4" s="338" t="s">
        <v>457</v>
      </c>
      <c r="I4" s="338"/>
      <c r="J4" s="338" t="s">
        <v>458</v>
      </c>
      <c r="K4" s="338"/>
      <c r="L4" s="338" t="s">
        <v>459</v>
      </c>
      <c r="M4" s="338"/>
      <c r="N4" s="338"/>
      <c r="O4" s="338" t="s">
        <v>363</v>
      </c>
      <c r="P4" s="338"/>
      <c r="Q4" s="338"/>
    </row>
    <row r="5" spans="1:17" ht="102">
      <c r="B5" s="137" t="s">
        <v>81</v>
      </c>
      <c r="C5" s="137" t="s">
        <v>77</v>
      </c>
      <c r="D5" s="137" t="s">
        <v>78</v>
      </c>
      <c r="E5" s="137" t="s">
        <v>81</v>
      </c>
      <c r="F5" s="137" t="s">
        <v>77</v>
      </c>
      <c r="G5" s="137" t="s">
        <v>78</v>
      </c>
      <c r="H5" s="137" t="s">
        <v>81</v>
      </c>
      <c r="I5" s="137" t="s">
        <v>77</v>
      </c>
      <c r="J5" s="137" t="s">
        <v>81</v>
      </c>
      <c r="K5" s="137" t="s">
        <v>77</v>
      </c>
      <c r="L5" s="137" t="s">
        <v>81</v>
      </c>
      <c r="M5" s="137" t="s">
        <v>77</v>
      </c>
      <c r="N5" s="137" t="s">
        <v>78</v>
      </c>
      <c r="O5" s="137" t="s">
        <v>81</v>
      </c>
      <c r="P5" s="137" t="s">
        <v>77</v>
      </c>
      <c r="Q5" s="137" t="s">
        <v>78</v>
      </c>
    </row>
    <row r="6" spans="1:17">
      <c r="A6" s="5">
        <v>1999</v>
      </c>
      <c r="B6" s="8">
        <v>77.531025473546705</v>
      </c>
      <c r="C6" s="8">
        <v>68.189884649511981</v>
      </c>
      <c r="D6" s="8">
        <v>94.82352941176471</v>
      </c>
      <c r="E6" s="8">
        <v>106.92307692307692</v>
      </c>
      <c r="F6" s="8">
        <v>80.319999999999993</v>
      </c>
      <c r="G6" s="8">
        <v>97.260273972602747</v>
      </c>
      <c r="H6" s="8">
        <v>81.003584229390682</v>
      </c>
      <c r="I6" s="8">
        <v>68.179207352096498</v>
      </c>
      <c r="J6" s="8">
        <v>78.005865102639291</v>
      </c>
      <c r="K6" s="8">
        <v>70.369276218611517</v>
      </c>
      <c r="L6" s="8">
        <v>65.563415866599286</v>
      </c>
      <c r="M6" s="8">
        <v>77.322780454232628</v>
      </c>
      <c r="N6" s="8">
        <v>13.531669865642995</v>
      </c>
      <c r="O6" s="8">
        <v>70.380165289256198</v>
      </c>
      <c r="P6" s="8">
        <v>58.990825688073393</v>
      </c>
      <c r="Q6" s="8">
        <v>86.428165814877914</v>
      </c>
    </row>
    <row r="7" spans="1:17">
      <c r="A7" s="5">
        <v>2005</v>
      </c>
      <c r="B7" s="8">
        <v>69.830328738069994</v>
      </c>
      <c r="C7" s="8">
        <v>48.344144759303518</v>
      </c>
      <c r="D7" s="8">
        <v>0.68027210884353739</v>
      </c>
      <c r="E7" s="8">
        <v>1.2605042016806722</v>
      </c>
      <c r="F7" s="135" t="s">
        <v>87</v>
      </c>
      <c r="G7" s="135" t="s">
        <v>87</v>
      </c>
      <c r="H7" s="8">
        <v>55.084253341080768</v>
      </c>
      <c r="I7" s="8">
        <v>52.901597981497055</v>
      </c>
      <c r="J7" s="8">
        <v>48.032564450474901</v>
      </c>
      <c r="K7" s="8">
        <v>36.030534351145036</v>
      </c>
      <c r="L7" s="8">
        <v>67.748165314793354</v>
      </c>
      <c r="M7" s="8">
        <v>58.671124111993315</v>
      </c>
      <c r="N7" s="135" t="s">
        <v>87</v>
      </c>
      <c r="O7" s="8">
        <v>60.731897222943161</v>
      </c>
      <c r="P7" s="135" t="s">
        <v>87</v>
      </c>
      <c r="Q7" s="135" t="s">
        <v>87</v>
      </c>
    </row>
    <row r="8" spans="1:17">
      <c r="A8" s="5">
        <v>2012</v>
      </c>
      <c r="B8" s="8">
        <v>71.806167400881051</v>
      </c>
      <c r="C8" s="8">
        <v>61.942749882684183</v>
      </c>
      <c r="D8" s="8">
        <v>140.32846715328466</v>
      </c>
      <c r="E8" s="8">
        <v>107.80141843971631</v>
      </c>
      <c r="F8" s="8">
        <v>54.161915621436719</v>
      </c>
      <c r="G8" s="135" t="s">
        <v>87</v>
      </c>
      <c r="H8" s="8">
        <v>96.174595389897007</v>
      </c>
      <c r="I8" s="8">
        <v>81.516056758775207</v>
      </c>
      <c r="J8" s="8">
        <v>73.864711447492908</v>
      </c>
      <c r="K8" s="8">
        <v>55.510131532172061</v>
      </c>
      <c r="L8" s="8">
        <v>77.57840013416066</v>
      </c>
      <c r="M8" s="8">
        <v>71.109261681131855</v>
      </c>
      <c r="N8" s="8">
        <v>71.759959657085219</v>
      </c>
      <c r="O8" s="8">
        <v>48.135198135198138</v>
      </c>
      <c r="P8" s="8">
        <v>63.062319438712343</v>
      </c>
      <c r="Q8" s="8">
        <v>46.198617679156058</v>
      </c>
    </row>
    <row r="9" spans="1:17">
      <c r="A9" s="5">
        <v>2016</v>
      </c>
      <c r="B9" s="8">
        <v>53.695999999999998</v>
      </c>
      <c r="C9" s="8">
        <v>43.361609784967449</v>
      </c>
      <c r="D9" s="8">
        <v>85.556915544675647</v>
      </c>
      <c r="E9" s="8">
        <v>49.462365591397848</v>
      </c>
      <c r="F9" s="8">
        <v>27.896613190730839</v>
      </c>
      <c r="G9" s="135" t="s">
        <v>87</v>
      </c>
      <c r="H9" s="8">
        <v>40.58469475494411</v>
      </c>
      <c r="I9" s="8">
        <v>31.634330812232818</v>
      </c>
      <c r="J9" s="8">
        <v>76.512999781516271</v>
      </c>
      <c r="K9" s="8">
        <v>67.647965474722568</v>
      </c>
      <c r="L9" s="8">
        <v>45.995487873660466</v>
      </c>
      <c r="M9" s="8">
        <v>50.071942446043167</v>
      </c>
      <c r="N9" s="135" t="s">
        <v>87</v>
      </c>
      <c r="O9" s="8">
        <v>48.511959101698011</v>
      </c>
      <c r="P9" s="8">
        <v>54.096534653465348</v>
      </c>
      <c r="Q9" s="8">
        <v>31.595092024539877</v>
      </c>
    </row>
    <row r="10" spans="1:17">
      <c r="A10" s="5">
        <v>2019</v>
      </c>
      <c r="B10" s="8">
        <v>56.077599272506824</v>
      </c>
      <c r="C10" s="8">
        <v>51.419129082426124</v>
      </c>
      <c r="D10" s="8">
        <v>62.431444241316271</v>
      </c>
      <c r="E10" s="8">
        <v>111.68032786885246</v>
      </c>
      <c r="F10" s="8">
        <v>60.779436152570483</v>
      </c>
      <c r="G10" s="135" t="s">
        <v>87</v>
      </c>
      <c r="H10" s="8">
        <v>71.160409556313994</v>
      </c>
      <c r="I10" s="8">
        <v>67.786259541984734</v>
      </c>
      <c r="J10" s="8">
        <v>78.449433889848393</v>
      </c>
      <c r="K10" s="8">
        <v>73.945738720141549</v>
      </c>
      <c r="L10" s="8">
        <v>40.666666666666664</v>
      </c>
      <c r="M10" s="8">
        <v>59.796051204165764</v>
      </c>
      <c r="N10" s="135" t="s">
        <v>87</v>
      </c>
      <c r="O10" s="8">
        <v>44.366715758468338</v>
      </c>
      <c r="P10" s="8">
        <v>38.684742537757167</v>
      </c>
      <c r="Q10" s="8">
        <v>44.368600682593858</v>
      </c>
    </row>
    <row r="13" spans="1:17">
      <c r="A13" s="5" t="s">
        <v>467</v>
      </c>
      <c r="B13" s="143">
        <f>B10-B6</f>
        <v>-21.453426201039882</v>
      </c>
      <c r="C13" s="143">
        <f t="shared" ref="C13:Q13" si="0">C10-C6</f>
        <v>-16.770755567085857</v>
      </c>
      <c r="D13" s="143">
        <f t="shared" si="0"/>
        <v>-32.392085170448439</v>
      </c>
      <c r="E13" s="143">
        <f t="shared" si="0"/>
        <v>4.7572509457755388</v>
      </c>
      <c r="F13" s="143">
        <f t="shared" si="0"/>
        <v>-19.54056384742951</v>
      </c>
      <c r="G13" s="143" t="s">
        <v>87</v>
      </c>
      <c r="H13" s="143">
        <f t="shared" si="0"/>
        <v>-9.8431746730766889</v>
      </c>
      <c r="I13" s="143">
        <f t="shared" si="0"/>
        <v>-0.39294781011176383</v>
      </c>
      <c r="J13" s="143">
        <f t="shared" si="0"/>
        <v>0.44356878720910231</v>
      </c>
      <c r="K13" s="143">
        <f t="shared" si="0"/>
        <v>3.5764625015300311</v>
      </c>
      <c r="L13" s="143">
        <f t="shared" si="0"/>
        <v>-24.896749199932621</v>
      </c>
      <c r="M13" s="143">
        <f t="shared" si="0"/>
        <v>-17.526729250066865</v>
      </c>
      <c r="N13" s="23">
        <f>N8-N6</f>
        <v>58.228289791442222</v>
      </c>
      <c r="O13" s="143">
        <f t="shared" si="0"/>
        <v>-26.013449530787859</v>
      </c>
      <c r="P13" s="143">
        <f t="shared" si="0"/>
        <v>-20.306083150316226</v>
      </c>
      <c r="Q13" s="143">
        <f t="shared" si="0"/>
        <v>-42.059565132284057</v>
      </c>
    </row>
    <row r="14" spans="1:17">
      <c r="A14" s="5" t="s">
        <v>449</v>
      </c>
      <c r="B14" s="143">
        <f>B7-B6</f>
        <v>-7.7006967354767113</v>
      </c>
      <c r="C14" s="143">
        <f t="shared" ref="C14:O15" si="1">C7-C6</f>
        <v>-19.845739890208463</v>
      </c>
      <c r="D14" s="143">
        <f t="shared" si="1"/>
        <v>-94.143257302921171</v>
      </c>
      <c r="E14" s="143">
        <f t="shared" si="1"/>
        <v>-105.66257272139624</v>
      </c>
      <c r="F14" s="143" t="s">
        <v>87</v>
      </c>
      <c r="G14" s="143" t="s">
        <v>87</v>
      </c>
      <c r="H14" s="143">
        <f t="shared" si="1"/>
        <v>-25.919330888309915</v>
      </c>
      <c r="I14" s="143">
        <f t="shared" si="1"/>
        <v>-15.277609370599443</v>
      </c>
      <c r="J14" s="143">
        <f t="shared" si="1"/>
        <v>-29.97330065216439</v>
      </c>
      <c r="K14" s="143">
        <f t="shared" si="1"/>
        <v>-34.338741867466481</v>
      </c>
      <c r="L14" s="143">
        <f t="shared" si="1"/>
        <v>2.1847494481940686</v>
      </c>
      <c r="M14" s="143">
        <f t="shared" si="1"/>
        <v>-18.651656342239313</v>
      </c>
      <c r="N14" s="143" t="s">
        <v>87</v>
      </c>
      <c r="O14" s="143">
        <f t="shared" si="1"/>
        <v>-9.6482680663130367</v>
      </c>
      <c r="P14" s="143" t="s">
        <v>87</v>
      </c>
      <c r="Q14" s="143" t="s">
        <v>87</v>
      </c>
    </row>
    <row r="15" spans="1:17">
      <c r="A15" s="5" t="s">
        <v>450</v>
      </c>
      <c r="B15" s="143">
        <f>B8-B7</f>
        <v>1.9758386628110571</v>
      </c>
      <c r="C15" s="143">
        <f t="shared" si="1"/>
        <v>13.598605123380665</v>
      </c>
      <c r="D15" s="143">
        <f t="shared" si="1"/>
        <v>139.64819504444114</v>
      </c>
      <c r="E15" s="143">
        <f t="shared" si="1"/>
        <v>106.54091423803564</v>
      </c>
      <c r="F15" s="143" t="s">
        <v>87</v>
      </c>
      <c r="G15" s="143" t="s">
        <v>87</v>
      </c>
      <c r="H15" s="143">
        <f t="shared" si="1"/>
        <v>41.09034204881624</v>
      </c>
      <c r="I15" s="143">
        <f t="shared" si="1"/>
        <v>28.614458777278152</v>
      </c>
      <c r="J15" s="143">
        <f t="shared" si="1"/>
        <v>25.832146997018008</v>
      </c>
      <c r="K15" s="143">
        <f t="shared" si="1"/>
        <v>19.479597181027025</v>
      </c>
      <c r="L15" s="143">
        <f t="shared" si="1"/>
        <v>9.8302348193673055</v>
      </c>
      <c r="M15" s="143">
        <f t="shared" si="1"/>
        <v>12.43813756913854</v>
      </c>
      <c r="N15" s="143" t="s">
        <v>87</v>
      </c>
      <c r="O15" s="143">
        <f t="shared" si="1"/>
        <v>-12.596699087745023</v>
      </c>
      <c r="P15" s="143" t="s">
        <v>87</v>
      </c>
      <c r="Q15" s="143" t="s">
        <v>87</v>
      </c>
    </row>
    <row r="16" spans="1:17">
      <c r="A16" s="5" t="s">
        <v>451</v>
      </c>
      <c r="B16" s="143">
        <f>B10-B8</f>
        <v>-15.728568128374228</v>
      </c>
      <c r="C16" s="143">
        <f t="shared" ref="C16:Q16" si="2">C10-C8</f>
        <v>-10.523620800258058</v>
      </c>
      <c r="D16" s="143">
        <f t="shared" si="2"/>
        <v>-77.897022911968392</v>
      </c>
      <c r="E16" s="143">
        <f t="shared" si="2"/>
        <v>3.8789094291361437</v>
      </c>
      <c r="F16" s="143">
        <f t="shared" si="2"/>
        <v>6.6175205311337635</v>
      </c>
      <c r="G16" s="143" t="s">
        <v>87</v>
      </c>
      <c r="H16" s="143">
        <f t="shared" si="2"/>
        <v>-25.014185833583014</v>
      </c>
      <c r="I16" s="143">
        <f t="shared" si="2"/>
        <v>-13.729797216790473</v>
      </c>
      <c r="J16" s="143">
        <f t="shared" si="2"/>
        <v>4.5847224423554849</v>
      </c>
      <c r="K16" s="143">
        <f t="shared" si="2"/>
        <v>18.435607187969488</v>
      </c>
      <c r="L16" s="143">
        <f t="shared" si="2"/>
        <v>-36.911733467493995</v>
      </c>
      <c r="M16" s="143">
        <f t="shared" si="2"/>
        <v>-11.313210476966091</v>
      </c>
      <c r="N16" s="143" t="s">
        <v>87</v>
      </c>
      <c r="O16" s="143">
        <f t="shared" si="2"/>
        <v>-3.7684823767297999</v>
      </c>
      <c r="P16" s="143">
        <f t="shared" si="2"/>
        <v>-24.377576900955177</v>
      </c>
      <c r="Q16" s="143">
        <f t="shared" si="2"/>
        <v>-1.8300169965622004</v>
      </c>
    </row>
    <row r="19" spans="1:2">
      <c r="A19" s="6" t="s">
        <v>468</v>
      </c>
    </row>
    <row r="22" spans="1:2">
      <c r="A22" s="5" t="s">
        <v>153</v>
      </c>
    </row>
    <row r="23" spans="1:2">
      <c r="A23" s="5">
        <v>1</v>
      </c>
      <c r="B23" s="5" t="s">
        <v>465</v>
      </c>
    </row>
    <row r="26" spans="1:2">
      <c r="A26" s="5" t="s">
        <v>706</v>
      </c>
    </row>
  </sheetData>
  <mergeCells count="6">
    <mergeCell ref="O4:Q4"/>
    <mergeCell ref="B4:D4"/>
    <mergeCell ref="E4:G4"/>
    <mergeCell ref="H4:I4"/>
    <mergeCell ref="J4:K4"/>
    <mergeCell ref="L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93544-3D3E-9A4E-9774-08D9AD53F972}">
  <sheetPr codeName="Sheet8"/>
  <dimension ref="A1:R115"/>
  <sheetViews>
    <sheetView zoomScale="85" zoomScaleNormal="44" workbookViewId="0"/>
  </sheetViews>
  <sheetFormatPr baseColWidth="10" defaultColWidth="11" defaultRowHeight="16"/>
  <cols>
    <col min="1" max="1" width="16.6640625" style="5" customWidth="1"/>
    <col min="2" max="2" width="21.5" style="5" customWidth="1"/>
    <col min="3" max="3" width="21.33203125" style="5" customWidth="1"/>
    <col min="4" max="6" width="21.5" style="5" customWidth="1"/>
    <col min="7" max="9" width="21.6640625" style="5" customWidth="1"/>
    <col min="10" max="10" width="21.83203125" style="5" customWidth="1"/>
    <col min="11" max="11" width="21.1640625" style="5" customWidth="1"/>
    <col min="12" max="14" width="11" style="5"/>
    <col min="15" max="15" width="15.6640625" style="5" customWidth="1"/>
    <col min="16" max="17" width="11" style="5"/>
    <col min="18" max="18" width="17.1640625" style="5" customWidth="1"/>
    <col min="19" max="16384" width="11" style="5"/>
  </cols>
  <sheetData>
    <row r="1" spans="1:11">
      <c r="A1" s="19" t="s">
        <v>611</v>
      </c>
    </row>
    <row r="3" spans="1:11">
      <c r="B3" s="328" t="s">
        <v>61</v>
      </c>
      <c r="C3" s="328"/>
      <c r="D3" s="328"/>
      <c r="E3" s="328"/>
      <c r="F3" s="57"/>
      <c r="G3" s="328" t="s">
        <v>62</v>
      </c>
      <c r="H3" s="328"/>
      <c r="I3" s="328"/>
      <c r="J3" s="328"/>
    </row>
    <row r="4" spans="1:11" ht="47" customHeight="1">
      <c r="B4" s="137" t="s">
        <v>63</v>
      </c>
      <c r="C4" s="137" t="s">
        <v>64</v>
      </c>
      <c r="D4" s="137" t="s">
        <v>65</v>
      </c>
      <c r="E4" s="137" t="s">
        <v>66</v>
      </c>
      <c r="F4" s="137" t="s">
        <v>65</v>
      </c>
      <c r="G4" s="137" t="s">
        <v>63</v>
      </c>
      <c r="H4" s="137" t="s">
        <v>64</v>
      </c>
      <c r="I4" s="137" t="s">
        <v>65</v>
      </c>
      <c r="J4" s="137" t="s">
        <v>66</v>
      </c>
      <c r="K4" s="137" t="s">
        <v>65</v>
      </c>
    </row>
    <row r="5" spans="1:11">
      <c r="A5" s="5">
        <v>1976</v>
      </c>
      <c r="B5" s="135">
        <v>679</v>
      </c>
      <c r="C5" s="135">
        <v>635</v>
      </c>
      <c r="D5" s="8">
        <f t="shared" ref="D5:D48" si="0">(C5/B5)*100</f>
        <v>93.519882179675989</v>
      </c>
      <c r="E5" s="135">
        <v>44</v>
      </c>
      <c r="F5" s="8">
        <f t="shared" ref="F5:F48" si="1">(E5/B5)*100</f>
        <v>6.4801178203240068</v>
      </c>
      <c r="G5" s="135">
        <v>213</v>
      </c>
      <c r="H5" s="135">
        <v>169</v>
      </c>
      <c r="I5" s="8">
        <f t="shared" ref="I5:I48" si="2">(H5/G5)*100</f>
        <v>79.342723004694832</v>
      </c>
      <c r="J5" s="135">
        <v>44</v>
      </c>
      <c r="K5" s="8">
        <f t="shared" ref="K5:K48" si="3">(J5/G5)*100</f>
        <v>20.657276995305164</v>
      </c>
    </row>
    <row r="6" spans="1:11">
      <c r="A6" s="5">
        <v>1977</v>
      </c>
      <c r="B6" s="135">
        <v>683</v>
      </c>
      <c r="C6" s="135">
        <v>638</v>
      </c>
      <c r="D6" s="8">
        <f t="shared" si="0"/>
        <v>93.411420204978029</v>
      </c>
      <c r="E6" s="135">
        <v>46</v>
      </c>
      <c r="F6" s="8">
        <f t="shared" si="1"/>
        <v>6.7349926793557833</v>
      </c>
      <c r="G6" s="135">
        <v>218</v>
      </c>
      <c r="H6" s="135">
        <v>173</v>
      </c>
      <c r="I6" s="8">
        <f t="shared" si="2"/>
        <v>79.357798165137609</v>
      </c>
      <c r="J6" s="135">
        <v>46</v>
      </c>
      <c r="K6" s="8">
        <f t="shared" si="3"/>
        <v>21.100917431192663</v>
      </c>
    </row>
    <row r="7" spans="1:11">
      <c r="A7" s="5">
        <v>1978</v>
      </c>
      <c r="B7" s="135">
        <v>686</v>
      </c>
      <c r="C7" s="135">
        <v>639</v>
      </c>
      <c r="D7" s="8">
        <f t="shared" si="0"/>
        <v>93.148688046647237</v>
      </c>
      <c r="E7" s="135">
        <v>47</v>
      </c>
      <c r="F7" s="8">
        <f t="shared" si="1"/>
        <v>6.8513119533527691</v>
      </c>
      <c r="G7" s="135">
        <v>222</v>
      </c>
      <c r="H7" s="135">
        <v>175</v>
      </c>
      <c r="I7" s="8">
        <f t="shared" si="2"/>
        <v>78.828828828828833</v>
      </c>
      <c r="J7" s="135">
        <v>47</v>
      </c>
      <c r="K7" s="8">
        <f t="shared" si="3"/>
        <v>21.171171171171171</v>
      </c>
    </row>
    <row r="8" spans="1:11">
      <c r="A8" s="5">
        <v>1979</v>
      </c>
      <c r="B8" s="135">
        <v>689</v>
      </c>
      <c r="C8" s="135">
        <v>640</v>
      </c>
      <c r="D8" s="8">
        <f t="shared" si="0"/>
        <v>92.888243831640054</v>
      </c>
      <c r="E8" s="135">
        <v>49</v>
      </c>
      <c r="F8" s="8">
        <f t="shared" si="1"/>
        <v>7.1117561683599426</v>
      </c>
      <c r="G8" s="135">
        <v>226</v>
      </c>
      <c r="H8" s="135">
        <v>177</v>
      </c>
      <c r="I8" s="8">
        <f t="shared" si="2"/>
        <v>78.318584070796462</v>
      </c>
      <c r="J8" s="135">
        <v>49</v>
      </c>
      <c r="K8" s="8">
        <f t="shared" si="3"/>
        <v>21.681415929203538</v>
      </c>
    </row>
    <row r="9" spans="1:11">
      <c r="A9" s="5">
        <v>1980</v>
      </c>
      <c r="B9" s="135">
        <v>690</v>
      </c>
      <c r="C9" s="135">
        <v>639</v>
      </c>
      <c r="D9" s="8">
        <f t="shared" si="0"/>
        <v>92.608695652173907</v>
      </c>
      <c r="E9" s="135">
        <v>50</v>
      </c>
      <c r="F9" s="8">
        <f t="shared" si="1"/>
        <v>7.2463768115942031</v>
      </c>
      <c r="G9" s="135">
        <v>230</v>
      </c>
      <c r="H9" s="135">
        <v>180</v>
      </c>
      <c r="I9" s="8">
        <f t="shared" si="2"/>
        <v>78.260869565217391</v>
      </c>
      <c r="J9" s="135">
        <v>50</v>
      </c>
      <c r="K9" s="8">
        <f t="shared" si="3"/>
        <v>21.739130434782609</v>
      </c>
    </row>
    <row r="10" spans="1:11">
      <c r="A10" s="5">
        <v>1981</v>
      </c>
      <c r="B10" s="135">
        <v>689</v>
      </c>
      <c r="C10" s="135">
        <v>637</v>
      </c>
      <c r="D10" s="8">
        <f t="shared" si="0"/>
        <v>92.452830188679243</v>
      </c>
      <c r="E10" s="135">
        <v>52</v>
      </c>
      <c r="F10" s="8">
        <f t="shared" si="1"/>
        <v>7.5471698113207548</v>
      </c>
      <c r="G10" s="135">
        <v>234</v>
      </c>
      <c r="H10" s="135">
        <v>182</v>
      </c>
      <c r="I10" s="8">
        <f t="shared" si="2"/>
        <v>77.777777777777786</v>
      </c>
      <c r="J10" s="135">
        <v>52</v>
      </c>
      <c r="K10" s="8">
        <f t="shared" si="3"/>
        <v>22.222222222222221</v>
      </c>
    </row>
    <row r="11" spans="1:11">
      <c r="A11" s="5">
        <v>1982</v>
      </c>
      <c r="B11" s="135">
        <v>695</v>
      </c>
      <c r="C11" s="135">
        <v>641</v>
      </c>
      <c r="D11" s="8">
        <f t="shared" si="0"/>
        <v>92.230215827338128</v>
      </c>
      <c r="E11" s="135">
        <v>54</v>
      </c>
      <c r="F11" s="8">
        <f t="shared" si="1"/>
        <v>7.7697841726618702</v>
      </c>
      <c r="G11" s="135">
        <v>239</v>
      </c>
      <c r="H11" s="135">
        <v>186</v>
      </c>
      <c r="I11" s="8">
        <f t="shared" si="2"/>
        <v>77.824267782426787</v>
      </c>
      <c r="J11" s="135">
        <v>54</v>
      </c>
      <c r="K11" s="8">
        <f t="shared" si="3"/>
        <v>22.594142259414227</v>
      </c>
    </row>
    <row r="12" spans="1:11">
      <c r="A12" s="5">
        <v>1983</v>
      </c>
      <c r="B12" s="135">
        <v>702</v>
      </c>
      <c r="C12" s="135">
        <v>646</v>
      </c>
      <c r="D12" s="8">
        <f t="shared" si="0"/>
        <v>92.022792022792018</v>
      </c>
      <c r="E12" s="135">
        <v>55</v>
      </c>
      <c r="F12" s="8">
        <f t="shared" si="1"/>
        <v>7.8347578347578342</v>
      </c>
      <c r="G12" s="135">
        <v>246</v>
      </c>
      <c r="H12" s="135">
        <v>190</v>
      </c>
      <c r="I12" s="8">
        <f t="shared" si="2"/>
        <v>77.235772357723576</v>
      </c>
      <c r="J12" s="135">
        <v>55</v>
      </c>
      <c r="K12" s="8">
        <f t="shared" si="3"/>
        <v>22.35772357723577</v>
      </c>
    </row>
    <row r="13" spans="1:11">
      <c r="A13" s="5">
        <v>1984</v>
      </c>
      <c r="B13" s="135">
        <v>706</v>
      </c>
      <c r="C13" s="135">
        <v>649</v>
      </c>
      <c r="D13" s="8">
        <f t="shared" si="0"/>
        <v>91.926345609065152</v>
      </c>
      <c r="E13" s="135">
        <v>57</v>
      </c>
      <c r="F13" s="8">
        <f t="shared" si="1"/>
        <v>8.0736543909348431</v>
      </c>
      <c r="G13" s="135">
        <v>248</v>
      </c>
      <c r="H13" s="135">
        <v>191</v>
      </c>
      <c r="I13" s="8">
        <f t="shared" si="2"/>
        <v>77.016129032258064</v>
      </c>
      <c r="J13" s="135">
        <v>57</v>
      </c>
      <c r="K13" s="8">
        <f t="shared" si="3"/>
        <v>22.983870967741936</v>
      </c>
    </row>
    <row r="14" spans="1:11">
      <c r="A14" s="5">
        <v>1985</v>
      </c>
      <c r="B14" s="135">
        <v>708</v>
      </c>
      <c r="C14" s="135">
        <v>649</v>
      </c>
      <c r="D14" s="8">
        <f t="shared" si="0"/>
        <v>91.666666666666657</v>
      </c>
      <c r="E14" s="135">
        <v>59</v>
      </c>
      <c r="F14" s="8">
        <f t="shared" si="1"/>
        <v>8.3333333333333321</v>
      </c>
      <c r="G14" s="135">
        <v>252</v>
      </c>
      <c r="H14" s="135">
        <v>193</v>
      </c>
      <c r="I14" s="8">
        <f t="shared" si="2"/>
        <v>76.587301587301596</v>
      </c>
      <c r="J14" s="135">
        <v>59</v>
      </c>
      <c r="K14" s="8">
        <f t="shared" si="3"/>
        <v>23.412698412698411</v>
      </c>
    </row>
    <row r="15" spans="1:11">
      <c r="A15" s="5">
        <v>1986</v>
      </c>
      <c r="B15" s="135">
        <v>709</v>
      </c>
      <c r="C15" s="135">
        <v>648</v>
      </c>
      <c r="D15" s="8">
        <f t="shared" si="0"/>
        <v>91.396332863187595</v>
      </c>
      <c r="E15" s="135">
        <v>61</v>
      </c>
      <c r="F15" s="8">
        <f t="shared" si="1"/>
        <v>8.6036671368124118</v>
      </c>
      <c r="G15" s="135">
        <v>256</v>
      </c>
      <c r="H15" s="135">
        <v>195</v>
      </c>
      <c r="I15" s="8">
        <f t="shared" si="2"/>
        <v>76.171875</v>
      </c>
      <c r="J15" s="135">
        <v>61</v>
      </c>
      <c r="K15" s="8">
        <f t="shared" si="3"/>
        <v>23.828125</v>
      </c>
    </row>
    <row r="16" spans="1:11">
      <c r="A16" s="5">
        <v>1987</v>
      </c>
      <c r="B16" s="135">
        <v>711</v>
      </c>
      <c r="C16" s="135">
        <v>648</v>
      </c>
      <c r="D16" s="8">
        <f t="shared" si="0"/>
        <v>91.139240506329116</v>
      </c>
      <c r="E16" s="135">
        <v>63</v>
      </c>
      <c r="F16" s="8">
        <f t="shared" si="1"/>
        <v>8.8607594936708853</v>
      </c>
      <c r="G16" s="135">
        <v>260</v>
      </c>
      <c r="H16" s="135">
        <v>196</v>
      </c>
      <c r="I16" s="8">
        <f t="shared" si="2"/>
        <v>75.384615384615387</v>
      </c>
      <c r="J16" s="135">
        <v>63</v>
      </c>
      <c r="K16" s="8">
        <f t="shared" si="3"/>
        <v>24.23076923076923</v>
      </c>
    </row>
    <row r="17" spans="1:11">
      <c r="A17" s="5">
        <v>1988</v>
      </c>
      <c r="B17" s="135">
        <v>715</v>
      </c>
      <c r="C17" s="135">
        <v>649</v>
      </c>
      <c r="D17" s="8">
        <f t="shared" si="0"/>
        <v>90.769230769230774</v>
      </c>
      <c r="E17" s="135">
        <v>66</v>
      </c>
      <c r="F17" s="8">
        <f t="shared" si="1"/>
        <v>9.2307692307692317</v>
      </c>
      <c r="G17" s="135">
        <v>266</v>
      </c>
      <c r="H17" s="135">
        <v>200</v>
      </c>
      <c r="I17" s="8">
        <f t="shared" si="2"/>
        <v>75.187969924812023</v>
      </c>
      <c r="J17" s="135">
        <v>66</v>
      </c>
      <c r="K17" s="8">
        <f t="shared" si="3"/>
        <v>24.81203007518797</v>
      </c>
    </row>
    <row r="18" spans="1:11">
      <c r="A18" s="5">
        <v>1989</v>
      </c>
      <c r="B18" s="135">
        <v>720</v>
      </c>
      <c r="C18" s="135">
        <v>651</v>
      </c>
      <c r="D18" s="8">
        <f t="shared" si="0"/>
        <v>90.416666666666671</v>
      </c>
      <c r="E18" s="135">
        <v>69</v>
      </c>
      <c r="F18" s="8">
        <f t="shared" si="1"/>
        <v>9.5833333333333339</v>
      </c>
      <c r="G18" s="135">
        <v>270</v>
      </c>
      <c r="H18" s="135">
        <v>201</v>
      </c>
      <c r="I18" s="8">
        <f t="shared" si="2"/>
        <v>74.444444444444443</v>
      </c>
      <c r="J18" s="135">
        <v>69</v>
      </c>
      <c r="K18" s="8">
        <f t="shared" si="3"/>
        <v>25.555555555555554</v>
      </c>
    </row>
    <row r="19" spans="1:11">
      <c r="A19" s="5">
        <v>1990</v>
      </c>
      <c r="B19" s="135">
        <v>726</v>
      </c>
      <c r="C19" s="135">
        <v>654</v>
      </c>
      <c r="D19" s="8">
        <f t="shared" si="0"/>
        <v>90.082644628099175</v>
      </c>
      <c r="E19" s="135">
        <v>72</v>
      </c>
      <c r="F19" s="8">
        <f t="shared" si="1"/>
        <v>9.9173553719008272</v>
      </c>
      <c r="G19" s="135">
        <v>277</v>
      </c>
      <c r="H19" s="135">
        <v>206</v>
      </c>
      <c r="I19" s="8">
        <f t="shared" si="2"/>
        <v>74.368231046931413</v>
      </c>
      <c r="J19" s="135">
        <v>72</v>
      </c>
      <c r="K19" s="8">
        <f t="shared" si="3"/>
        <v>25.992779783393498</v>
      </c>
    </row>
    <row r="20" spans="1:11">
      <c r="A20" s="5">
        <v>1991</v>
      </c>
      <c r="B20" s="135">
        <v>729</v>
      </c>
      <c r="C20" s="135">
        <v>655</v>
      </c>
      <c r="D20" s="8">
        <f t="shared" si="0"/>
        <v>89.849108367626883</v>
      </c>
      <c r="E20" s="135">
        <v>74</v>
      </c>
      <c r="F20" s="8">
        <f t="shared" si="1"/>
        <v>10.150891632373114</v>
      </c>
      <c r="G20" s="135">
        <v>281</v>
      </c>
      <c r="H20" s="135">
        <v>207</v>
      </c>
      <c r="I20" s="8">
        <f t="shared" si="2"/>
        <v>73.665480427046262</v>
      </c>
      <c r="J20" s="135">
        <v>74</v>
      </c>
      <c r="K20" s="8">
        <f t="shared" si="3"/>
        <v>26.334519572953734</v>
      </c>
    </row>
    <row r="21" spans="1:11">
      <c r="A21" s="5">
        <v>1992</v>
      </c>
      <c r="B21" s="135">
        <v>730</v>
      </c>
      <c r="C21" s="135">
        <v>655</v>
      </c>
      <c r="D21" s="8">
        <f t="shared" si="0"/>
        <v>89.726027397260282</v>
      </c>
      <c r="E21" s="135">
        <v>75</v>
      </c>
      <c r="F21" s="8">
        <f t="shared" si="1"/>
        <v>10.273972602739725</v>
      </c>
      <c r="G21" s="135">
        <v>283</v>
      </c>
      <c r="H21" s="135">
        <v>207</v>
      </c>
      <c r="I21" s="8">
        <f t="shared" si="2"/>
        <v>73.144876325088333</v>
      </c>
      <c r="J21" s="135">
        <v>75</v>
      </c>
      <c r="K21" s="8">
        <f t="shared" si="3"/>
        <v>26.501766784452297</v>
      </c>
    </row>
    <row r="22" spans="1:11">
      <c r="A22" s="5">
        <v>1993</v>
      </c>
      <c r="B22" s="135">
        <v>731</v>
      </c>
      <c r="C22" s="135">
        <v>656</v>
      </c>
      <c r="D22" s="8">
        <f t="shared" si="0"/>
        <v>89.740082079343367</v>
      </c>
      <c r="E22" s="135">
        <v>75</v>
      </c>
      <c r="F22" s="8">
        <f t="shared" si="1"/>
        <v>10.259917920656635</v>
      </c>
      <c r="G22" s="135">
        <v>284</v>
      </c>
      <c r="H22" s="135">
        <v>209</v>
      </c>
      <c r="I22" s="8">
        <f t="shared" si="2"/>
        <v>73.591549295774655</v>
      </c>
      <c r="J22" s="135">
        <v>75</v>
      </c>
      <c r="K22" s="8">
        <f t="shared" si="3"/>
        <v>26.408450704225352</v>
      </c>
    </row>
    <row r="23" spans="1:11">
      <c r="A23" s="5">
        <v>1994</v>
      </c>
      <c r="B23" s="135">
        <v>733</v>
      </c>
      <c r="C23" s="135">
        <v>656</v>
      </c>
      <c r="D23" s="8">
        <f t="shared" si="0"/>
        <v>89.495225102319225</v>
      </c>
      <c r="E23" s="135">
        <v>77</v>
      </c>
      <c r="F23" s="8">
        <f t="shared" si="1"/>
        <v>10.504774897680765</v>
      </c>
      <c r="G23" s="135">
        <v>288</v>
      </c>
      <c r="H23" s="135">
        <v>211</v>
      </c>
      <c r="I23" s="8">
        <f t="shared" si="2"/>
        <v>73.263888888888886</v>
      </c>
      <c r="J23" s="135">
        <v>77</v>
      </c>
      <c r="K23" s="8">
        <f t="shared" si="3"/>
        <v>26.736111111111111</v>
      </c>
    </row>
    <row r="24" spans="1:11">
      <c r="A24" s="5">
        <v>1995</v>
      </c>
      <c r="B24" s="135">
        <v>733</v>
      </c>
      <c r="C24" s="135">
        <v>655</v>
      </c>
      <c r="D24" s="8">
        <f t="shared" si="0"/>
        <v>89.358799454297412</v>
      </c>
      <c r="E24" s="135">
        <v>78</v>
      </c>
      <c r="F24" s="8">
        <f t="shared" si="1"/>
        <v>10.641200545702592</v>
      </c>
      <c r="G24" s="135">
        <v>291</v>
      </c>
      <c r="H24" s="135">
        <v>213</v>
      </c>
      <c r="I24" s="8">
        <f t="shared" si="2"/>
        <v>73.19587628865979</v>
      </c>
      <c r="J24" s="135">
        <v>78</v>
      </c>
      <c r="K24" s="8">
        <f t="shared" si="3"/>
        <v>26.804123711340207</v>
      </c>
    </row>
    <row r="25" spans="1:11">
      <c r="A25" s="5">
        <v>1996</v>
      </c>
      <c r="B25" s="135">
        <v>734</v>
      </c>
      <c r="C25" s="135">
        <v>653</v>
      </c>
      <c r="D25" s="8">
        <f t="shared" si="0"/>
        <v>88.964577656675743</v>
      </c>
      <c r="E25" s="135">
        <v>81</v>
      </c>
      <c r="F25" s="8">
        <f t="shared" si="1"/>
        <v>11.035422343324251</v>
      </c>
      <c r="G25" s="135">
        <v>294</v>
      </c>
      <c r="H25" s="135">
        <v>213</v>
      </c>
      <c r="I25" s="8">
        <f t="shared" si="2"/>
        <v>72.448979591836732</v>
      </c>
      <c r="J25" s="135">
        <v>81</v>
      </c>
      <c r="K25" s="8">
        <f t="shared" si="3"/>
        <v>27.551020408163261</v>
      </c>
    </row>
    <row r="26" spans="1:11">
      <c r="A26" s="5">
        <v>1997</v>
      </c>
      <c r="B26" s="135">
        <v>733</v>
      </c>
      <c r="C26" s="135">
        <v>650</v>
      </c>
      <c r="D26" s="8">
        <f t="shared" si="0"/>
        <v>88.676671214188261</v>
      </c>
      <c r="E26" s="135">
        <v>82</v>
      </c>
      <c r="F26" s="8">
        <f t="shared" si="1"/>
        <v>11.186903137789903</v>
      </c>
      <c r="G26" s="135">
        <v>296</v>
      </c>
      <c r="H26" s="135">
        <v>214</v>
      </c>
      <c r="I26" s="8">
        <f t="shared" si="2"/>
        <v>72.297297297297305</v>
      </c>
      <c r="J26" s="135">
        <v>82</v>
      </c>
      <c r="K26" s="8">
        <f t="shared" si="3"/>
        <v>27.702702702702702</v>
      </c>
    </row>
    <row r="27" spans="1:11">
      <c r="A27" s="5">
        <v>1998</v>
      </c>
      <c r="B27" s="135">
        <v>731</v>
      </c>
      <c r="C27" s="135">
        <v>647</v>
      </c>
      <c r="D27" s="8">
        <f t="shared" si="0"/>
        <v>88.508891928864557</v>
      </c>
      <c r="E27" s="135">
        <v>84</v>
      </c>
      <c r="F27" s="8">
        <f t="shared" si="1"/>
        <v>11.491108071135431</v>
      </c>
      <c r="G27" s="135">
        <v>299</v>
      </c>
      <c r="H27" s="135">
        <v>215</v>
      </c>
      <c r="I27" s="8">
        <f t="shared" si="2"/>
        <v>71.906354515050168</v>
      </c>
      <c r="J27" s="135">
        <v>84</v>
      </c>
      <c r="K27" s="8">
        <f t="shared" si="3"/>
        <v>28.093645484949832</v>
      </c>
    </row>
    <row r="28" spans="1:11">
      <c r="A28" s="5">
        <v>1999</v>
      </c>
      <c r="B28" s="135">
        <v>731</v>
      </c>
      <c r="C28" s="135">
        <v>646</v>
      </c>
      <c r="D28" s="8">
        <f t="shared" si="0"/>
        <v>88.372093023255815</v>
      </c>
      <c r="E28" s="135">
        <v>85</v>
      </c>
      <c r="F28" s="8">
        <f t="shared" si="1"/>
        <v>11.627906976744185</v>
      </c>
      <c r="G28" s="135">
        <v>301</v>
      </c>
      <c r="H28" s="135">
        <v>216</v>
      </c>
      <c r="I28" s="8">
        <f t="shared" si="2"/>
        <v>71.760797342192689</v>
      </c>
      <c r="J28" s="135">
        <v>85</v>
      </c>
      <c r="K28" s="8">
        <f t="shared" si="3"/>
        <v>28.239202657807311</v>
      </c>
    </row>
    <row r="29" spans="1:11">
      <c r="A29" s="19">
        <v>2000</v>
      </c>
      <c r="B29" s="57">
        <v>730</v>
      </c>
      <c r="C29" s="57">
        <v>643</v>
      </c>
      <c r="D29" s="108">
        <f t="shared" si="0"/>
        <v>88.082191780821915</v>
      </c>
      <c r="E29" s="57">
        <v>87</v>
      </c>
      <c r="F29" s="108">
        <f t="shared" si="1"/>
        <v>11.917808219178081</v>
      </c>
      <c r="G29" s="57">
        <v>302</v>
      </c>
      <c r="H29" s="57">
        <v>215</v>
      </c>
      <c r="I29" s="108">
        <f t="shared" si="2"/>
        <v>71.192052980132445</v>
      </c>
      <c r="J29" s="57">
        <v>87</v>
      </c>
      <c r="K29" s="108">
        <f t="shared" si="3"/>
        <v>28.807947019867548</v>
      </c>
    </row>
    <row r="30" spans="1:11">
      <c r="A30" s="5">
        <v>2001</v>
      </c>
      <c r="B30" s="135">
        <v>728</v>
      </c>
      <c r="C30" s="135">
        <v>640</v>
      </c>
      <c r="D30" s="8">
        <f t="shared" si="0"/>
        <v>87.912087912087912</v>
      </c>
      <c r="E30" s="135">
        <v>88</v>
      </c>
      <c r="F30" s="8">
        <f t="shared" si="1"/>
        <v>12.087912087912088</v>
      </c>
      <c r="G30" s="135">
        <v>304</v>
      </c>
      <c r="H30" s="135">
        <v>216</v>
      </c>
      <c r="I30" s="8">
        <f t="shared" si="2"/>
        <v>71.05263157894737</v>
      </c>
      <c r="J30" s="135">
        <v>88</v>
      </c>
      <c r="K30" s="8">
        <f t="shared" si="3"/>
        <v>28.947368421052634</v>
      </c>
    </row>
    <row r="31" spans="1:11">
      <c r="A31" s="5">
        <v>2002</v>
      </c>
      <c r="B31" s="135">
        <v>730</v>
      </c>
      <c r="C31" s="135">
        <v>640</v>
      </c>
      <c r="D31" s="8">
        <f t="shared" si="0"/>
        <v>87.671232876712324</v>
      </c>
      <c r="E31" s="135">
        <v>89</v>
      </c>
      <c r="F31" s="8">
        <f t="shared" si="1"/>
        <v>12.191780821917808</v>
      </c>
      <c r="G31" s="135">
        <v>308</v>
      </c>
      <c r="H31" s="135">
        <v>218</v>
      </c>
      <c r="I31" s="8">
        <f t="shared" si="2"/>
        <v>70.779220779220779</v>
      </c>
      <c r="J31" s="135">
        <v>89</v>
      </c>
      <c r="K31" s="8">
        <f t="shared" si="3"/>
        <v>28.896103896103899</v>
      </c>
    </row>
    <row r="32" spans="1:11">
      <c r="A32" s="5">
        <v>2003</v>
      </c>
      <c r="B32" s="135">
        <v>730</v>
      </c>
      <c r="C32" s="135">
        <v>639</v>
      </c>
      <c r="D32" s="8">
        <f t="shared" si="0"/>
        <v>87.534246575342465</v>
      </c>
      <c r="E32" s="135">
        <v>90</v>
      </c>
      <c r="F32" s="8">
        <f t="shared" si="1"/>
        <v>12.328767123287671</v>
      </c>
      <c r="G32" s="135">
        <v>309</v>
      </c>
      <c r="H32" s="135">
        <v>218</v>
      </c>
      <c r="I32" s="8">
        <f t="shared" si="2"/>
        <v>70.550161812297731</v>
      </c>
      <c r="J32" s="135">
        <v>90</v>
      </c>
      <c r="K32" s="8">
        <f t="shared" si="3"/>
        <v>29.126213592233007</v>
      </c>
    </row>
    <row r="33" spans="1:18">
      <c r="A33" s="5">
        <v>2004</v>
      </c>
      <c r="B33" s="135">
        <v>730</v>
      </c>
      <c r="C33" s="135">
        <v>638</v>
      </c>
      <c r="D33" s="8">
        <f t="shared" si="0"/>
        <v>87.397260273972606</v>
      </c>
      <c r="E33" s="135">
        <v>91</v>
      </c>
      <c r="F33" s="8">
        <f t="shared" si="1"/>
        <v>12.465753424657535</v>
      </c>
      <c r="G33" s="135">
        <v>310</v>
      </c>
      <c r="H33" s="135">
        <v>219</v>
      </c>
      <c r="I33" s="8">
        <f t="shared" si="2"/>
        <v>70.645161290322577</v>
      </c>
      <c r="J33" s="135">
        <v>91</v>
      </c>
      <c r="K33" s="8">
        <f t="shared" si="3"/>
        <v>29.354838709677416</v>
      </c>
    </row>
    <row r="34" spans="1:18">
      <c r="A34" s="5">
        <v>2005</v>
      </c>
      <c r="B34" s="135">
        <v>729</v>
      </c>
      <c r="C34" s="135">
        <v>636</v>
      </c>
      <c r="D34" s="8">
        <f t="shared" si="0"/>
        <v>87.242798353909464</v>
      </c>
      <c r="E34" s="135">
        <v>93</v>
      </c>
      <c r="F34" s="8">
        <f t="shared" si="1"/>
        <v>12.757201646090536</v>
      </c>
      <c r="G34" s="135">
        <v>315</v>
      </c>
      <c r="H34" s="135">
        <v>223</v>
      </c>
      <c r="I34" s="8">
        <f t="shared" si="2"/>
        <v>70.793650793650798</v>
      </c>
      <c r="J34" s="135">
        <v>93</v>
      </c>
      <c r="K34" s="8">
        <f t="shared" si="3"/>
        <v>29.523809523809526</v>
      </c>
    </row>
    <row r="35" spans="1:18">
      <c r="A35" s="5">
        <v>2006</v>
      </c>
      <c r="B35" s="135">
        <v>723</v>
      </c>
      <c r="C35" s="135">
        <v>621</v>
      </c>
      <c r="D35" s="8">
        <f t="shared" si="0"/>
        <v>85.892116182572607</v>
      </c>
      <c r="E35" s="135">
        <v>102</v>
      </c>
      <c r="F35" s="8">
        <f t="shared" si="1"/>
        <v>14.107883817427386</v>
      </c>
      <c r="G35" s="135">
        <v>317</v>
      </c>
      <c r="H35" s="135">
        <v>215</v>
      </c>
      <c r="I35" s="8">
        <f t="shared" si="2"/>
        <v>67.823343848580436</v>
      </c>
      <c r="J35" s="135">
        <v>102</v>
      </c>
      <c r="K35" s="8">
        <f t="shared" si="3"/>
        <v>32.176656151419557</v>
      </c>
    </row>
    <row r="36" spans="1:18">
      <c r="A36" s="5">
        <v>2007</v>
      </c>
      <c r="B36" s="135">
        <v>723</v>
      </c>
      <c r="C36" s="135">
        <v>620</v>
      </c>
      <c r="D36" s="8">
        <f t="shared" si="0"/>
        <v>85.753803596127241</v>
      </c>
      <c r="E36" s="135">
        <v>103</v>
      </c>
      <c r="F36" s="8">
        <f t="shared" si="1"/>
        <v>14.246196403872752</v>
      </c>
      <c r="G36" s="135">
        <v>319</v>
      </c>
      <c r="H36" s="135">
        <v>216</v>
      </c>
      <c r="I36" s="8">
        <f t="shared" si="2"/>
        <v>67.711598746081506</v>
      </c>
      <c r="J36" s="135">
        <v>103</v>
      </c>
      <c r="K36" s="8">
        <f t="shared" si="3"/>
        <v>32.288401253918494</v>
      </c>
    </row>
    <row r="37" spans="1:18">
      <c r="A37" s="5">
        <v>2008</v>
      </c>
      <c r="B37" s="135">
        <v>725</v>
      </c>
      <c r="C37" s="135">
        <v>621</v>
      </c>
      <c r="D37" s="8">
        <f t="shared" si="0"/>
        <v>85.655172413793096</v>
      </c>
      <c r="E37" s="135">
        <v>104</v>
      </c>
      <c r="F37" s="8">
        <f t="shared" si="1"/>
        <v>14.344827586206895</v>
      </c>
      <c r="G37" s="135">
        <v>322</v>
      </c>
      <c r="H37" s="135">
        <v>219</v>
      </c>
      <c r="I37" s="8">
        <f t="shared" si="2"/>
        <v>68.012422360248451</v>
      </c>
      <c r="J37" s="135">
        <v>104</v>
      </c>
      <c r="K37" s="8">
        <f t="shared" si="3"/>
        <v>32.298136645962735</v>
      </c>
    </row>
    <row r="38" spans="1:18">
      <c r="A38" s="5">
        <v>2009</v>
      </c>
      <c r="B38" s="135">
        <v>728</v>
      </c>
      <c r="C38" s="135">
        <v>623</v>
      </c>
      <c r="D38" s="8">
        <f t="shared" si="0"/>
        <v>85.576923076923066</v>
      </c>
      <c r="E38" s="135">
        <v>105</v>
      </c>
      <c r="F38" s="8">
        <f t="shared" si="1"/>
        <v>14.423076923076922</v>
      </c>
      <c r="G38" s="135">
        <v>324</v>
      </c>
      <c r="H38" s="135">
        <v>219</v>
      </c>
      <c r="I38" s="8">
        <f t="shared" si="2"/>
        <v>67.592592592592595</v>
      </c>
      <c r="J38" s="135">
        <v>105</v>
      </c>
      <c r="K38" s="8">
        <f t="shared" si="3"/>
        <v>32.407407407407405</v>
      </c>
    </row>
    <row r="39" spans="1:18">
      <c r="A39" s="5">
        <v>2010</v>
      </c>
      <c r="B39" s="135">
        <v>731</v>
      </c>
      <c r="C39" s="135">
        <v>624</v>
      </c>
      <c r="D39" s="8">
        <f t="shared" si="0"/>
        <v>85.362517099863197</v>
      </c>
      <c r="E39" s="135">
        <v>107</v>
      </c>
      <c r="F39" s="8">
        <f t="shared" si="1"/>
        <v>14.637482900136799</v>
      </c>
      <c r="G39" s="135">
        <v>326</v>
      </c>
      <c r="H39" s="135">
        <v>219</v>
      </c>
      <c r="I39" s="8">
        <f t="shared" si="2"/>
        <v>67.177914110429455</v>
      </c>
      <c r="J39" s="135">
        <v>107</v>
      </c>
      <c r="K39" s="8">
        <f t="shared" si="3"/>
        <v>32.822085889570552</v>
      </c>
    </row>
    <row r="40" spans="1:18">
      <c r="A40" s="5">
        <v>2011</v>
      </c>
      <c r="B40" s="135">
        <v>733</v>
      </c>
      <c r="C40" s="135">
        <v>625</v>
      </c>
      <c r="D40" s="8">
        <f t="shared" si="0"/>
        <v>85.266030013642563</v>
      </c>
      <c r="E40" s="135">
        <v>107</v>
      </c>
      <c r="F40" s="8">
        <f t="shared" si="1"/>
        <v>14.597544338335608</v>
      </c>
      <c r="G40" s="135">
        <v>328</v>
      </c>
      <c r="H40" s="135">
        <v>220</v>
      </c>
      <c r="I40" s="8">
        <f t="shared" si="2"/>
        <v>67.073170731707322</v>
      </c>
      <c r="J40" s="135">
        <v>107</v>
      </c>
      <c r="K40" s="8">
        <f t="shared" si="3"/>
        <v>32.621951219512198</v>
      </c>
    </row>
    <row r="41" spans="1:18">
      <c r="A41" s="5">
        <v>2012</v>
      </c>
      <c r="B41" s="135">
        <v>732</v>
      </c>
      <c r="C41" s="135">
        <v>623</v>
      </c>
      <c r="D41" s="8">
        <f t="shared" si="0"/>
        <v>85.10928961748634</v>
      </c>
      <c r="E41" s="135">
        <v>109</v>
      </c>
      <c r="F41" s="8">
        <f t="shared" si="1"/>
        <v>14.89071038251366</v>
      </c>
      <c r="G41" s="135">
        <v>329</v>
      </c>
      <c r="H41" s="135">
        <v>220</v>
      </c>
      <c r="I41" s="8">
        <f t="shared" si="2"/>
        <v>66.869300911854097</v>
      </c>
      <c r="J41" s="135">
        <v>109</v>
      </c>
      <c r="K41" s="8">
        <f t="shared" si="3"/>
        <v>33.130699088145896</v>
      </c>
    </row>
    <row r="42" spans="1:18">
      <c r="A42" s="5">
        <v>2013</v>
      </c>
      <c r="B42" s="135">
        <v>731</v>
      </c>
      <c r="C42" s="135">
        <v>620</v>
      </c>
      <c r="D42" s="8">
        <f t="shared" si="0"/>
        <v>84.815321477428185</v>
      </c>
      <c r="E42" s="135">
        <v>110</v>
      </c>
      <c r="F42" s="8">
        <f t="shared" si="1"/>
        <v>15.047879616963064</v>
      </c>
      <c r="G42" s="135">
        <v>332</v>
      </c>
      <c r="H42" s="135">
        <v>221</v>
      </c>
      <c r="I42" s="8">
        <f t="shared" si="2"/>
        <v>66.566265060240966</v>
      </c>
      <c r="J42" s="135">
        <v>110</v>
      </c>
      <c r="K42" s="8">
        <f t="shared" si="3"/>
        <v>33.132530120481931</v>
      </c>
    </row>
    <row r="43" spans="1:18">
      <c r="A43" s="5">
        <v>2014</v>
      </c>
      <c r="B43" s="135">
        <v>729</v>
      </c>
      <c r="C43" s="135">
        <v>618</v>
      </c>
      <c r="D43" s="8">
        <f t="shared" si="0"/>
        <v>84.773662551440339</v>
      </c>
      <c r="E43" s="135">
        <v>112</v>
      </c>
      <c r="F43" s="8">
        <f t="shared" si="1"/>
        <v>15.363511659807957</v>
      </c>
      <c r="G43" s="135">
        <v>333</v>
      </c>
      <c r="H43" s="135">
        <v>222</v>
      </c>
      <c r="I43" s="8">
        <f t="shared" si="2"/>
        <v>66.666666666666657</v>
      </c>
      <c r="J43" s="135">
        <v>112</v>
      </c>
      <c r="K43" s="8">
        <f t="shared" si="3"/>
        <v>33.633633633633636</v>
      </c>
    </row>
    <row r="44" spans="1:18">
      <c r="A44" s="5">
        <v>2015</v>
      </c>
      <c r="B44" s="135">
        <v>729</v>
      </c>
      <c r="C44" s="135">
        <v>616</v>
      </c>
      <c r="D44" s="8">
        <f t="shared" si="0"/>
        <v>84.499314128943752</v>
      </c>
      <c r="E44" s="135">
        <v>113</v>
      </c>
      <c r="F44" s="8">
        <f t="shared" si="1"/>
        <v>15.500685871056241</v>
      </c>
      <c r="G44" s="135">
        <v>336</v>
      </c>
      <c r="H44" s="135">
        <v>223</v>
      </c>
      <c r="I44" s="8">
        <f t="shared" si="2"/>
        <v>66.36904761904762</v>
      </c>
      <c r="J44" s="135">
        <v>113</v>
      </c>
      <c r="K44" s="8">
        <f t="shared" si="3"/>
        <v>33.630952380952387</v>
      </c>
    </row>
    <row r="45" spans="1:18">
      <c r="A45" s="5">
        <v>2016</v>
      </c>
      <c r="B45" s="135">
        <v>731</v>
      </c>
      <c r="C45" s="135">
        <v>618</v>
      </c>
      <c r="D45" s="8">
        <f t="shared" si="0"/>
        <v>84.541723666210672</v>
      </c>
      <c r="E45" s="135">
        <v>114</v>
      </c>
      <c r="F45" s="8">
        <f t="shared" si="1"/>
        <v>15.595075239398085</v>
      </c>
      <c r="G45" s="135">
        <v>337</v>
      </c>
      <c r="H45" s="135">
        <v>224</v>
      </c>
      <c r="I45" s="8">
        <f t="shared" si="2"/>
        <v>66.468842729970319</v>
      </c>
      <c r="J45" s="135">
        <v>114</v>
      </c>
      <c r="K45" s="8">
        <f t="shared" si="3"/>
        <v>33.827893175074188</v>
      </c>
    </row>
    <row r="46" spans="1:18">
      <c r="A46" s="5">
        <v>2017</v>
      </c>
      <c r="B46" s="135">
        <v>734</v>
      </c>
      <c r="C46" s="135">
        <v>620</v>
      </c>
      <c r="D46" s="8">
        <f t="shared" si="0"/>
        <v>84.46866485013625</v>
      </c>
      <c r="E46" s="135">
        <v>114</v>
      </c>
      <c r="F46" s="8">
        <f t="shared" si="1"/>
        <v>15.531335149863759</v>
      </c>
      <c r="G46" s="135">
        <v>338</v>
      </c>
      <c r="H46" s="135">
        <v>224</v>
      </c>
      <c r="I46" s="8">
        <f t="shared" si="2"/>
        <v>66.272189349112438</v>
      </c>
      <c r="J46" s="135">
        <v>114</v>
      </c>
      <c r="K46" s="8">
        <f t="shared" si="3"/>
        <v>33.727810650887577</v>
      </c>
    </row>
    <row r="47" spans="1:18">
      <c r="A47" s="5">
        <v>2018</v>
      </c>
      <c r="B47" s="135">
        <v>738</v>
      </c>
      <c r="C47" s="135">
        <v>622</v>
      </c>
      <c r="D47" s="8">
        <f t="shared" si="0"/>
        <v>84.281842818428188</v>
      </c>
      <c r="E47" s="135">
        <v>115</v>
      </c>
      <c r="F47" s="8">
        <f t="shared" si="1"/>
        <v>15.582655826558264</v>
      </c>
      <c r="G47" s="135">
        <v>341</v>
      </c>
      <c r="H47" s="135">
        <v>225</v>
      </c>
      <c r="I47" s="8">
        <f t="shared" si="2"/>
        <v>65.982404692082113</v>
      </c>
      <c r="J47" s="135">
        <v>115</v>
      </c>
      <c r="K47" s="8">
        <f t="shared" si="3"/>
        <v>33.724340175953074</v>
      </c>
    </row>
    <row r="48" spans="1:18">
      <c r="A48" s="5">
        <v>2019</v>
      </c>
      <c r="B48" s="135">
        <v>744</v>
      </c>
      <c r="C48" s="135">
        <v>627</v>
      </c>
      <c r="D48" s="8">
        <f t="shared" si="0"/>
        <v>84.274193548387103</v>
      </c>
      <c r="E48" s="135">
        <v>117</v>
      </c>
      <c r="F48" s="8">
        <f t="shared" si="1"/>
        <v>15.725806451612904</v>
      </c>
      <c r="G48" s="135">
        <v>344</v>
      </c>
      <c r="H48" s="135">
        <v>227</v>
      </c>
      <c r="I48" s="8">
        <f t="shared" si="2"/>
        <v>65.988372093023244</v>
      </c>
      <c r="J48" s="135">
        <v>117</v>
      </c>
      <c r="K48" s="8">
        <f t="shared" si="3"/>
        <v>34.011627906976742</v>
      </c>
      <c r="M48" s="76"/>
      <c r="N48" s="76"/>
      <c r="O48" s="76"/>
      <c r="P48" s="76"/>
      <c r="Q48" s="76"/>
      <c r="R48" s="76"/>
    </row>
    <row r="49" spans="1:18" ht="16" customHeight="1">
      <c r="M49" s="137"/>
      <c r="N49" s="137"/>
      <c r="O49" s="137"/>
      <c r="P49" s="137"/>
      <c r="Q49" s="137"/>
      <c r="R49" s="137"/>
    </row>
    <row r="50" spans="1:18" ht="16" customHeight="1">
      <c r="A50" s="135"/>
      <c r="B50" s="328" t="s">
        <v>67</v>
      </c>
      <c r="C50" s="328"/>
      <c r="D50" s="135" t="s">
        <v>68</v>
      </c>
      <c r="E50" s="135" t="s">
        <v>67</v>
      </c>
      <c r="F50" s="135" t="s">
        <v>68</v>
      </c>
      <c r="G50" s="328" t="s">
        <v>67</v>
      </c>
      <c r="H50" s="328"/>
      <c r="I50" s="135" t="s">
        <v>68</v>
      </c>
      <c r="J50" s="135" t="s">
        <v>67</v>
      </c>
      <c r="K50" s="135" t="s">
        <v>68</v>
      </c>
      <c r="M50" s="137"/>
      <c r="N50" s="137"/>
      <c r="O50" s="137"/>
      <c r="P50" s="137"/>
      <c r="Q50" s="137"/>
      <c r="R50" s="137"/>
    </row>
    <row r="51" spans="1:18">
      <c r="A51" s="22" t="s">
        <v>69</v>
      </c>
      <c r="B51" s="28">
        <f>100*((B48/B5)^(1/43)-1)</f>
        <v>0.21283059900132351</v>
      </c>
      <c r="C51" s="28">
        <f t="shared" ref="C51:J51" si="4">100*((C48/C5)^(1/43)-1)</f>
        <v>-2.9480440314588741E-2</v>
      </c>
      <c r="D51" s="58">
        <f>D48-D5</f>
        <v>-9.2456886312888855</v>
      </c>
      <c r="E51" s="28">
        <f t="shared" si="4"/>
        <v>2.3004433672371816</v>
      </c>
      <c r="F51" s="58">
        <f>F48-F5</f>
        <v>9.2456886312888962</v>
      </c>
      <c r="G51" s="28">
        <f t="shared" si="4"/>
        <v>1.1210029319804304</v>
      </c>
      <c r="H51" s="28">
        <f t="shared" si="4"/>
        <v>0.68852533119783121</v>
      </c>
      <c r="I51" s="58">
        <f>I48-I5</f>
        <v>-13.354350911671588</v>
      </c>
      <c r="J51" s="28">
        <f t="shared" si="4"/>
        <v>2.3004433672371816</v>
      </c>
      <c r="K51" s="58">
        <f>K48-K5</f>
        <v>13.354350911671578</v>
      </c>
      <c r="M51" s="28"/>
      <c r="N51" s="28"/>
      <c r="O51" s="28"/>
      <c r="P51" s="28"/>
      <c r="Q51" s="28"/>
      <c r="R51" s="28"/>
    </row>
    <row r="52" spans="1:18">
      <c r="A52" s="22" t="s">
        <v>46</v>
      </c>
      <c r="B52" s="28">
        <f>100*((B29/B5)^(1/24)-1)</f>
        <v>0.30221996057449019</v>
      </c>
      <c r="C52" s="28">
        <f t="shared" ref="C52:J52" si="5">100*((C29/C5)^(1/24)-1)</f>
        <v>5.217913084532011E-2</v>
      </c>
      <c r="D52" s="58">
        <f>D29-D5</f>
        <v>-5.4376903988540732</v>
      </c>
      <c r="E52" s="28">
        <f t="shared" si="5"/>
        <v>2.881220407122842</v>
      </c>
      <c r="F52" s="58">
        <f>F29-F5</f>
        <v>5.4376903988540741</v>
      </c>
      <c r="G52" s="28">
        <f t="shared" si="5"/>
        <v>1.4653612206311672</v>
      </c>
      <c r="H52" s="28">
        <f t="shared" si="5"/>
        <v>1.0081281872815984</v>
      </c>
      <c r="I52" s="58">
        <f>I29-I5</f>
        <v>-8.1506700245623875</v>
      </c>
      <c r="J52" s="28">
        <f t="shared" si="5"/>
        <v>2.881220407122842</v>
      </c>
      <c r="K52" s="58">
        <f>K29-K5</f>
        <v>8.150670024562384</v>
      </c>
      <c r="M52" s="28"/>
      <c r="N52" s="28"/>
      <c r="O52" s="28"/>
      <c r="P52" s="28"/>
      <c r="Q52" s="28"/>
      <c r="R52" s="28"/>
    </row>
    <row r="53" spans="1:18">
      <c r="A53" s="22" t="s">
        <v>47</v>
      </c>
      <c r="B53" s="28">
        <f>100*((B48/B29)^(1/19)-1)</f>
        <v>0.100031580828297</v>
      </c>
      <c r="C53" s="28">
        <f t="shared" ref="C53:J53" si="6">100*((C48/C29)^(1/19)-1)</f>
        <v>-0.13253411483689082</v>
      </c>
      <c r="D53" s="58">
        <f>D48-D29</f>
        <v>-3.8079982324348123</v>
      </c>
      <c r="E53" s="28">
        <f t="shared" si="6"/>
        <v>1.5715141892629125</v>
      </c>
      <c r="F53" s="58">
        <f>F48-F29</f>
        <v>3.8079982324348229</v>
      </c>
      <c r="G53" s="28">
        <f t="shared" si="6"/>
        <v>0.68769404071518103</v>
      </c>
      <c r="H53" s="28">
        <f t="shared" si="6"/>
        <v>0.2862615235907251</v>
      </c>
      <c r="I53" s="58">
        <f>I48-I29</f>
        <v>-5.2036808871092006</v>
      </c>
      <c r="J53" s="28">
        <f t="shared" si="6"/>
        <v>1.5715141892629125</v>
      </c>
      <c r="K53" s="58">
        <f>K48-K29</f>
        <v>5.2036808871091935</v>
      </c>
      <c r="M53" s="28"/>
      <c r="N53" s="28"/>
      <c r="O53" s="28"/>
      <c r="P53" s="28"/>
      <c r="Q53" s="28"/>
      <c r="R53" s="28"/>
    </row>
    <row r="54" spans="1:18">
      <c r="A54" s="22" t="s">
        <v>209</v>
      </c>
      <c r="B54" s="28">
        <f>100*((B48/B10)^(1/38)-1)</f>
        <v>0.20230901071753848</v>
      </c>
      <c r="C54" s="28">
        <f>100*((C48/C10)^(1/38)-1)</f>
        <v>-4.1631108004280826E-2</v>
      </c>
      <c r="D54" s="58"/>
      <c r="E54" s="28">
        <f>100*((E48/E10)^(1/38)-1)</f>
        <v>2.1569600815111167</v>
      </c>
      <c r="F54" s="58"/>
      <c r="G54" s="28">
        <f t="shared" ref="G54:H54" si="7">100*((G48/G10)^(1/38)-1)</f>
        <v>1.0191598415452807</v>
      </c>
      <c r="H54" s="28">
        <f t="shared" si="7"/>
        <v>0.58312340075681313</v>
      </c>
      <c r="I54" s="58"/>
      <c r="J54" s="28">
        <f>100*((J48/J10)^(1/38)-1)</f>
        <v>2.1569600815111167</v>
      </c>
      <c r="K54" s="58"/>
      <c r="M54" s="28"/>
      <c r="N54" s="28"/>
      <c r="O54" s="28"/>
      <c r="P54" s="28"/>
      <c r="Q54" s="28"/>
      <c r="R54" s="28"/>
    </row>
    <row r="55" spans="1:18">
      <c r="A55" s="22" t="s">
        <v>210</v>
      </c>
      <c r="B55" s="28">
        <f>100*((B29/B10)^(1/19)-1)</f>
        <v>0.30469094279823583</v>
      </c>
      <c r="C55" s="28">
        <f t="shared" ref="C55:J55" si="8">100*((C29/C10)^(1/19)-1)</f>
        <v>4.935464205784168E-2</v>
      </c>
      <c r="D55" s="28"/>
      <c r="E55" s="28">
        <f t="shared" si="8"/>
        <v>2.7457804128969698</v>
      </c>
      <c r="F55" s="28"/>
      <c r="G55" s="28">
        <f t="shared" si="8"/>
        <v>1.3517168340862362</v>
      </c>
      <c r="H55" s="28">
        <f t="shared" si="8"/>
        <v>0.88086403212883635</v>
      </c>
      <c r="I55" s="28"/>
      <c r="J55" s="28">
        <f t="shared" si="8"/>
        <v>2.7457804128969698</v>
      </c>
      <c r="K55" s="28"/>
      <c r="M55" s="28"/>
      <c r="N55" s="28"/>
      <c r="O55" s="28"/>
      <c r="P55" s="28"/>
      <c r="Q55" s="28"/>
      <c r="R55" s="28"/>
    </row>
    <row r="57" spans="1:18">
      <c r="A57" s="5" t="s">
        <v>70</v>
      </c>
    </row>
    <row r="59" spans="1:18">
      <c r="B59" s="329" t="s">
        <v>61</v>
      </c>
      <c r="C59" s="329"/>
      <c r="D59" s="329"/>
      <c r="E59" s="329" t="s">
        <v>62</v>
      </c>
      <c r="F59" s="329"/>
      <c r="G59" s="329"/>
    </row>
    <row r="60" spans="1:18" ht="34">
      <c r="B60" s="137" t="s">
        <v>45</v>
      </c>
      <c r="C60" s="137" t="s">
        <v>71</v>
      </c>
      <c r="D60" s="137" t="s">
        <v>72</v>
      </c>
      <c r="E60" s="137" t="s">
        <v>45</v>
      </c>
      <c r="F60" s="137" t="s">
        <v>71</v>
      </c>
      <c r="G60" s="137" t="s">
        <v>72</v>
      </c>
    </row>
    <row r="61" spans="1:18">
      <c r="A61" s="5" t="s">
        <v>9</v>
      </c>
      <c r="B61" s="28">
        <v>0.21283059900132351</v>
      </c>
      <c r="C61" s="28">
        <v>-2.9480440314588741E-2</v>
      </c>
      <c r="D61" s="28">
        <v>2.3004433672371816</v>
      </c>
      <c r="E61" s="28">
        <v>1.1210029319804304</v>
      </c>
      <c r="F61" s="28">
        <v>0.68852533119783121</v>
      </c>
      <c r="G61" s="28">
        <v>2.3004433672371816</v>
      </c>
    </row>
    <row r="62" spans="1:18">
      <c r="A62" s="5" t="s">
        <v>10</v>
      </c>
      <c r="B62" s="28">
        <v>0.30221996057449019</v>
      </c>
      <c r="C62" s="28">
        <v>5.217913084532011E-2</v>
      </c>
      <c r="D62" s="28">
        <v>2.881220407122842</v>
      </c>
      <c r="E62" s="28">
        <v>1.4653612206311672</v>
      </c>
      <c r="F62" s="28">
        <v>1.0081281872815984</v>
      </c>
      <c r="G62" s="28">
        <v>2.881220407122842</v>
      </c>
    </row>
    <row r="63" spans="1:18">
      <c r="A63" s="5" t="s">
        <v>11</v>
      </c>
      <c r="B63" s="28">
        <v>0.100031580828297</v>
      </c>
      <c r="C63" s="28">
        <v>-0.13253411483689082</v>
      </c>
      <c r="D63" s="28">
        <v>1.5715141892629125</v>
      </c>
      <c r="E63" s="28">
        <v>0.68769404071518103</v>
      </c>
      <c r="F63" s="28">
        <v>0.2862615235907251</v>
      </c>
      <c r="G63" s="28">
        <v>1.5715141892629125</v>
      </c>
    </row>
    <row r="66" spans="1:5">
      <c r="A66" s="5" t="s">
        <v>607</v>
      </c>
    </row>
    <row r="68" spans="1:5">
      <c r="A68" s="5" t="s">
        <v>73</v>
      </c>
    </row>
    <row r="70" spans="1:5">
      <c r="B70" s="328" t="s">
        <v>495</v>
      </c>
      <c r="C70" s="328"/>
      <c r="D70" s="328" t="s">
        <v>496</v>
      </c>
      <c r="E70" s="328"/>
    </row>
    <row r="71" spans="1:5" ht="33.75" customHeight="1">
      <c r="B71" s="137" t="s">
        <v>74</v>
      </c>
      <c r="C71" s="137" t="s">
        <v>75</v>
      </c>
      <c r="D71" s="147" t="s">
        <v>74</v>
      </c>
      <c r="E71" s="147" t="s">
        <v>75</v>
      </c>
    </row>
    <row r="72" spans="1:5">
      <c r="A72" s="5">
        <v>1976</v>
      </c>
      <c r="B72" s="8">
        <v>6.4801178203240068</v>
      </c>
      <c r="C72" s="8">
        <v>20.657276995305164</v>
      </c>
      <c r="D72" s="8">
        <v>8.7712452306625046</v>
      </c>
      <c r="E72" s="8">
        <v>25.155433971648844</v>
      </c>
    </row>
    <row r="73" spans="1:5">
      <c r="A73" s="5">
        <v>1977</v>
      </c>
      <c r="B73" s="8">
        <v>6.7349926793557833</v>
      </c>
      <c r="C73" s="8">
        <v>21.100917431192663</v>
      </c>
      <c r="D73" s="8">
        <v>9.1100150117949816</v>
      </c>
      <c r="E73" s="8">
        <v>25.701839303000966</v>
      </c>
    </row>
    <row r="74" spans="1:5">
      <c r="A74" s="5">
        <v>1978</v>
      </c>
      <c r="B74" s="8">
        <v>6.8513119533527691</v>
      </c>
      <c r="C74" s="8">
        <v>21.171171171171171</v>
      </c>
      <c r="D74" s="8">
        <v>9.4540046738899512</v>
      </c>
      <c r="E74" s="8">
        <v>26.294020326164024</v>
      </c>
    </row>
    <row r="75" spans="1:5">
      <c r="A75" s="5">
        <v>1979</v>
      </c>
      <c r="B75" s="8">
        <v>7.1117561683599426</v>
      </c>
      <c r="C75" s="8">
        <v>21.681415929203538</v>
      </c>
      <c r="D75" s="8">
        <v>9.7790472990002506</v>
      </c>
      <c r="E75" s="8">
        <v>26.913294797687858</v>
      </c>
    </row>
    <row r="76" spans="1:5">
      <c r="A76" s="5">
        <v>1980</v>
      </c>
      <c r="B76" s="8">
        <v>7.2463768115942031</v>
      </c>
      <c r="C76" s="8">
        <v>21.739130434782609</v>
      </c>
      <c r="D76" s="8">
        <v>10.075911560957399</v>
      </c>
      <c r="E76" s="8">
        <v>27.212637239524984</v>
      </c>
    </row>
    <row r="77" spans="1:5">
      <c r="A77" s="5">
        <v>1981</v>
      </c>
      <c r="B77" s="8">
        <v>7.5471698113207548</v>
      </c>
      <c r="C77" s="8">
        <v>22.222222222222221</v>
      </c>
      <c r="D77" s="8">
        <v>10.336627167985567</v>
      </c>
      <c r="E77" s="8">
        <v>27.606219886114765</v>
      </c>
    </row>
    <row r="78" spans="1:5">
      <c r="A78" s="5">
        <v>1982</v>
      </c>
      <c r="B78" s="8">
        <v>7.7697841726618702</v>
      </c>
      <c r="C78" s="8">
        <v>22.594142259414227</v>
      </c>
      <c r="D78" s="8">
        <v>10.554068305345989</v>
      </c>
      <c r="E78" s="8">
        <v>27.984512798451277</v>
      </c>
    </row>
    <row r="79" spans="1:5">
      <c r="A79" s="5">
        <v>1983</v>
      </c>
      <c r="B79" s="8">
        <v>7.8347578347578342</v>
      </c>
      <c r="C79" s="8">
        <v>22.35772357723577</v>
      </c>
      <c r="D79" s="8">
        <v>10.755323423061471</v>
      </c>
      <c r="E79" s="8">
        <v>28.238396624472571</v>
      </c>
    </row>
    <row r="80" spans="1:5">
      <c r="A80" s="5">
        <v>1984</v>
      </c>
      <c r="B80" s="8">
        <v>8.0736543909348431</v>
      </c>
      <c r="C80" s="8">
        <v>22.983870967741936</v>
      </c>
      <c r="D80" s="8">
        <v>10.959885386819485</v>
      </c>
      <c r="E80" s="8">
        <v>28.52112676056338</v>
      </c>
    </row>
    <row r="81" spans="1:5">
      <c r="A81" s="5">
        <v>1985</v>
      </c>
      <c r="B81" s="8">
        <v>8.3333333333333321</v>
      </c>
      <c r="C81" s="8">
        <v>23.412698412698411</v>
      </c>
      <c r="D81" s="8">
        <v>11.160186134553198</v>
      </c>
      <c r="E81" s="8">
        <v>28.768933617972959</v>
      </c>
    </row>
    <row r="82" spans="1:5">
      <c r="A82" s="5">
        <v>1986</v>
      </c>
      <c r="B82" s="8">
        <v>8.6036671368124118</v>
      </c>
      <c r="C82" s="8">
        <v>23.828125</v>
      </c>
      <c r="D82" s="8">
        <v>11.404810245197563</v>
      </c>
      <c r="E82" s="8">
        <v>29.195402298850574</v>
      </c>
    </row>
    <row r="83" spans="1:5">
      <c r="A83" s="5">
        <v>1987</v>
      </c>
      <c r="B83" s="8">
        <v>8.8607594936708853</v>
      </c>
      <c r="C83" s="8">
        <v>24.23076923076923</v>
      </c>
      <c r="D83" s="8">
        <v>11.689363836271749</v>
      </c>
      <c r="E83" s="8">
        <v>29.691327780499755</v>
      </c>
    </row>
    <row r="84" spans="1:5">
      <c r="A84" s="5">
        <v>1988</v>
      </c>
      <c r="B84" s="8">
        <v>9.2307692307692317</v>
      </c>
      <c r="C84" s="8">
        <v>24.81203007518797</v>
      </c>
      <c r="D84" s="8">
        <v>11.964346931779225</v>
      </c>
      <c r="E84" s="8">
        <v>30.045915439066384</v>
      </c>
    </row>
    <row r="85" spans="1:5">
      <c r="A85" s="5">
        <v>1989</v>
      </c>
      <c r="B85" s="8">
        <v>9.5833333333333339</v>
      </c>
      <c r="C85" s="8">
        <v>25.555555555555554</v>
      </c>
      <c r="D85" s="8">
        <v>12.231404958677686</v>
      </c>
      <c r="E85" s="8">
        <v>30.546955624355004</v>
      </c>
    </row>
    <row r="86" spans="1:5">
      <c r="A86" s="5">
        <v>1990</v>
      </c>
      <c r="B86" s="8">
        <v>9.9173553719008272</v>
      </c>
      <c r="C86" s="8">
        <v>25.992779783393498</v>
      </c>
      <c r="D86" s="8">
        <v>12.47501295624491</v>
      </c>
      <c r="E86" s="8">
        <v>30.925942920069744</v>
      </c>
    </row>
    <row r="87" spans="1:5">
      <c r="A87" s="5">
        <v>1991</v>
      </c>
      <c r="B87" s="8">
        <v>10.150891632373114</v>
      </c>
      <c r="C87" s="8">
        <v>26.334519572953734</v>
      </c>
      <c r="D87" s="8">
        <v>12.62469397449483</v>
      </c>
      <c r="E87" s="8">
        <v>31.233050081359607</v>
      </c>
    </row>
    <row r="88" spans="1:5">
      <c r="A88" s="5">
        <v>1992</v>
      </c>
      <c r="B88" s="8">
        <v>10.273972602739725</v>
      </c>
      <c r="C88" s="8">
        <v>26.501766784452297</v>
      </c>
      <c r="D88" s="8">
        <v>12.689879126826629</v>
      </c>
      <c r="E88" s="8">
        <v>31.242782268810522</v>
      </c>
    </row>
    <row r="89" spans="1:5">
      <c r="A89" s="5">
        <v>1993</v>
      </c>
      <c r="B89" s="8">
        <v>10.259917920656635</v>
      </c>
      <c r="C89" s="8">
        <v>26.408450704225352</v>
      </c>
      <c r="D89" s="8">
        <v>12.561093075523527</v>
      </c>
      <c r="E89" s="8">
        <v>30.873189995612112</v>
      </c>
    </row>
    <row r="90" spans="1:5">
      <c r="A90" s="5">
        <v>1994</v>
      </c>
      <c r="B90" s="8">
        <v>10.504774897680765</v>
      </c>
      <c r="C90" s="8">
        <v>26.736111111111111</v>
      </c>
      <c r="D90" s="8">
        <v>12.757927409967904</v>
      </c>
      <c r="E90" s="8">
        <v>31.364897676031912</v>
      </c>
    </row>
    <row r="91" spans="1:5">
      <c r="A91" s="5">
        <v>1995</v>
      </c>
      <c r="B91" s="8">
        <v>10.641200545702592</v>
      </c>
      <c r="C91" s="8">
        <v>26.804123711340207</v>
      </c>
      <c r="D91" s="8">
        <v>12.898611401856117</v>
      </c>
      <c r="E91" s="8">
        <v>31.579396942000514</v>
      </c>
    </row>
    <row r="92" spans="1:5">
      <c r="A92" s="5">
        <v>1996</v>
      </c>
      <c r="B92" s="8">
        <v>11.035422343324251</v>
      </c>
      <c r="C92" s="8">
        <v>27.551020408163261</v>
      </c>
      <c r="D92" s="8">
        <v>13.045879794248627</v>
      </c>
      <c r="E92" s="8">
        <v>31.887604421567801</v>
      </c>
    </row>
    <row r="93" spans="1:5">
      <c r="A93" s="5">
        <v>1997</v>
      </c>
      <c r="B93" s="8">
        <v>11.186903137789903</v>
      </c>
      <c r="C93" s="8">
        <v>27.702702702702702</v>
      </c>
      <c r="D93" s="8">
        <v>13.193280186129265</v>
      </c>
      <c r="E93" s="8">
        <v>32.087875509694598</v>
      </c>
    </row>
    <row r="94" spans="1:5">
      <c r="A94" s="5">
        <v>1998</v>
      </c>
      <c r="B94" s="8">
        <v>11.491108071135431</v>
      </c>
      <c r="C94" s="8">
        <v>28.093645484949832</v>
      </c>
      <c r="D94" s="8">
        <v>13.337635431172096</v>
      </c>
      <c r="E94" s="8">
        <v>32.363606395253008</v>
      </c>
    </row>
    <row r="95" spans="1:5">
      <c r="A95" s="5">
        <v>1999</v>
      </c>
      <c r="B95" s="8">
        <v>11.627906976744185</v>
      </c>
      <c r="C95" s="8">
        <v>28.239202657807311</v>
      </c>
      <c r="D95" s="8">
        <v>13.484205563413484</v>
      </c>
      <c r="E95" s="8">
        <v>32.584635416666671</v>
      </c>
    </row>
    <row r="96" spans="1:5">
      <c r="A96" s="5">
        <v>2000</v>
      </c>
      <c r="B96" s="8">
        <v>11.917808219178081</v>
      </c>
      <c r="C96" s="8">
        <v>28.807947019867548</v>
      </c>
      <c r="D96" s="8">
        <v>13.648792850473523</v>
      </c>
      <c r="E96" s="8">
        <v>32.83594063377457</v>
      </c>
    </row>
    <row r="97" spans="1:5">
      <c r="A97" s="5">
        <v>2001</v>
      </c>
      <c r="B97" s="8">
        <v>12.087912087912088</v>
      </c>
      <c r="C97" s="8">
        <v>28.947368421052634</v>
      </c>
      <c r="D97" s="8">
        <v>13.802315227070347</v>
      </c>
      <c r="E97" s="8">
        <v>33.080388902063078</v>
      </c>
    </row>
    <row r="98" spans="1:5">
      <c r="A98" s="5">
        <v>2002</v>
      </c>
      <c r="B98" s="8">
        <v>12.191780821917808</v>
      </c>
      <c r="C98" s="8">
        <v>28.896103896103899</v>
      </c>
      <c r="D98" s="8">
        <v>13.965567933095945</v>
      </c>
      <c r="E98" s="8">
        <v>33.2451979158566</v>
      </c>
    </row>
    <row r="99" spans="1:5">
      <c r="A99" s="5">
        <v>2003</v>
      </c>
      <c r="B99" s="8">
        <v>12.328767123287671</v>
      </c>
      <c r="C99" s="8">
        <v>29.126213592233007</v>
      </c>
      <c r="D99" s="8">
        <v>14.132651409704463</v>
      </c>
      <c r="E99" s="8">
        <v>33.499577994322102</v>
      </c>
    </row>
    <row r="100" spans="1:5">
      <c r="A100" s="5">
        <v>2004</v>
      </c>
      <c r="B100" s="8">
        <v>12.465753424657535</v>
      </c>
      <c r="C100" s="8">
        <v>29.354838709677416</v>
      </c>
      <c r="D100" s="8">
        <v>14.30954290296712</v>
      </c>
      <c r="E100" s="8">
        <v>33.723918959782281</v>
      </c>
    </row>
    <row r="101" spans="1:5">
      <c r="A101" s="5">
        <v>2005</v>
      </c>
      <c r="B101" s="8">
        <v>12.757201646090536</v>
      </c>
      <c r="C101" s="8">
        <v>29.523809523809526</v>
      </c>
      <c r="D101" s="8">
        <v>14.497398146972968</v>
      </c>
      <c r="E101" s="8">
        <v>33.947544394085746</v>
      </c>
    </row>
    <row r="102" spans="1:5">
      <c r="A102" s="5">
        <v>2006</v>
      </c>
      <c r="B102" s="8">
        <v>14.107883817427386</v>
      </c>
      <c r="C102" s="8">
        <v>32.176656151419557</v>
      </c>
      <c r="D102" s="8">
        <v>14.636678200692041</v>
      </c>
      <c r="E102" s="8">
        <v>34.492216456634544</v>
      </c>
    </row>
    <row r="103" spans="1:5">
      <c r="A103" s="5">
        <v>2007</v>
      </c>
      <c r="B103" s="8">
        <v>14.246196403872752</v>
      </c>
      <c r="C103" s="8">
        <v>32.288401253918494</v>
      </c>
      <c r="D103" s="8">
        <v>14.841682493228307</v>
      </c>
      <c r="E103" s="8">
        <v>34.788002627161937</v>
      </c>
    </row>
    <row r="104" spans="1:5">
      <c r="A104" s="5">
        <v>2008</v>
      </c>
      <c r="B104" s="8">
        <v>14.344827586206895</v>
      </c>
      <c r="C104" s="8">
        <v>32.298136645962735</v>
      </c>
      <c r="D104" s="8">
        <v>14.991843895232526</v>
      </c>
      <c r="E104" s="8">
        <v>35.020490330002154</v>
      </c>
    </row>
    <row r="105" spans="1:5">
      <c r="A105" s="5">
        <v>2009</v>
      </c>
      <c r="B105" s="8">
        <v>14.423076923076922</v>
      </c>
      <c r="C105" s="8">
        <v>32.407407407407405</v>
      </c>
      <c r="D105" s="8">
        <v>15.129297231518102</v>
      </c>
      <c r="E105" s="8">
        <v>35.284518234709807</v>
      </c>
    </row>
    <row r="106" spans="1:5">
      <c r="A106" s="5">
        <v>2010</v>
      </c>
      <c r="B106" s="8">
        <v>14.637482900136799</v>
      </c>
      <c r="C106" s="8">
        <v>32.822085889570552</v>
      </c>
      <c r="D106" s="8">
        <v>15.358228267083923</v>
      </c>
      <c r="E106" s="8">
        <v>35.684821366146963</v>
      </c>
    </row>
    <row r="107" spans="1:5">
      <c r="A107" s="5">
        <v>2011</v>
      </c>
      <c r="B107" s="8">
        <v>14.597544338335608</v>
      </c>
      <c r="C107" s="8">
        <v>32.621951219512198</v>
      </c>
      <c r="D107" s="8">
        <v>15.516984727142816</v>
      </c>
      <c r="E107" s="8">
        <v>35.915104740904077</v>
      </c>
    </row>
    <row r="108" spans="1:5">
      <c r="A108" s="5">
        <v>2012</v>
      </c>
      <c r="B108" s="8">
        <v>14.89071038251366</v>
      </c>
      <c r="C108" s="8">
        <v>33.130699088145896</v>
      </c>
      <c r="D108" s="8">
        <v>15.567981165391407</v>
      </c>
      <c r="E108" s="8">
        <v>35.979051894171263</v>
      </c>
    </row>
    <row r="109" spans="1:5">
      <c r="A109" s="5">
        <v>2013</v>
      </c>
      <c r="B109" s="8">
        <v>15.047879616963064</v>
      </c>
      <c r="C109" s="8">
        <v>33.132530120481931</v>
      </c>
      <c r="D109" s="8">
        <v>15.622544883172813</v>
      </c>
      <c r="E109" s="8">
        <v>36.091691314869593</v>
      </c>
    </row>
    <row r="110" spans="1:5">
      <c r="A110" s="5">
        <v>2014</v>
      </c>
      <c r="B110" s="8">
        <v>15.363511659807957</v>
      </c>
      <c r="C110" s="8">
        <v>33.633633633633636</v>
      </c>
      <c r="D110" s="8">
        <v>15.690002881014117</v>
      </c>
      <c r="E110" s="8">
        <v>36.195666622358104</v>
      </c>
    </row>
    <row r="111" spans="1:5">
      <c r="A111" s="5">
        <v>2015</v>
      </c>
      <c r="B111" s="8">
        <v>15.500685871056241</v>
      </c>
      <c r="C111" s="8">
        <v>33.630952380952387</v>
      </c>
      <c r="D111" s="8">
        <v>15.736489376871523</v>
      </c>
      <c r="E111" s="8">
        <v>36.297855545322982</v>
      </c>
    </row>
    <row r="112" spans="1:5">
      <c r="A112" s="5">
        <v>2016</v>
      </c>
      <c r="B112" s="8">
        <v>15.595075239398085</v>
      </c>
      <c r="C112" s="8">
        <v>33.827893175074188</v>
      </c>
      <c r="D112" s="8">
        <v>15.769274184445198</v>
      </c>
      <c r="E112" s="8">
        <v>36.384945956504758</v>
      </c>
    </row>
    <row r="113" spans="1:5">
      <c r="A113" s="5">
        <v>2017</v>
      </c>
      <c r="B113" s="8">
        <v>15.531335149863759</v>
      </c>
      <c r="C113" s="8">
        <v>33.727810650887577</v>
      </c>
      <c r="D113" s="8">
        <v>15.805182850288709</v>
      </c>
      <c r="E113" s="8">
        <v>36.423245050141425</v>
      </c>
    </row>
    <row r="114" spans="1:5">
      <c r="A114" s="5">
        <v>2018</v>
      </c>
      <c r="B114" s="8">
        <v>15.582655826558264</v>
      </c>
      <c r="C114" s="8">
        <v>33.724340175953074</v>
      </c>
      <c r="D114" s="8">
        <v>15.844527637084344</v>
      </c>
      <c r="E114" s="8">
        <v>36.522842639593911</v>
      </c>
    </row>
    <row r="115" spans="1:5">
      <c r="A115" s="5">
        <v>2019</v>
      </c>
      <c r="B115" s="8">
        <v>15.725806451612904</v>
      </c>
      <c r="C115" s="8">
        <v>34.011627906976742</v>
      </c>
      <c r="D115" s="8">
        <v>15.882576374192848</v>
      </c>
      <c r="E115" s="8">
        <v>36.582927134108232</v>
      </c>
    </row>
  </sheetData>
  <mergeCells count="8">
    <mergeCell ref="B70:C70"/>
    <mergeCell ref="D70:E70"/>
    <mergeCell ref="B3:E3"/>
    <mergeCell ref="G3:J3"/>
    <mergeCell ref="B59:D59"/>
    <mergeCell ref="E59:G59"/>
    <mergeCell ref="B50:C50"/>
    <mergeCell ref="G50:H50"/>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B67E7-0F8B-7E4D-9CBF-E137C33D0BD4}">
  <sheetPr codeName="Sheet89"/>
  <dimension ref="A1:O24"/>
  <sheetViews>
    <sheetView workbookViewId="0"/>
  </sheetViews>
  <sheetFormatPr baseColWidth="10" defaultColWidth="10.83203125" defaultRowHeight="16"/>
  <cols>
    <col min="1" max="1" width="17" style="5" customWidth="1"/>
    <col min="2" max="15" width="12.83203125" style="5" customWidth="1"/>
    <col min="16" max="16384" width="10.83203125" style="5"/>
  </cols>
  <sheetData>
    <row r="1" spans="1:15">
      <c r="A1" s="19" t="s">
        <v>711</v>
      </c>
    </row>
    <row r="2" spans="1:15">
      <c r="A2" s="5" t="s">
        <v>455</v>
      </c>
    </row>
    <row r="4" spans="1:15">
      <c r="B4" s="328" t="s">
        <v>474</v>
      </c>
      <c r="C4" s="328"/>
      <c r="D4" s="328"/>
      <c r="E4" s="328" t="s">
        <v>475</v>
      </c>
      <c r="F4" s="328"/>
      <c r="G4" s="328"/>
      <c r="H4" s="328" t="s">
        <v>476</v>
      </c>
      <c r="I4" s="328"/>
      <c r="J4" s="328"/>
      <c r="K4" s="328" t="s">
        <v>477</v>
      </c>
      <c r="L4" s="328"/>
      <c r="M4" s="328"/>
      <c r="N4" s="328" t="s">
        <v>478</v>
      </c>
      <c r="O4" s="328"/>
    </row>
    <row r="5" spans="1:15" ht="102">
      <c r="B5" s="137" t="s">
        <v>81</v>
      </c>
      <c r="C5" s="137" t="s">
        <v>77</v>
      </c>
      <c r="D5" s="137" t="s">
        <v>78</v>
      </c>
      <c r="E5" s="137" t="s">
        <v>81</v>
      </c>
      <c r="F5" s="137" t="s">
        <v>77</v>
      </c>
      <c r="G5" s="137" t="s">
        <v>78</v>
      </c>
      <c r="H5" s="137" t="s">
        <v>81</v>
      </c>
      <c r="I5" s="137" t="s">
        <v>77</v>
      </c>
      <c r="J5" s="137" t="s">
        <v>78</v>
      </c>
      <c r="K5" s="137" t="s">
        <v>81</v>
      </c>
      <c r="L5" s="137" t="s">
        <v>77</v>
      </c>
      <c r="M5" s="137" t="s">
        <v>78</v>
      </c>
      <c r="N5" s="137" t="s">
        <v>81</v>
      </c>
      <c r="O5" s="137" t="s">
        <v>77</v>
      </c>
    </row>
    <row r="6" spans="1:15">
      <c r="A6" s="5">
        <v>1999</v>
      </c>
      <c r="B6" s="20">
        <v>87152</v>
      </c>
      <c r="C6" s="20">
        <v>76427</v>
      </c>
      <c r="D6" s="20">
        <v>10725</v>
      </c>
      <c r="E6" s="20">
        <v>30655</v>
      </c>
      <c r="F6" s="20">
        <v>27321</v>
      </c>
      <c r="G6" s="20">
        <v>3333</v>
      </c>
      <c r="H6" s="20">
        <v>7277</v>
      </c>
      <c r="I6" s="20">
        <v>5445</v>
      </c>
      <c r="J6" s="20">
        <v>1832</v>
      </c>
      <c r="K6" s="20">
        <v>39509</v>
      </c>
      <c r="L6" s="20">
        <v>33993</v>
      </c>
      <c r="M6" s="20">
        <v>5516</v>
      </c>
      <c r="N6" s="20">
        <v>9712</v>
      </c>
      <c r="O6" s="20">
        <v>9668</v>
      </c>
    </row>
    <row r="7" spans="1:15">
      <c r="A7" s="5">
        <v>2005</v>
      </c>
      <c r="B7" s="20">
        <v>93439</v>
      </c>
      <c r="C7" s="20">
        <v>85047</v>
      </c>
      <c r="D7" s="20">
        <v>8393</v>
      </c>
      <c r="E7" s="20">
        <v>33917</v>
      </c>
      <c r="F7" s="20">
        <v>29584</v>
      </c>
      <c r="G7" s="21" t="s">
        <v>87</v>
      </c>
      <c r="H7" s="20">
        <v>8474</v>
      </c>
      <c r="I7" s="20">
        <v>7688</v>
      </c>
      <c r="J7" s="135">
        <v>786</v>
      </c>
      <c r="K7" s="20">
        <v>43003</v>
      </c>
      <c r="L7" s="20">
        <v>39729</v>
      </c>
      <c r="M7" s="20">
        <v>3274</v>
      </c>
      <c r="N7" s="20">
        <v>8046</v>
      </c>
      <c r="O7" s="20">
        <v>8046</v>
      </c>
    </row>
    <row r="8" spans="1:15">
      <c r="A8" s="5">
        <v>2012</v>
      </c>
      <c r="B8" s="20">
        <v>157941</v>
      </c>
      <c r="C8" s="20">
        <v>129878</v>
      </c>
      <c r="D8" s="20">
        <v>28063</v>
      </c>
      <c r="E8" s="20">
        <v>70503</v>
      </c>
      <c r="F8" s="20">
        <v>57379</v>
      </c>
      <c r="G8" s="20">
        <v>13124</v>
      </c>
      <c r="H8" s="20">
        <v>13033</v>
      </c>
      <c r="I8" s="20">
        <v>11159</v>
      </c>
      <c r="J8" s="20">
        <v>1875</v>
      </c>
      <c r="K8" s="20">
        <v>63150</v>
      </c>
      <c r="L8" s="20">
        <v>50760</v>
      </c>
      <c r="M8" s="20">
        <v>12390</v>
      </c>
      <c r="N8" s="20">
        <v>11255</v>
      </c>
      <c r="O8" s="20">
        <v>10581</v>
      </c>
    </row>
    <row r="9" spans="1:15">
      <c r="A9" s="5">
        <v>2016</v>
      </c>
      <c r="B9" s="20">
        <v>167483</v>
      </c>
      <c r="C9" s="20">
        <v>138878</v>
      </c>
      <c r="D9" s="20">
        <v>28605</v>
      </c>
      <c r="E9" s="20">
        <v>83402</v>
      </c>
      <c r="F9" s="20">
        <v>71338</v>
      </c>
      <c r="G9" s="20">
        <v>12064</v>
      </c>
      <c r="H9" s="20">
        <v>11088</v>
      </c>
      <c r="I9" s="20">
        <v>7818</v>
      </c>
      <c r="J9" s="20">
        <v>3270</v>
      </c>
      <c r="K9" s="20">
        <v>67626</v>
      </c>
      <c r="L9" s="20">
        <v>55994</v>
      </c>
      <c r="M9" s="20">
        <v>11632</v>
      </c>
      <c r="N9" s="20">
        <v>5367</v>
      </c>
      <c r="O9" s="20">
        <v>3728</v>
      </c>
    </row>
    <row r="10" spans="1:15">
      <c r="A10" s="5">
        <v>2019</v>
      </c>
      <c r="B10" s="20">
        <v>155870</v>
      </c>
      <c r="C10" s="20">
        <v>125188</v>
      </c>
      <c r="D10" s="20">
        <v>30682</v>
      </c>
      <c r="E10" s="20">
        <v>71950</v>
      </c>
      <c r="F10" s="20">
        <v>59581</v>
      </c>
      <c r="G10" s="20">
        <v>12369</v>
      </c>
      <c r="H10" s="20">
        <v>13421</v>
      </c>
      <c r="I10" s="20">
        <v>9206</v>
      </c>
      <c r="J10" s="20">
        <v>4215</v>
      </c>
      <c r="K10" s="20">
        <v>65974</v>
      </c>
      <c r="L10" s="20">
        <v>53090</v>
      </c>
      <c r="M10" s="20">
        <v>12885</v>
      </c>
      <c r="N10" s="20">
        <v>4526</v>
      </c>
      <c r="O10" s="20">
        <v>3312</v>
      </c>
    </row>
    <row r="13" spans="1:15">
      <c r="A13" s="5" t="s">
        <v>479</v>
      </c>
      <c r="B13" s="143">
        <f>100*((B10/B6)^(1/20)-1)</f>
        <v>2.9495040712034459</v>
      </c>
      <c r="C13" s="143">
        <f t="shared" ref="C13:O13" si="0">100*((C10/C6)^(1/20)-1)</f>
        <v>2.4980951512320271</v>
      </c>
      <c r="D13" s="143">
        <f t="shared" si="0"/>
        <v>5.3960459732747212</v>
      </c>
      <c r="E13" s="143">
        <f t="shared" si="0"/>
        <v>4.3581745848140008</v>
      </c>
      <c r="F13" s="143">
        <f t="shared" si="0"/>
        <v>3.9753904332450851</v>
      </c>
      <c r="G13" s="143">
        <f t="shared" si="0"/>
        <v>6.7763236353009626</v>
      </c>
      <c r="H13" s="143">
        <f t="shared" si="0"/>
        <v>3.1078248361165128</v>
      </c>
      <c r="I13" s="143">
        <f t="shared" si="0"/>
        <v>2.6605659975994511</v>
      </c>
      <c r="J13" s="143">
        <f t="shared" si="0"/>
        <v>4.2542109061388445</v>
      </c>
      <c r="K13" s="143">
        <f t="shared" si="0"/>
        <v>2.5968055781662169</v>
      </c>
      <c r="L13" s="143">
        <f t="shared" si="0"/>
        <v>2.254201471499151</v>
      </c>
      <c r="M13" s="143">
        <f t="shared" si="0"/>
        <v>4.3333154218797798</v>
      </c>
      <c r="N13" s="143">
        <f t="shared" si="0"/>
        <v>-3.7456659126747005</v>
      </c>
      <c r="O13" s="143">
        <f t="shared" si="0"/>
        <v>-5.2154212445844284</v>
      </c>
    </row>
    <row r="14" spans="1:15">
      <c r="A14" s="5" t="s">
        <v>461</v>
      </c>
      <c r="B14" s="143">
        <f>100*((B7/B6)^(1/6)-1)</f>
        <v>1.1676830809036698</v>
      </c>
      <c r="C14" s="143">
        <f t="shared" ref="C14:O14" si="1">100*((C7/C6)^(1/6)-1)</f>
        <v>1.7970902446705628</v>
      </c>
      <c r="D14" s="143">
        <f t="shared" si="1"/>
        <v>-4.0039594798139566</v>
      </c>
      <c r="E14" s="143">
        <f t="shared" si="1"/>
        <v>1.6996250667409507</v>
      </c>
      <c r="F14" s="143">
        <f t="shared" si="1"/>
        <v>1.3351350035063048</v>
      </c>
      <c r="G14" s="21" t="s">
        <v>87</v>
      </c>
      <c r="H14" s="143">
        <f t="shared" si="1"/>
        <v>2.5705491758159615</v>
      </c>
      <c r="I14" s="143">
        <f t="shared" si="1"/>
        <v>5.9178724077306954</v>
      </c>
      <c r="J14" s="143">
        <f t="shared" si="1"/>
        <v>-13.15406148869107</v>
      </c>
      <c r="K14" s="143">
        <f t="shared" si="1"/>
        <v>1.4223773189872446</v>
      </c>
      <c r="L14" s="143">
        <f t="shared" si="1"/>
        <v>2.6328423520510347</v>
      </c>
      <c r="M14" s="143">
        <f t="shared" si="1"/>
        <v>-8.326797557967847</v>
      </c>
      <c r="N14" s="143">
        <f t="shared" si="1"/>
        <v>-3.0877762346588677</v>
      </c>
      <c r="O14" s="143">
        <f t="shared" si="1"/>
        <v>-3.0144057647259137</v>
      </c>
    </row>
    <row r="15" spans="1:15">
      <c r="A15" s="5" t="s">
        <v>462</v>
      </c>
      <c r="B15" s="143">
        <f>100*((B8/B7)^(1/7)-1)</f>
        <v>7.7870712617106541</v>
      </c>
      <c r="C15" s="143">
        <f t="shared" ref="C15:O15" si="2">100*((C8/C7)^(1/7)-1)</f>
        <v>6.2351131521527492</v>
      </c>
      <c r="D15" s="143">
        <f t="shared" si="2"/>
        <v>18.81961059420243</v>
      </c>
      <c r="E15" s="143">
        <f t="shared" si="2"/>
        <v>11.019328229064595</v>
      </c>
      <c r="F15" s="143">
        <f t="shared" si="2"/>
        <v>9.9257507044142166</v>
      </c>
      <c r="G15" s="21" t="s">
        <v>87</v>
      </c>
      <c r="H15" s="143">
        <f t="shared" si="2"/>
        <v>6.3427754453132978</v>
      </c>
      <c r="I15" s="143">
        <f t="shared" si="2"/>
        <v>5.4668526930730099</v>
      </c>
      <c r="J15" s="143">
        <f t="shared" si="2"/>
        <v>13.224345266943359</v>
      </c>
      <c r="K15" s="143">
        <f t="shared" si="2"/>
        <v>5.6426358717485803</v>
      </c>
      <c r="L15" s="143">
        <f t="shared" si="2"/>
        <v>3.5623739325935766</v>
      </c>
      <c r="M15" s="143">
        <f t="shared" si="2"/>
        <v>20.940114628597929</v>
      </c>
      <c r="N15" s="143">
        <f t="shared" si="2"/>
        <v>4.9116309816648718</v>
      </c>
      <c r="O15" s="143">
        <f t="shared" si="2"/>
        <v>3.9901928809211729</v>
      </c>
    </row>
    <row r="16" spans="1:15">
      <c r="A16" s="5" t="s">
        <v>463</v>
      </c>
      <c r="B16" s="143">
        <f>100*((B10/B8)^(1/7)-1)</f>
        <v>-0.18838260918518923</v>
      </c>
      <c r="C16" s="143">
        <f t="shared" ref="C16:O16" si="3">100*((C10/C8)^(1/7)-1)</f>
        <v>-0.52403555867761575</v>
      </c>
      <c r="D16" s="143">
        <f t="shared" si="3"/>
        <v>1.2827892006600061</v>
      </c>
      <c r="E16" s="143">
        <f t="shared" si="3"/>
        <v>0.29065259552663036</v>
      </c>
      <c r="F16" s="143">
        <f t="shared" si="3"/>
        <v>0.53942609977686296</v>
      </c>
      <c r="G16" s="143">
        <f t="shared" si="3"/>
        <v>-0.84284614804219782</v>
      </c>
      <c r="H16" s="143">
        <f t="shared" si="3"/>
        <v>0.41996570711826386</v>
      </c>
      <c r="I16" s="143">
        <f t="shared" si="3"/>
        <v>-2.7110154632899675</v>
      </c>
      <c r="J16" s="143">
        <f t="shared" si="3"/>
        <v>12.268162678845984</v>
      </c>
      <c r="K16" s="143">
        <f t="shared" si="3"/>
        <v>0.62692667047077322</v>
      </c>
      <c r="L16" s="143">
        <f t="shared" si="3"/>
        <v>0.64320176877425972</v>
      </c>
      <c r="M16" s="143">
        <f t="shared" si="3"/>
        <v>0.56119955012943201</v>
      </c>
      <c r="N16" s="143">
        <f t="shared" si="3"/>
        <v>-12.202673214912341</v>
      </c>
      <c r="O16" s="143">
        <f t="shared" si="3"/>
        <v>-15.28941925755074</v>
      </c>
    </row>
    <row r="19" spans="1:2">
      <c r="A19" s="5" t="s">
        <v>153</v>
      </c>
    </row>
    <row r="20" spans="1:2">
      <c r="A20" s="5">
        <v>1</v>
      </c>
      <c r="B20" s="5" t="s">
        <v>480</v>
      </c>
    </row>
    <row r="21" spans="1:2">
      <c r="A21" s="5">
        <v>2</v>
      </c>
      <c r="B21" s="5" t="s">
        <v>481</v>
      </c>
    </row>
    <row r="24" spans="1:2">
      <c r="A24" s="5" t="s">
        <v>554</v>
      </c>
    </row>
  </sheetData>
  <mergeCells count="5">
    <mergeCell ref="B4:D4"/>
    <mergeCell ref="E4:G4"/>
    <mergeCell ref="H4:J4"/>
    <mergeCell ref="K4:M4"/>
    <mergeCell ref="N4:O4"/>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69E37-64C5-0141-B696-5863CFCAD8C3}">
  <sheetPr codeName="Sheet90"/>
  <dimension ref="A1:O24"/>
  <sheetViews>
    <sheetView workbookViewId="0">
      <selection activeCell="L38" sqref="L38"/>
    </sheetView>
  </sheetViews>
  <sheetFormatPr baseColWidth="10" defaultColWidth="10.83203125" defaultRowHeight="16"/>
  <cols>
    <col min="1" max="1" width="20" style="5" customWidth="1"/>
    <col min="2" max="16384" width="10.83203125" style="5"/>
  </cols>
  <sheetData>
    <row r="1" spans="1:15">
      <c r="A1" s="19" t="s">
        <v>712</v>
      </c>
    </row>
    <row r="4" spans="1:15">
      <c r="B4" s="338" t="s">
        <v>474</v>
      </c>
      <c r="C4" s="338"/>
      <c r="D4" s="338"/>
      <c r="E4" s="338" t="s">
        <v>475</v>
      </c>
      <c r="F4" s="338"/>
      <c r="G4" s="338"/>
      <c r="H4" s="338" t="s">
        <v>476</v>
      </c>
      <c r="I4" s="338"/>
      <c r="J4" s="338"/>
      <c r="K4" s="338" t="s">
        <v>477</v>
      </c>
      <c r="L4" s="338"/>
      <c r="M4" s="338"/>
      <c r="N4" s="338" t="s">
        <v>478</v>
      </c>
      <c r="O4" s="338"/>
    </row>
    <row r="5" spans="1:15" ht="102">
      <c r="B5" s="142" t="s">
        <v>81</v>
      </c>
      <c r="C5" s="142" t="s">
        <v>77</v>
      </c>
      <c r="D5" s="142" t="s">
        <v>78</v>
      </c>
      <c r="E5" s="142" t="s">
        <v>81</v>
      </c>
      <c r="F5" s="142" t="s">
        <v>77</v>
      </c>
      <c r="G5" s="142" t="s">
        <v>78</v>
      </c>
      <c r="H5" s="142" t="s">
        <v>81</v>
      </c>
      <c r="I5" s="142" t="s">
        <v>77</v>
      </c>
      <c r="J5" s="142" t="s">
        <v>78</v>
      </c>
      <c r="K5" s="142" t="s">
        <v>81</v>
      </c>
      <c r="L5" s="142" t="s">
        <v>77</v>
      </c>
      <c r="M5" s="142" t="s">
        <v>78</v>
      </c>
      <c r="N5" s="142" t="s">
        <v>81</v>
      </c>
      <c r="O5" s="142" t="s">
        <v>77</v>
      </c>
    </row>
    <row r="6" spans="1:15">
      <c r="A6" s="6">
        <v>1999</v>
      </c>
      <c r="B6" s="143">
        <v>1.7372764117762909</v>
      </c>
      <c r="C6" s="143">
        <v>1.8005222025611625</v>
      </c>
      <c r="D6" s="143">
        <v>1.3894736842105264</v>
      </c>
      <c r="E6" s="143">
        <v>2.0947878698422979</v>
      </c>
      <c r="F6" s="143">
        <v>2.2112598539909674</v>
      </c>
      <c r="G6" s="143">
        <v>1.4627852167845059</v>
      </c>
      <c r="H6" s="143">
        <v>1.1751558773135327</v>
      </c>
      <c r="I6" s="143">
        <v>1.1721853021525586</v>
      </c>
      <c r="J6" s="143">
        <v>1.1840744570837642</v>
      </c>
      <c r="K6" s="143">
        <v>1.6243132672874927</v>
      </c>
      <c r="L6" s="143">
        <v>1.6294484715022679</v>
      </c>
      <c r="M6" s="143">
        <v>1.5933677080173896</v>
      </c>
      <c r="N6" s="143">
        <v>1.9361809866708133</v>
      </c>
      <c r="O6" s="143">
        <v>2.1086610394992258</v>
      </c>
    </row>
    <row r="7" spans="1:15">
      <c r="A7" s="6">
        <v>2005</v>
      </c>
      <c r="B7" s="143">
        <v>1.3074650983260938</v>
      </c>
      <c r="C7" s="143">
        <v>1.4066892957836867</v>
      </c>
      <c r="D7" s="143">
        <v>0.76252931145229441</v>
      </c>
      <c r="E7" s="143">
        <v>1.635198051473761</v>
      </c>
      <c r="F7" s="143">
        <v>1.7251051075566648</v>
      </c>
      <c r="G7" s="143" t="s">
        <v>87</v>
      </c>
      <c r="H7" s="143">
        <v>1.1404684614846277</v>
      </c>
      <c r="I7" s="143">
        <v>1.3257343875289918</v>
      </c>
      <c r="J7" s="143">
        <v>0.48184498813778559</v>
      </c>
      <c r="K7" s="143">
        <v>1.2013084968488803</v>
      </c>
      <c r="L7" s="143">
        <v>1.3022699336228796</v>
      </c>
      <c r="M7" s="143">
        <v>0.61898549902633615</v>
      </c>
      <c r="N7" s="143">
        <v>1.0732493337210511</v>
      </c>
      <c r="O7" s="143">
        <v>1.1488803913561243</v>
      </c>
    </row>
    <row r="8" spans="1:15">
      <c r="A8" s="6">
        <v>2012</v>
      </c>
      <c r="B8" s="143">
        <v>1.5018502480119675</v>
      </c>
      <c r="C8" s="143">
        <v>1.4744096083763376</v>
      </c>
      <c r="D8" s="143">
        <v>1.6434041885344113</v>
      </c>
      <c r="E8" s="143">
        <v>2.2295546677772857</v>
      </c>
      <c r="F8" s="143">
        <v>2.1613784546213735</v>
      </c>
      <c r="G8" s="143">
        <v>2.5862136917195442</v>
      </c>
      <c r="H8" s="143">
        <v>1.1136812836088981</v>
      </c>
      <c r="I8" s="143">
        <v>1.2519423112522228</v>
      </c>
      <c r="J8" s="143">
        <v>0.67221648597487527</v>
      </c>
      <c r="K8" s="143">
        <v>1.191042455429739</v>
      </c>
      <c r="L8" s="143">
        <v>1.1380617302080729</v>
      </c>
      <c r="M8" s="143">
        <v>1.4717359000217376</v>
      </c>
      <c r="N8" s="143">
        <v>1.2762435011367694</v>
      </c>
      <c r="O8" s="143">
        <v>1.3184685279655886</v>
      </c>
    </row>
    <row r="9" spans="1:15">
      <c r="A9" s="6">
        <v>2016</v>
      </c>
      <c r="B9" s="143">
        <v>1.314675036645871</v>
      </c>
      <c r="C9" s="143">
        <v>1.3076200755338483</v>
      </c>
      <c r="D9" s="143">
        <v>1.3500381578692759</v>
      </c>
      <c r="E9" s="143">
        <v>2.2399997421644864</v>
      </c>
      <c r="F9" s="143">
        <v>2.3345106569439569</v>
      </c>
      <c r="G9" s="143">
        <v>1.8073299935281286</v>
      </c>
      <c r="H9" s="143">
        <v>0.76176029283252811</v>
      </c>
      <c r="I9" s="143">
        <v>0.68587370378818446</v>
      </c>
      <c r="J9" s="143">
        <v>1.0357409824019055</v>
      </c>
      <c r="K9" s="143">
        <v>1.0314733125765585</v>
      </c>
      <c r="L9" s="143">
        <v>1.0145768643352695</v>
      </c>
      <c r="M9" s="143">
        <v>1.121369551616066</v>
      </c>
      <c r="N9" s="143">
        <v>0.53436748592394201</v>
      </c>
      <c r="O9" s="143">
        <v>0.41145268845923771</v>
      </c>
    </row>
    <row r="10" spans="1:15">
      <c r="A10" s="6">
        <v>2019</v>
      </c>
      <c r="B10" s="143">
        <v>1.1448380634748696</v>
      </c>
      <c r="C10" s="143">
        <v>1.1400735563641464</v>
      </c>
      <c r="D10" s="143">
        <v>1.1646979821442331</v>
      </c>
      <c r="E10" s="143">
        <v>1.8236847861599688</v>
      </c>
      <c r="F10" s="143">
        <v>1.9025099745985015</v>
      </c>
      <c r="G10" s="143">
        <v>1.5202708931238131</v>
      </c>
      <c r="H10" s="143">
        <v>0.86883340939914477</v>
      </c>
      <c r="I10" s="143">
        <v>0.79060208909259388</v>
      </c>
      <c r="J10" s="143">
        <v>1.1083763272905129</v>
      </c>
      <c r="K10" s="143">
        <v>0.94228043176308018</v>
      </c>
      <c r="L10" s="143">
        <v>0.93068329052727794</v>
      </c>
      <c r="M10" s="143">
        <v>0.99335910336331268</v>
      </c>
      <c r="N10" s="143">
        <v>0.4028564892739237</v>
      </c>
      <c r="O10" s="143">
        <v>0.33790746314339642</v>
      </c>
    </row>
    <row r="13" spans="1:15">
      <c r="A13" s="22" t="s">
        <v>418</v>
      </c>
      <c r="B13" s="143">
        <f>B10-B6</f>
        <v>-0.59243834830142128</v>
      </c>
      <c r="C13" s="143">
        <f t="shared" ref="C13:O13" si="0">C10-C6</f>
        <v>-0.66044864619701604</v>
      </c>
      <c r="D13" s="143">
        <f t="shared" si="0"/>
        <v>-0.22477570206629327</v>
      </c>
      <c r="E13" s="143">
        <f t="shared" si="0"/>
        <v>-0.27110308368232916</v>
      </c>
      <c r="F13" s="143">
        <f t="shared" si="0"/>
        <v>-0.3087498793924659</v>
      </c>
      <c r="G13" s="143">
        <f t="shared" si="0"/>
        <v>5.7485676339307235E-2</v>
      </c>
      <c r="H13" s="143">
        <f t="shared" si="0"/>
        <v>-0.30632246791438789</v>
      </c>
      <c r="I13" s="143">
        <f t="shared" si="0"/>
        <v>-0.38158321305996468</v>
      </c>
      <c r="J13" s="143">
        <f t="shared" si="0"/>
        <v>-7.5698129793251301E-2</v>
      </c>
      <c r="K13" s="143">
        <f t="shared" si="0"/>
        <v>-0.68203283552441252</v>
      </c>
      <c r="L13" s="143">
        <f t="shared" si="0"/>
        <v>-0.69876518097498996</v>
      </c>
      <c r="M13" s="143">
        <f t="shared" si="0"/>
        <v>-0.6000086046540769</v>
      </c>
      <c r="N13" s="143">
        <f t="shared" si="0"/>
        <v>-1.5333244973968896</v>
      </c>
      <c r="O13" s="143">
        <f t="shared" si="0"/>
        <v>-1.7707535763558293</v>
      </c>
    </row>
    <row r="14" spans="1:15">
      <c r="A14" s="22" t="s">
        <v>449</v>
      </c>
      <c r="B14" s="143">
        <f>B7-B6</f>
        <v>-0.42981131345019707</v>
      </c>
      <c r="C14" s="143">
        <f t="shared" ref="C14:O14" si="1">C7-C6</f>
        <v>-0.39383290677747573</v>
      </c>
      <c r="D14" s="143">
        <f t="shared" si="1"/>
        <v>-0.626944372758232</v>
      </c>
      <c r="E14" s="143">
        <f t="shared" si="1"/>
        <v>-0.45958981836853696</v>
      </c>
      <c r="F14" s="143">
        <f t="shared" si="1"/>
        <v>-0.48615474643430256</v>
      </c>
      <c r="G14" s="143" t="s">
        <v>87</v>
      </c>
      <c r="H14" s="143">
        <f t="shared" si="1"/>
        <v>-3.4687415828904999E-2</v>
      </c>
      <c r="I14" s="143">
        <f t="shared" si="1"/>
        <v>0.15354908537643319</v>
      </c>
      <c r="J14" s="143">
        <f t="shared" si="1"/>
        <v>-0.70222946894597871</v>
      </c>
      <c r="K14" s="143">
        <f t="shared" si="1"/>
        <v>-0.4230047704386124</v>
      </c>
      <c r="L14" s="143">
        <f t="shared" si="1"/>
        <v>-0.32717853787938833</v>
      </c>
      <c r="M14" s="143">
        <f t="shared" si="1"/>
        <v>-0.97438220899105343</v>
      </c>
      <c r="N14" s="143">
        <f t="shared" si="1"/>
        <v>-0.86293165294976215</v>
      </c>
      <c r="O14" s="143">
        <f t="shared" si="1"/>
        <v>-0.95978064814310149</v>
      </c>
    </row>
    <row r="15" spans="1:15">
      <c r="A15" s="22" t="s">
        <v>450</v>
      </c>
      <c r="B15" s="143">
        <f>B8-B7</f>
        <v>0.19438514968587373</v>
      </c>
      <c r="C15" s="143">
        <f t="shared" ref="C15:O15" si="2">C8-C7</f>
        <v>6.7720312592650878E-2</v>
      </c>
      <c r="D15" s="143">
        <f t="shared" si="2"/>
        <v>0.88087487708211687</v>
      </c>
      <c r="E15" s="143">
        <f t="shared" si="2"/>
        <v>0.59435661630352477</v>
      </c>
      <c r="F15" s="143">
        <f t="shared" si="2"/>
        <v>0.43627334706470866</v>
      </c>
      <c r="G15" s="143" t="s">
        <v>87</v>
      </c>
      <c r="H15" s="143">
        <f t="shared" si="2"/>
        <v>-2.6787177875729595E-2</v>
      </c>
      <c r="I15" s="143">
        <f t="shared" si="2"/>
        <v>-7.3792076276768981E-2</v>
      </c>
      <c r="J15" s="143">
        <f t="shared" si="2"/>
        <v>0.19037149783708968</v>
      </c>
      <c r="K15" s="143">
        <f t="shared" si="2"/>
        <v>-1.0266041419141336E-2</v>
      </c>
      <c r="L15" s="143">
        <f t="shared" si="2"/>
        <v>-0.16420820341480669</v>
      </c>
      <c r="M15" s="143">
        <f t="shared" si="2"/>
        <v>0.85275040099540145</v>
      </c>
      <c r="N15" s="143">
        <f t="shared" si="2"/>
        <v>0.2029941674157183</v>
      </c>
      <c r="O15" s="143">
        <f t="shared" si="2"/>
        <v>0.16958813660946426</v>
      </c>
    </row>
    <row r="16" spans="1:15">
      <c r="A16" s="22" t="s">
        <v>451</v>
      </c>
      <c r="B16" s="143">
        <f>B10-B8</f>
        <v>-0.35701218453709793</v>
      </c>
      <c r="C16" s="143">
        <f t="shared" ref="C16:O16" si="3">C10-C8</f>
        <v>-0.33433605201219119</v>
      </c>
      <c r="D16" s="143">
        <f t="shared" si="3"/>
        <v>-0.47870620639017814</v>
      </c>
      <c r="E16" s="143">
        <f t="shared" si="3"/>
        <v>-0.40586988161731696</v>
      </c>
      <c r="F16" s="143">
        <f t="shared" si="3"/>
        <v>-0.25886848002287199</v>
      </c>
      <c r="G16" s="143">
        <f t="shared" si="3"/>
        <v>-1.065942798595731</v>
      </c>
      <c r="H16" s="143">
        <f t="shared" si="3"/>
        <v>-0.24484787420975329</v>
      </c>
      <c r="I16" s="143">
        <f t="shared" si="3"/>
        <v>-0.46134022215962889</v>
      </c>
      <c r="J16" s="143">
        <f t="shared" si="3"/>
        <v>0.43615984131563768</v>
      </c>
      <c r="K16" s="143">
        <f t="shared" si="3"/>
        <v>-0.24876202366665878</v>
      </c>
      <c r="L16" s="143">
        <f t="shared" si="3"/>
        <v>-0.20737843968079495</v>
      </c>
      <c r="M16" s="143">
        <f t="shared" si="3"/>
        <v>-0.47837679665842492</v>
      </c>
      <c r="N16" s="143">
        <f t="shared" si="3"/>
        <v>-0.87338701186284573</v>
      </c>
      <c r="O16" s="143">
        <f t="shared" si="3"/>
        <v>-0.98056106482219207</v>
      </c>
    </row>
    <row r="17" spans="1:15">
      <c r="A17" s="22"/>
      <c r="B17" s="135"/>
      <c r="C17" s="135"/>
      <c r="D17" s="135"/>
      <c r="E17" s="135"/>
      <c r="F17" s="135"/>
      <c r="G17" s="135"/>
      <c r="H17" s="135"/>
      <c r="I17" s="135"/>
      <c r="J17" s="135"/>
      <c r="K17" s="135"/>
      <c r="L17" s="135"/>
      <c r="M17" s="135"/>
      <c r="N17" s="135"/>
      <c r="O17" s="135"/>
    </row>
    <row r="18" spans="1:15">
      <c r="A18" s="22"/>
      <c r="B18" s="135"/>
      <c r="C18" s="135"/>
      <c r="D18" s="135"/>
      <c r="E18" s="135"/>
      <c r="F18" s="135"/>
      <c r="G18" s="135"/>
      <c r="H18" s="135"/>
      <c r="I18" s="135"/>
      <c r="J18" s="135"/>
      <c r="K18" s="135"/>
      <c r="L18" s="135"/>
      <c r="M18" s="135"/>
      <c r="N18" s="135"/>
      <c r="O18" s="135"/>
    </row>
    <row r="19" spans="1:15">
      <c r="A19" s="5" t="s">
        <v>153</v>
      </c>
      <c r="D19" s="135"/>
      <c r="E19" s="135"/>
      <c r="F19" s="135"/>
      <c r="G19" s="135"/>
      <c r="H19" s="135"/>
      <c r="I19" s="135"/>
      <c r="J19" s="135"/>
      <c r="K19" s="135"/>
      <c r="L19" s="135"/>
      <c r="M19" s="135"/>
      <c r="N19" s="135"/>
      <c r="O19" s="135"/>
    </row>
    <row r="20" spans="1:15">
      <c r="A20" s="5">
        <v>1</v>
      </c>
      <c r="B20" s="5" t="s">
        <v>480</v>
      </c>
      <c r="D20" s="135"/>
      <c r="E20" s="135"/>
      <c r="F20" s="135"/>
      <c r="G20" s="135"/>
      <c r="H20" s="135"/>
      <c r="I20" s="135"/>
      <c r="J20" s="135"/>
      <c r="K20" s="135"/>
      <c r="L20" s="135"/>
      <c r="M20" s="135"/>
      <c r="N20" s="135"/>
      <c r="O20" s="135"/>
    </row>
    <row r="21" spans="1:15">
      <c r="A21" s="5">
        <v>2</v>
      </c>
      <c r="B21" s="5" t="s">
        <v>481</v>
      </c>
      <c r="D21" s="135"/>
      <c r="E21" s="135"/>
      <c r="F21" s="135"/>
      <c r="G21" s="135"/>
      <c r="H21" s="135"/>
      <c r="I21" s="135"/>
      <c r="J21" s="135"/>
      <c r="K21" s="135"/>
      <c r="L21" s="135"/>
      <c r="M21" s="135"/>
      <c r="N21" s="135"/>
      <c r="O21" s="135"/>
    </row>
    <row r="22" spans="1:15">
      <c r="D22" s="135"/>
      <c r="E22" s="135"/>
      <c r="F22" s="135"/>
      <c r="G22" s="135"/>
      <c r="H22" s="135"/>
      <c r="I22" s="135"/>
      <c r="J22" s="135"/>
      <c r="K22" s="135"/>
      <c r="L22" s="135"/>
      <c r="M22" s="135"/>
      <c r="N22" s="135"/>
      <c r="O22" s="135"/>
    </row>
    <row r="23" spans="1:15">
      <c r="D23" s="135"/>
      <c r="E23" s="135"/>
      <c r="F23" s="135"/>
      <c r="G23" s="135"/>
      <c r="H23" s="135"/>
      <c r="I23" s="135"/>
      <c r="J23" s="135"/>
      <c r="K23" s="135"/>
      <c r="L23" s="135"/>
      <c r="M23" s="135"/>
      <c r="N23" s="135"/>
      <c r="O23" s="135"/>
    </row>
    <row r="24" spans="1:15">
      <c r="A24" s="5" t="s">
        <v>466</v>
      </c>
    </row>
  </sheetData>
  <mergeCells count="5">
    <mergeCell ref="B4:D4"/>
    <mergeCell ref="E4:G4"/>
    <mergeCell ref="H4:J4"/>
    <mergeCell ref="K4:M4"/>
    <mergeCell ref="N4:O4"/>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784DD-88FE-42F1-8FF6-A7535335B75E}">
  <dimension ref="A1:S21"/>
  <sheetViews>
    <sheetView workbookViewId="0">
      <selection activeCell="M38" sqref="M38"/>
    </sheetView>
  </sheetViews>
  <sheetFormatPr baseColWidth="10" defaultColWidth="9" defaultRowHeight="14"/>
  <cols>
    <col min="1" max="1" width="18.1640625" style="216" customWidth="1"/>
    <col min="2" max="18" width="12.6640625" style="216" customWidth="1"/>
    <col min="19" max="19" width="19" style="216" customWidth="1"/>
    <col min="20" max="16384" width="9" style="216"/>
  </cols>
  <sheetData>
    <row r="1" spans="1:19">
      <c r="A1" s="215" t="s">
        <v>713</v>
      </c>
    </row>
    <row r="2" spans="1:19">
      <c r="A2" s="216" t="s">
        <v>557</v>
      </c>
    </row>
    <row r="4" spans="1:19" ht="19.5" customHeight="1">
      <c r="B4" s="359" t="s">
        <v>475</v>
      </c>
      <c r="C4" s="359"/>
      <c r="D4" s="360"/>
      <c r="E4" s="361" t="s">
        <v>476</v>
      </c>
      <c r="F4" s="362"/>
      <c r="G4" s="362"/>
      <c r="H4" s="362"/>
      <c r="I4" s="362"/>
      <c r="J4" s="362"/>
      <c r="K4" s="360"/>
      <c r="L4" s="361" t="s">
        <v>477</v>
      </c>
      <c r="M4" s="362"/>
      <c r="N4" s="362"/>
      <c r="O4" s="362"/>
      <c r="P4" s="362"/>
      <c r="Q4" s="362"/>
      <c r="R4" s="360"/>
      <c r="S4" s="227" t="s">
        <v>478</v>
      </c>
    </row>
    <row r="5" spans="1:19" ht="154.5" customHeight="1">
      <c r="B5" s="214" t="s">
        <v>583</v>
      </c>
      <c r="C5" s="214" t="s">
        <v>565</v>
      </c>
      <c r="D5" s="214" t="s">
        <v>566</v>
      </c>
      <c r="E5" s="224" t="s">
        <v>584</v>
      </c>
      <c r="F5" s="225" t="s">
        <v>567</v>
      </c>
      <c r="G5" s="225" t="s">
        <v>568</v>
      </c>
      <c r="H5" s="225" t="s">
        <v>569</v>
      </c>
      <c r="I5" s="225" t="s">
        <v>570</v>
      </c>
      <c r="J5" s="225" t="s">
        <v>571</v>
      </c>
      <c r="K5" s="226" t="s">
        <v>572</v>
      </c>
      <c r="L5" s="224" t="s">
        <v>585</v>
      </c>
      <c r="M5" s="225" t="s">
        <v>573</v>
      </c>
      <c r="N5" s="218" t="s">
        <v>574</v>
      </c>
      <c r="O5" s="218" t="s">
        <v>575</v>
      </c>
      <c r="P5" s="225" t="s">
        <v>576</v>
      </c>
      <c r="Q5" s="218" t="s">
        <v>577</v>
      </c>
      <c r="R5" s="219" t="s">
        <v>578</v>
      </c>
      <c r="S5" s="214" t="s">
        <v>478</v>
      </c>
    </row>
    <row r="6" spans="1:19">
      <c r="A6" s="216">
        <v>1999</v>
      </c>
      <c r="B6" s="217">
        <v>35.200000000000003</v>
      </c>
      <c r="C6" s="217">
        <v>10.199999999999999</v>
      </c>
      <c r="D6" s="217">
        <v>25</v>
      </c>
      <c r="E6" s="220">
        <v>8.3000000000000007</v>
      </c>
      <c r="F6" s="221">
        <v>4.5</v>
      </c>
      <c r="G6" s="221">
        <v>1.5</v>
      </c>
      <c r="H6" s="221">
        <v>1.3</v>
      </c>
      <c r="I6" s="221">
        <v>0.3</v>
      </c>
      <c r="J6" s="222" t="s">
        <v>87</v>
      </c>
      <c r="K6" s="223">
        <v>0.7</v>
      </c>
      <c r="L6" s="220">
        <v>45.3</v>
      </c>
      <c r="M6" s="221">
        <v>32.200000000000003</v>
      </c>
      <c r="N6" s="221">
        <v>27.2</v>
      </c>
      <c r="O6" s="221">
        <v>5</v>
      </c>
      <c r="P6" s="221">
        <v>13.1</v>
      </c>
      <c r="Q6" s="221">
        <v>5.2</v>
      </c>
      <c r="R6" s="223">
        <v>7.9</v>
      </c>
      <c r="S6" s="217">
        <v>11.1</v>
      </c>
    </row>
    <row r="7" spans="1:19">
      <c r="A7" s="216">
        <v>2005</v>
      </c>
      <c r="B7" s="217">
        <v>36.299999999999997</v>
      </c>
      <c r="C7" s="217">
        <v>9.1</v>
      </c>
      <c r="D7" s="217">
        <v>27.2</v>
      </c>
      <c r="E7" s="220">
        <v>9.1</v>
      </c>
      <c r="F7" s="221">
        <v>4.0999999999999996</v>
      </c>
      <c r="G7" s="222" t="s">
        <v>87</v>
      </c>
      <c r="H7" s="222" t="s">
        <v>87</v>
      </c>
      <c r="I7" s="222" t="s">
        <v>87</v>
      </c>
      <c r="J7" s="222" t="s">
        <v>87</v>
      </c>
      <c r="K7" s="223">
        <v>1</v>
      </c>
      <c r="L7" s="220">
        <v>46</v>
      </c>
      <c r="M7" s="221">
        <v>34.5</v>
      </c>
      <c r="N7" s="221">
        <v>27.9</v>
      </c>
      <c r="O7" s="221">
        <v>6.6</v>
      </c>
      <c r="P7" s="221">
        <v>11.5</v>
      </c>
      <c r="Q7" s="221">
        <v>5.5</v>
      </c>
      <c r="R7" s="223">
        <v>6</v>
      </c>
      <c r="S7" s="217">
        <v>8.6</v>
      </c>
    </row>
    <row r="8" spans="1:19">
      <c r="A8" s="216">
        <v>2012</v>
      </c>
      <c r="B8" s="217">
        <v>44.6</v>
      </c>
      <c r="C8" s="217">
        <v>10.3</v>
      </c>
      <c r="D8" s="217">
        <v>34.4</v>
      </c>
      <c r="E8" s="220">
        <v>8.3000000000000007</v>
      </c>
      <c r="F8" s="221">
        <v>2.9</v>
      </c>
      <c r="G8" s="221">
        <v>1.9</v>
      </c>
      <c r="H8" s="222" t="s">
        <v>87</v>
      </c>
      <c r="I8" s="221">
        <v>0.5</v>
      </c>
      <c r="J8" s="221">
        <v>0.6</v>
      </c>
      <c r="K8" s="223">
        <v>1</v>
      </c>
      <c r="L8" s="220">
        <v>40</v>
      </c>
      <c r="M8" s="221">
        <v>31</v>
      </c>
      <c r="N8" s="221">
        <v>26.2</v>
      </c>
      <c r="O8" s="221">
        <v>4.9000000000000004</v>
      </c>
      <c r="P8" s="221">
        <v>9</v>
      </c>
      <c r="Q8" s="221">
        <v>4.0999999999999996</v>
      </c>
      <c r="R8" s="223">
        <v>4.9000000000000004</v>
      </c>
      <c r="S8" s="217">
        <v>7.1</v>
      </c>
    </row>
    <row r="9" spans="1:19">
      <c r="A9" s="216">
        <v>2016</v>
      </c>
      <c r="B9" s="217">
        <v>49.8</v>
      </c>
      <c r="C9" s="217">
        <v>10.1</v>
      </c>
      <c r="D9" s="217">
        <v>39.700000000000003</v>
      </c>
      <c r="E9" s="220">
        <v>6.6</v>
      </c>
      <c r="F9" s="221">
        <v>2.4</v>
      </c>
      <c r="G9" s="221">
        <v>1.4</v>
      </c>
      <c r="H9" s="222" t="s">
        <v>87</v>
      </c>
      <c r="I9" s="221">
        <v>0.1</v>
      </c>
      <c r="J9" s="221">
        <v>1.2</v>
      </c>
      <c r="K9" s="223">
        <v>0.9</v>
      </c>
      <c r="L9" s="220">
        <v>40.4</v>
      </c>
      <c r="M9" s="221">
        <v>31.6</v>
      </c>
      <c r="N9" s="221">
        <v>26</v>
      </c>
      <c r="O9" s="221">
        <v>5.6</v>
      </c>
      <c r="P9" s="221">
        <v>8.8000000000000007</v>
      </c>
      <c r="Q9" s="221">
        <v>4.5</v>
      </c>
      <c r="R9" s="223">
        <v>4.3</v>
      </c>
      <c r="S9" s="217">
        <v>3.2</v>
      </c>
    </row>
    <row r="10" spans="1:19">
      <c r="A10" s="216">
        <v>2019</v>
      </c>
      <c r="B10" s="217">
        <v>46.2</v>
      </c>
      <c r="C10" s="217">
        <v>10.5</v>
      </c>
      <c r="D10" s="217">
        <v>35.700000000000003</v>
      </c>
      <c r="E10" s="220">
        <v>8.6</v>
      </c>
      <c r="F10" s="221">
        <v>3.5</v>
      </c>
      <c r="G10" s="222" t="s">
        <v>87</v>
      </c>
      <c r="H10" s="222" t="s">
        <v>87</v>
      </c>
      <c r="I10" s="222" t="s">
        <v>87</v>
      </c>
      <c r="J10" s="221">
        <v>2</v>
      </c>
      <c r="K10" s="223">
        <v>1.2</v>
      </c>
      <c r="L10" s="220">
        <v>42.3</v>
      </c>
      <c r="M10" s="221">
        <v>32.5</v>
      </c>
      <c r="N10" s="221">
        <v>27.6</v>
      </c>
      <c r="O10" s="221">
        <v>4.9000000000000004</v>
      </c>
      <c r="P10" s="221">
        <v>9.8000000000000007</v>
      </c>
      <c r="Q10" s="221">
        <v>5.0999999999999996</v>
      </c>
      <c r="R10" s="223">
        <v>4.7</v>
      </c>
      <c r="S10" s="217">
        <v>2.9</v>
      </c>
    </row>
    <row r="11" spans="1:19">
      <c r="B11" s="217"/>
      <c r="C11" s="217"/>
      <c r="D11" s="217"/>
      <c r="E11" s="220"/>
      <c r="F11" s="221"/>
      <c r="G11" s="222"/>
      <c r="H11" s="222"/>
      <c r="I11" s="222"/>
      <c r="J11" s="221"/>
      <c r="K11" s="223"/>
      <c r="L11" s="220"/>
      <c r="M11" s="221"/>
      <c r="N11" s="221"/>
      <c r="O11" s="221"/>
      <c r="P11" s="221"/>
      <c r="Q11" s="221"/>
      <c r="R11" s="223"/>
      <c r="S11" s="217"/>
    </row>
    <row r="12" spans="1:19">
      <c r="A12" s="216" t="s">
        <v>418</v>
      </c>
      <c r="B12" s="217">
        <f>B10-B6</f>
        <v>11</v>
      </c>
      <c r="C12" s="217">
        <f t="shared" ref="C12:S12" si="0">C10-C6</f>
        <v>0.30000000000000071</v>
      </c>
      <c r="D12" s="217">
        <f t="shared" si="0"/>
        <v>10.700000000000003</v>
      </c>
      <c r="E12" s="220">
        <f t="shared" si="0"/>
        <v>0.29999999999999893</v>
      </c>
      <c r="F12" s="221">
        <f t="shared" si="0"/>
        <v>-1</v>
      </c>
      <c r="G12" s="222" t="s">
        <v>87</v>
      </c>
      <c r="H12" s="222" t="s">
        <v>87</v>
      </c>
      <c r="I12" s="222" t="s">
        <v>87</v>
      </c>
      <c r="J12" s="222" t="s">
        <v>87</v>
      </c>
      <c r="K12" s="223">
        <f>K10-K6</f>
        <v>0.5</v>
      </c>
      <c r="L12" s="220">
        <f t="shared" si="0"/>
        <v>-3</v>
      </c>
      <c r="M12" s="221">
        <f t="shared" si="0"/>
        <v>0.29999999999999716</v>
      </c>
      <c r="N12" s="221">
        <f t="shared" si="0"/>
        <v>0.40000000000000213</v>
      </c>
      <c r="O12" s="221">
        <f t="shared" si="0"/>
        <v>-9.9999999999999645E-2</v>
      </c>
      <c r="P12" s="221">
        <f t="shared" si="0"/>
        <v>-3.2999999999999989</v>
      </c>
      <c r="Q12" s="221">
        <f t="shared" si="0"/>
        <v>-0.10000000000000053</v>
      </c>
      <c r="R12" s="223">
        <f t="shared" si="0"/>
        <v>-3.2</v>
      </c>
      <c r="S12" s="217">
        <f t="shared" si="0"/>
        <v>-8.1999999999999993</v>
      </c>
    </row>
    <row r="15" spans="1:19">
      <c r="A15" s="216" t="s">
        <v>579</v>
      </c>
    </row>
    <row r="16" spans="1:19">
      <c r="A16" s="216" t="s">
        <v>580</v>
      </c>
    </row>
    <row r="17" spans="1:1">
      <c r="A17" s="216" t="s">
        <v>581</v>
      </c>
    </row>
    <row r="18" spans="1:1">
      <c r="A18" s="216" t="s">
        <v>582</v>
      </c>
    </row>
    <row r="21" spans="1:1" ht="16">
      <c r="A21" s="5" t="s">
        <v>554</v>
      </c>
    </row>
  </sheetData>
  <mergeCells count="3">
    <mergeCell ref="B4:D4"/>
    <mergeCell ref="E4:K4"/>
    <mergeCell ref="L4:R4"/>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9CB66-D631-8A42-B635-99061FC3A499}">
  <sheetPr codeName="Sheet91"/>
  <dimension ref="A1:J27"/>
  <sheetViews>
    <sheetView workbookViewId="0">
      <selection activeCell="O39" sqref="O39"/>
    </sheetView>
  </sheetViews>
  <sheetFormatPr baseColWidth="10" defaultColWidth="10.83203125" defaultRowHeight="16"/>
  <cols>
    <col min="1" max="1" width="17.83203125" style="5" customWidth="1"/>
    <col min="2" max="16384" width="10.83203125" style="5"/>
  </cols>
  <sheetData>
    <row r="1" spans="1:10">
      <c r="A1" s="19" t="s">
        <v>714</v>
      </c>
    </row>
    <row r="2" spans="1:10">
      <c r="A2" s="5" t="s">
        <v>455</v>
      </c>
    </row>
    <row r="4" spans="1:10">
      <c r="B4" s="328" t="s">
        <v>482</v>
      </c>
      <c r="C4" s="328"/>
      <c r="D4" s="328"/>
      <c r="E4" s="328" t="s">
        <v>483</v>
      </c>
      <c r="F4" s="328"/>
      <c r="G4" s="328"/>
      <c r="H4" s="328" t="s">
        <v>484</v>
      </c>
      <c r="I4" s="328"/>
      <c r="J4" s="328"/>
    </row>
    <row r="5" spans="1:10" ht="102">
      <c r="B5" s="137" t="s">
        <v>81</v>
      </c>
      <c r="C5" s="137" t="s">
        <v>77</v>
      </c>
      <c r="D5" s="137" t="s">
        <v>78</v>
      </c>
      <c r="E5" s="137" t="s">
        <v>81</v>
      </c>
      <c r="F5" s="137" t="s">
        <v>77</v>
      </c>
      <c r="G5" s="137" t="s">
        <v>78</v>
      </c>
      <c r="H5" s="137" t="s">
        <v>81</v>
      </c>
      <c r="I5" s="137" t="s">
        <v>77</v>
      </c>
      <c r="J5" s="137" t="s">
        <v>78</v>
      </c>
    </row>
    <row r="6" spans="1:10">
      <c r="A6" s="5">
        <v>1999</v>
      </c>
      <c r="B6" s="20">
        <v>9606</v>
      </c>
      <c r="C6" s="20">
        <v>8542</v>
      </c>
      <c r="D6" s="20">
        <v>1064</v>
      </c>
      <c r="E6" s="20">
        <v>5739</v>
      </c>
      <c r="F6" s="20">
        <v>5196</v>
      </c>
      <c r="G6" s="135">
        <v>543</v>
      </c>
      <c r="H6" s="20">
        <v>3867</v>
      </c>
      <c r="I6" s="20">
        <v>3345</v>
      </c>
      <c r="J6" s="135">
        <v>522</v>
      </c>
    </row>
    <row r="7" spans="1:10">
      <c r="A7" s="5">
        <v>2005</v>
      </c>
      <c r="B7" s="20">
        <v>12349</v>
      </c>
      <c r="C7" s="20">
        <v>12030</v>
      </c>
      <c r="D7" s="21" t="s">
        <v>87</v>
      </c>
      <c r="E7" s="20">
        <v>7284</v>
      </c>
      <c r="F7" s="20">
        <v>7107</v>
      </c>
      <c r="G7" s="21" t="s">
        <v>87</v>
      </c>
      <c r="H7" s="20">
        <v>5065</v>
      </c>
      <c r="I7" s="20">
        <v>4923</v>
      </c>
      <c r="J7" s="21" t="s">
        <v>87</v>
      </c>
    </row>
    <row r="8" spans="1:10">
      <c r="A8" s="5">
        <v>2012</v>
      </c>
      <c r="B8" s="20">
        <v>20210</v>
      </c>
      <c r="C8" s="20">
        <v>17240</v>
      </c>
      <c r="D8" s="20">
        <v>2970</v>
      </c>
      <c r="E8" s="20">
        <v>12153</v>
      </c>
      <c r="F8" s="20">
        <v>10315</v>
      </c>
      <c r="G8" s="20">
        <v>1838</v>
      </c>
      <c r="H8" s="20">
        <v>8056</v>
      </c>
      <c r="I8" s="20">
        <v>6924</v>
      </c>
      <c r="J8" s="20">
        <v>1132</v>
      </c>
    </row>
    <row r="9" spans="1:10">
      <c r="A9" s="5">
        <v>2016</v>
      </c>
      <c r="B9" s="20">
        <v>22623</v>
      </c>
      <c r="C9" s="20">
        <v>19577</v>
      </c>
      <c r="D9" s="20">
        <v>3046</v>
      </c>
      <c r="E9" s="20">
        <v>15204</v>
      </c>
      <c r="F9" s="20">
        <v>13282</v>
      </c>
      <c r="G9" s="21" t="s">
        <v>87</v>
      </c>
      <c r="H9" s="20">
        <v>7418</v>
      </c>
      <c r="I9" s="20">
        <v>6295</v>
      </c>
      <c r="J9" s="20">
        <v>1124</v>
      </c>
    </row>
    <row r="10" spans="1:10">
      <c r="A10" s="5">
        <v>2019</v>
      </c>
      <c r="B10" s="20">
        <v>23087</v>
      </c>
      <c r="C10" s="20">
        <v>19249</v>
      </c>
      <c r="D10" s="20">
        <v>3838</v>
      </c>
      <c r="E10" s="20">
        <v>15608</v>
      </c>
      <c r="F10" s="20">
        <v>13144</v>
      </c>
      <c r="G10" s="21" t="s">
        <v>87</v>
      </c>
      <c r="H10" s="20">
        <v>7480</v>
      </c>
      <c r="I10" s="20">
        <v>6105</v>
      </c>
      <c r="J10" s="20">
        <v>1375</v>
      </c>
    </row>
    <row r="13" spans="1:10">
      <c r="A13" s="5" t="s">
        <v>460</v>
      </c>
      <c r="B13" s="143">
        <f>100*((B10/B6)^(1/20)-1)</f>
        <v>4.4819443621963329</v>
      </c>
      <c r="C13" s="143">
        <f t="shared" ref="C13:J13" si="0">100*((C10/C6)^(1/20)-1)</f>
        <v>4.1459606442015184</v>
      </c>
      <c r="D13" s="143">
        <f t="shared" si="0"/>
        <v>6.6247846720483006</v>
      </c>
      <c r="E13" s="143">
        <f t="shared" si="0"/>
        <v>5.1297306162929601</v>
      </c>
      <c r="F13" s="143">
        <f t="shared" si="0"/>
        <v>4.7497319746507172</v>
      </c>
      <c r="G13" s="143">
        <f>100*((G8/G6)^(1/13)-1)</f>
        <v>9.8333633453718594</v>
      </c>
      <c r="H13" s="143">
        <f t="shared" si="0"/>
        <v>3.3537815245929581</v>
      </c>
      <c r="I13" s="143">
        <f t="shared" si="0"/>
        <v>3.0539107547993272</v>
      </c>
      <c r="J13" s="143">
        <f t="shared" si="0"/>
        <v>4.9618821494365584</v>
      </c>
    </row>
    <row r="14" spans="1:10">
      <c r="A14" s="5" t="s">
        <v>461</v>
      </c>
      <c r="B14" s="143">
        <f>100*((B7/B6)^(1/6)-1)</f>
        <v>4.2753208255331909</v>
      </c>
      <c r="C14" s="143">
        <f t="shared" ref="C14:I14" si="1">100*((C7/C6)^(1/6)-1)</f>
        <v>5.8727864532685636</v>
      </c>
      <c r="D14" s="21" t="s">
        <v>87</v>
      </c>
      <c r="E14" s="143">
        <f t="shared" si="1"/>
        <v>4.0532426236228547</v>
      </c>
      <c r="F14" s="143">
        <f t="shared" si="1"/>
        <v>5.358487855241667</v>
      </c>
      <c r="G14" s="21" t="s">
        <v>87</v>
      </c>
      <c r="H14" s="143">
        <f t="shared" si="1"/>
        <v>4.6006089693589658</v>
      </c>
      <c r="I14" s="143">
        <f t="shared" si="1"/>
        <v>6.6528058850099381</v>
      </c>
      <c r="J14" s="21" t="s">
        <v>87</v>
      </c>
    </row>
    <row r="15" spans="1:10">
      <c r="A15" s="5" t="s">
        <v>462</v>
      </c>
      <c r="B15" s="143">
        <f>100*((B8/B7)^(1/7)-1)</f>
        <v>7.2906989913528841</v>
      </c>
      <c r="C15" s="143">
        <f t="shared" ref="C15:I15" si="2">100*((C8/C7)^(1/7)-1)</f>
        <v>5.2748228197622815</v>
      </c>
      <c r="D15" s="21" t="s">
        <v>87</v>
      </c>
      <c r="E15" s="143">
        <f t="shared" si="2"/>
        <v>7.586822248696512</v>
      </c>
      <c r="F15" s="143">
        <f t="shared" si="2"/>
        <v>5.4658471037127843</v>
      </c>
      <c r="G15" s="21" t="s">
        <v>87</v>
      </c>
      <c r="H15" s="143">
        <f t="shared" si="2"/>
        <v>6.8541587939971116</v>
      </c>
      <c r="I15" s="143">
        <f t="shared" si="2"/>
        <v>4.9931660326835381</v>
      </c>
      <c r="J15" s="21" t="s">
        <v>87</v>
      </c>
    </row>
    <row r="16" spans="1:10">
      <c r="A16" s="5" t="s">
        <v>463</v>
      </c>
      <c r="B16" s="143">
        <f>100*((B10/B8)^(1/7)-1)</f>
        <v>1.91950665429379</v>
      </c>
      <c r="C16" s="143">
        <f t="shared" ref="C16:J16" si="3">100*((C10/C8)^(1/7)-1)</f>
        <v>1.5871324782537943</v>
      </c>
      <c r="D16" s="143">
        <f t="shared" si="3"/>
        <v>3.730609942808516</v>
      </c>
      <c r="E16" s="143">
        <f t="shared" si="3"/>
        <v>3.6390429999342944</v>
      </c>
      <c r="F16" s="143">
        <f t="shared" si="3"/>
        <v>3.5230127843337122</v>
      </c>
      <c r="G16" s="21" t="s">
        <v>87</v>
      </c>
      <c r="H16" s="143">
        <f t="shared" si="3"/>
        <v>-1.0541807732729502</v>
      </c>
      <c r="I16" s="143">
        <f t="shared" si="3"/>
        <v>-1.7822906336426247</v>
      </c>
      <c r="J16" s="143">
        <f t="shared" si="3"/>
        <v>2.817060078376965</v>
      </c>
    </row>
    <row r="19" spans="1:2">
      <c r="A19" s="5" t="s">
        <v>485</v>
      </c>
    </row>
    <row r="21" spans="1:2">
      <c r="A21" s="5" t="s">
        <v>153</v>
      </c>
    </row>
    <row r="22" spans="1:2">
      <c r="A22" s="5">
        <v>1</v>
      </c>
      <c r="B22" s="5" t="s">
        <v>486</v>
      </c>
    </row>
    <row r="23" spans="1:2">
      <c r="A23" s="5">
        <v>2</v>
      </c>
      <c r="B23" s="5" t="s">
        <v>487</v>
      </c>
    </row>
    <row r="24" spans="1:2">
      <c r="A24" s="5">
        <v>3</v>
      </c>
      <c r="B24" s="5" t="s">
        <v>488</v>
      </c>
    </row>
    <row r="27" spans="1:2">
      <c r="A27" s="5" t="s">
        <v>554</v>
      </c>
    </row>
  </sheetData>
  <mergeCells count="3">
    <mergeCell ref="B4:D4"/>
    <mergeCell ref="E4:G4"/>
    <mergeCell ref="H4:J4"/>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7B61-1079-964B-9005-07F0F1686B0D}">
  <sheetPr codeName="Sheet92"/>
  <dimension ref="A1:J27"/>
  <sheetViews>
    <sheetView workbookViewId="0"/>
  </sheetViews>
  <sheetFormatPr baseColWidth="10" defaultColWidth="10.83203125" defaultRowHeight="16"/>
  <cols>
    <col min="1" max="1" width="21.5" style="5" customWidth="1"/>
    <col min="2" max="10" width="12.83203125" style="5" customWidth="1"/>
    <col min="11" max="16384" width="10.83203125" style="5"/>
  </cols>
  <sheetData>
    <row r="1" spans="1:10">
      <c r="A1" s="19" t="s">
        <v>715</v>
      </c>
    </row>
    <row r="4" spans="1:10">
      <c r="B4" s="328" t="s">
        <v>482</v>
      </c>
      <c r="C4" s="328"/>
      <c r="D4" s="328"/>
      <c r="E4" s="328" t="s">
        <v>483</v>
      </c>
      <c r="F4" s="328"/>
      <c r="G4" s="328"/>
      <c r="H4" s="328" t="s">
        <v>484</v>
      </c>
      <c r="I4" s="328"/>
      <c r="J4" s="328"/>
    </row>
    <row r="5" spans="1:10" ht="102">
      <c r="B5" s="137" t="s">
        <v>81</v>
      </c>
      <c r="C5" s="137" t="s">
        <v>77</v>
      </c>
      <c r="D5" s="137" t="s">
        <v>78</v>
      </c>
      <c r="E5" s="137" t="s">
        <v>81</v>
      </c>
      <c r="F5" s="137" t="s">
        <v>77</v>
      </c>
      <c r="G5" s="137" t="s">
        <v>78</v>
      </c>
      <c r="H5" s="137" t="s">
        <v>81</v>
      </c>
      <c r="I5" s="137" t="s">
        <v>77</v>
      </c>
      <c r="J5" s="137" t="s">
        <v>78</v>
      </c>
    </row>
    <row r="6" spans="1:10">
      <c r="A6" s="5">
        <v>1999</v>
      </c>
      <c r="B6" s="143">
        <v>1.4666499735862539</v>
      </c>
      <c r="C6" s="143">
        <v>1.4893572504603023</v>
      </c>
      <c r="D6" s="143">
        <v>1.3066918835275769</v>
      </c>
      <c r="E6" s="143">
        <v>1.1322854251052084</v>
      </c>
      <c r="F6" s="143">
        <v>1.1544793844554107</v>
      </c>
      <c r="G6" s="143">
        <v>0.95635633520025365</v>
      </c>
      <c r="H6" s="143">
        <v>2.6108796780792782</v>
      </c>
      <c r="I6" s="143">
        <v>2.7093137215198078</v>
      </c>
      <c r="J6" s="143">
        <v>2.1177329709115988</v>
      </c>
    </row>
    <row r="7" spans="1:10">
      <c r="A7" s="5">
        <v>2005</v>
      </c>
      <c r="B7" s="143">
        <v>1.2780733166359628</v>
      </c>
      <c r="C7" s="143">
        <v>1.4372313404840471</v>
      </c>
      <c r="D7" s="143" t="s">
        <v>87</v>
      </c>
      <c r="E7" s="143">
        <v>1.0016295043419072</v>
      </c>
      <c r="F7" s="143">
        <v>1.1135536415726692</v>
      </c>
      <c r="G7" s="143" t="s">
        <v>87</v>
      </c>
      <c r="H7" s="143">
        <v>2.1192025271437838</v>
      </c>
      <c r="I7" s="143">
        <v>2.4763706054859429</v>
      </c>
      <c r="J7" s="143" t="s">
        <v>87</v>
      </c>
    </row>
    <row r="8" spans="1:10">
      <c r="A8" s="5">
        <v>2012</v>
      </c>
      <c r="B8" s="143">
        <v>1.3525813489673266</v>
      </c>
      <c r="C8" s="143">
        <v>1.3597115266311017</v>
      </c>
      <c r="D8" s="143">
        <v>1.3126259590566771</v>
      </c>
      <c r="E8" s="143">
        <v>1.0560342018482554</v>
      </c>
      <c r="F8" s="143">
        <v>1.053790837587488</v>
      </c>
      <c r="G8" s="143">
        <v>1.06879728323128</v>
      </c>
      <c r="H8" s="143">
        <v>2.3461982036555957</v>
      </c>
      <c r="I8" s="143">
        <v>2.3952675822465146</v>
      </c>
      <c r="J8" s="143">
        <v>2.08490652914633</v>
      </c>
    </row>
    <row r="9" spans="1:10">
      <c r="A9" s="5">
        <v>2016</v>
      </c>
      <c r="B9" s="143">
        <v>1.2169930379154414</v>
      </c>
      <c r="C9" s="143">
        <v>1.2186414734002258</v>
      </c>
      <c r="D9" s="143">
        <v>1.2064990929471691</v>
      </c>
      <c r="E9" s="143">
        <v>1.0133223496761887</v>
      </c>
      <c r="F9" s="143">
        <v>1.0171877309484076</v>
      </c>
      <c r="G9" s="143" t="s">
        <v>87</v>
      </c>
      <c r="H9" s="143">
        <v>2.0690905540911815</v>
      </c>
      <c r="I9" s="143">
        <v>2.0934207725869958</v>
      </c>
      <c r="J9" s="143">
        <v>1.9442330312045941</v>
      </c>
    </row>
    <row r="10" spans="1:10">
      <c r="A10" s="5">
        <v>2019</v>
      </c>
      <c r="B10" s="143">
        <v>1.2370697623327878</v>
      </c>
      <c r="C10" s="143">
        <v>1.2106411133696944</v>
      </c>
      <c r="D10" s="143">
        <v>1.3891603506562136</v>
      </c>
      <c r="E10" s="143">
        <v>1.0354108109148008</v>
      </c>
      <c r="F10" s="143">
        <v>1.0147746056206346</v>
      </c>
      <c r="G10" s="143" t="s">
        <v>87</v>
      </c>
      <c r="H10" s="143">
        <v>2.084471246558393</v>
      </c>
      <c r="I10" s="143">
        <v>2.0714576547231269</v>
      </c>
      <c r="J10" s="143">
        <v>2.1442829517809243</v>
      </c>
    </row>
    <row r="13" spans="1:10">
      <c r="A13" s="5" t="s">
        <v>467</v>
      </c>
      <c r="B13" s="143">
        <f>B10-B6</f>
        <v>-0.22958021125346617</v>
      </c>
      <c r="C13" s="143">
        <f t="shared" ref="C13:J13" si="0">C10-C6</f>
        <v>-0.27871613709060794</v>
      </c>
      <c r="D13" s="143">
        <f t="shared" si="0"/>
        <v>8.2468467128636647E-2</v>
      </c>
      <c r="E13" s="143">
        <f t="shared" si="0"/>
        <v>-9.6874614190407549E-2</v>
      </c>
      <c r="F13" s="143">
        <f t="shared" si="0"/>
        <v>-0.13970477883477606</v>
      </c>
      <c r="G13" s="143">
        <f>G8-G6</f>
        <v>0.11244094803102633</v>
      </c>
      <c r="H13" s="143">
        <f t="shared" si="0"/>
        <v>-0.52640843152088523</v>
      </c>
      <c r="I13" s="143">
        <f t="shared" si="0"/>
        <v>-0.63785606679668083</v>
      </c>
      <c r="J13" s="143">
        <f t="shared" si="0"/>
        <v>2.6549980869325474E-2</v>
      </c>
    </row>
    <row r="14" spans="1:10">
      <c r="A14" s="5" t="s">
        <v>449</v>
      </c>
      <c r="B14" s="143">
        <f>B7-B6</f>
        <v>-0.18857665695029113</v>
      </c>
      <c r="C14" s="143">
        <f t="shared" ref="C14:I15" si="1">C7-C6</f>
        <v>-5.2125909976255214E-2</v>
      </c>
      <c r="D14" s="143" t="s">
        <v>87</v>
      </c>
      <c r="E14" s="143">
        <f t="shared" si="1"/>
        <v>-0.13065592076330113</v>
      </c>
      <c r="F14" s="143">
        <f t="shared" si="1"/>
        <v>-4.0925742882741423E-2</v>
      </c>
      <c r="G14" s="143" t="s">
        <v>87</v>
      </c>
      <c r="H14" s="143">
        <f t="shared" si="1"/>
        <v>-0.49167715093549447</v>
      </c>
      <c r="I14" s="143">
        <f t="shared" si="1"/>
        <v>-0.23294311603386486</v>
      </c>
      <c r="J14" s="143" t="s">
        <v>87</v>
      </c>
    </row>
    <row r="15" spans="1:10">
      <c r="A15" s="5" t="s">
        <v>450</v>
      </c>
      <c r="B15" s="143">
        <f>B8-B7</f>
        <v>7.4508032331363827E-2</v>
      </c>
      <c r="C15" s="143">
        <f t="shared" si="1"/>
        <v>-7.7519813852945374E-2</v>
      </c>
      <c r="D15" s="143" t="s">
        <v>87</v>
      </c>
      <c r="E15" s="143">
        <f t="shared" si="1"/>
        <v>5.4404697506348132E-2</v>
      </c>
      <c r="F15" s="143">
        <f t="shared" si="1"/>
        <v>-5.976280398518119E-2</v>
      </c>
      <c r="G15" s="143" t="s">
        <v>87</v>
      </c>
      <c r="H15" s="143">
        <f t="shared" si="1"/>
        <v>0.22699567651181196</v>
      </c>
      <c r="I15" s="143">
        <f t="shared" si="1"/>
        <v>-8.1103023239428307E-2</v>
      </c>
      <c r="J15" s="143" t="s">
        <v>87</v>
      </c>
    </row>
    <row r="16" spans="1:10">
      <c r="A16" s="5" t="s">
        <v>451</v>
      </c>
      <c r="B16" s="143">
        <f>B10-B8</f>
        <v>-0.11551158663453887</v>
      </c>
      <c r="C16" s="143">
        <f t="shared" ref="C16:J16" si="2">C10-C8</f>
        <v>-0.14907041326140735</v>
      </c>
      <c r="D16" s="143">
        <f t="shared" si="2"/>
        <v>7.6534391599536455E-2</v>
      </c>
      <c r="E16" s="143">
        <f t="shared" si="2"/>
        <v>-2.0623390933454555E-2</v>
      </c>
      <c r="F16" s="143">
        <f t="shared" si="2"/>
        <v>-3.9016231966853443E-2</v>
      </c>
      <c r="G16" s="143" t="s">
        <v>87</v>
      </c>
      <c r="H16" s="143">
        <f t="shared" si="2"/>
        <v>-0.26172695709720273</v>
      </c>
      <c r="I16" s="143">
        <f t="shared" si="2"/>
        <v>-0.32380992752338766</v>
      </c>
      <c r="J16" s="143">
        <f t="shared" si="2"/>
        <v>5.9376422634594306E-2</v>
      </c>
    </row>
    <row r="19" spans="1:2">
      <c r="A19" s="5" t="s">
        <v>489</v>
      </c>
    </row>
    <row r="21" spans="1:2">
      <c r="A21" s="5" t="s">
        <v>153</v>
      </c>
    </row>
    <row r="22" spans="1:2">
      <c r="A22" s="5">
        <v>1</v>
      </c>
      <c r="B22" s="5" t="s">
        <v>486</v>
      </c>
    </row>
    <row r="23" spans="1:2">
      <c r="A23" s="5">
        <v>2</v>
      </c>
      <c r="B23" s="5" t="s">
        <v>487</v>
      </c>
    </row>
    <row r="24" spans="1:2">
      <c r="A24" s="5">
        <v>3</v>
      </c>
      <c r="B24" s="5" t="s">
        <v>488</v>
      </c>
    </row>
    <row r="27" spans="1:2">
      <c r="A27" s="5" t="s">
        <v>706</v>
      </c>
    </row>
  </sheetData>
  <mergeCells count="3">
    <mergeCell ref="B4:D4"/>
    <mergeCell ref="E4:G4"/>
    <mergeCell ref="H4:J4"/>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E988-6A5A-48BF-B43D-24DB4C47E823}">
  <dimension ref="A1:I16"/>
  <sheetViews>
    <sheetView workbookViewId="0"/>
  </sheetViews>
  <sheetFormatPr baseColWidth="10" defaultColWidth="9" defaultRowHeight="16"/>
  <cols>
    <col min="1" max="1" width="19.1640625" style="208" customWidth="1"/>
    <col min="2" max="9" width="15.6640625" style="208" customWidth="1"/>
    <col min="10" max="16384" width="9" style="208"/>
  </cols>
  <sheetData>
    <row r="1" spans="1:9">
      <c r="A1" s="212" t="s">
        <v>716</v>
      </c>
    </row>
    <row r="2" spans="1:9">
      <c r="A2" s="208" t="s">
        <v>557</v>
      </c>
    </row>
    <row r="4" spans="1:9" ht="48.75" customHeight="1">
      <c r="B4" s="209" t="s">
        <v>483</v>
      </c>
      <c r="C4" s="210" t="s">
        <v>563</v>
      </c>
      <c r="D4" s="209" t="s">
        <v>484</v>
      </c>
      <c r="E4" s="210" t="s">
        <v>562</v>
      </c>
      <c r="F4" s="210" t="s">
        <v>558</v>
      </c>
      <c r="G4" s="210" t="s">
        <v>559</v>
      </c>
      <c r="H4" s="210" t="s">
        <v>560</v>
      </c>
      <c r="I4" s="210" t="s">
        <v>561</v>
      </c>
    </row>
    <row r="5" spans="1:9">
      <c r="A5" s="208">
        <v>1999</v>
      </c>
      <c r="B5" s="211">
        <v>59.7</v>
      </c>
      <c r="C5" s="211">
        <v>53.3</v>
      </c>
      <c r="D5" s="211">
        <v>40.299999999999997</v>
      </c>
      <c r="E5" s="211">
        <v>5.4</v>
      </c>
      <c r="F5" s="211">
        <v>5.0999999999999996</v>
      </c>
      <c r="G5" s="211">
        <v>8.1</v>
      </c>
      <c r="H5" s="211">
        <v>15.2</v>
      </c>
      <c r="I5" s="211">
        <v>6.4</v>
      </c>
    </row>
    <row r="6" spans="1:9">
      <c r="A6" s="208">
        <v>2005</v>
      </c>
      <c r="B6" s="211">
        <v>59</v>
      </c>
      <c r="C6" s="211">
        <v>47.2</v>
      </c>
      <c r="D6" s="211">
        <v>41</v>
      </c>
      <c r="E6" s="211">
        <v>6.8</v>
      </c>
      <c r="F6" s="211">
        <v>6.4</v>
      </c>
      <c r="G6" s="211" t="s">
        <v>114</v>
      </c>
      <c r="H6" s="211">
        <v>16.399999999999999</v>
      </c>
      <c r="I6" s="211">
        <v>6.9</v>
      </c>
    </row>
    <row r="7" spans="1:9">
      <c r="A7" s="208">
        <v>2012</v>
      </c>
      <c r="B7" s="211">
        <v>60.1</v>
      </c>
      <c r="C7" s="211">
        <v>54.5</v>
      </c>
      <c r="D7" s="211">
        <v>39.9</v>
      </c>
      <c r="E7" s="211">
        <v>11.8</v>
      </c>
      <c r="F7" s="211">
        <v>4.2</v>
      </c>
      <c r="G7" s="211">
        <v>5.7</v>
      </c>
      <c r="H7" s="211">
        <v>15</v>
      </c>
      <c r="I7" s="211">
        <v>3.1</v>
      </c>
    </row>
    <row r="8" spans="1:9">
      <c r="A8" s="208">
        <v>2016</v>
      </c>
      <c r="B8" s="211">
        <v>67.2</v>
      </c>
      <c r="C8" s="211">
        <v>59.1</v>
      </c>
      <c r="D8" s="211">
        <v>32.799999999999997</v>
      </c>
      <c r="E8" s="211">
        <v>7.5</v>
      </c>
      <c r="F8" s="211">
        <v>4.0999999999999996</v>
      </c>
      <c r="G8" s="211">
        <v>3.1</v>
      </c>
      <c r="H8" s="211">
        <v>15.3</v>
      </c>
      <c r="I8" s="211">
        <v>2.7</v>
      </c>
    </row>
    <row r="9" spans="1:9">
      <c r="A9" s="208">
        <v>2019</v>
      </c>
      <c r="B9" s="211">
        <v>67.599999999999994</v>
      </c>
      <c r="C9" s="211">
        <v>58.4</v>
      </c>
      <c r="D9" s="211">
        <v>32.4</v>
      </c>
      <c r="E9" s="211">
        <v>7.1</v>
      </c>
      <c r="F9" s="211">
        <v>3.4</v>
      </c>
      <c r="G9" s="211">
        <v>3.3</v>
      </c>
      <c r="H9" s="211">
        <v>16.5</v>
      </c>
      <c r="I9" s="211">
        <v>2.1</v>
      </c>
    </row>
    <row r="11" spans="1:9">
      <c r="A11" s="208" t="s">
        <v>418</v>
      </c>
      <c r="B11" s="211">
        <f>B9-B5</f>
        <v>7.8999999999999915</v>
      </c>
      <c r="C11" s="211">
        <f t="shared" ref="C11:I11" si="0">C9-C5</f>
        <v>5.1000000000000014</v>
      </c>
      <c r="D11" s="211">
        <f t="shared" si="0"/>
        <v>-7.8999999999999986</v>
      </c>
      <c r="E11" s="211">
        <f t="shared" si="0"/>
        <v>1.6999999999999993</v>
      </c>
      <c r="F11" s="211">
        <f t="shared" si="0"/>
        <v>-1.6999999999999997</v>
      </c>
      <c r="G11" s="211">
        <f t="shared" si="0"/>
        <v>-4.8</v>
      </c>
      <c r="H11" s="211">
        <f t="shared" si="0"/>
        <v>1.3000000000000007</v>
      </c>
      <c r="I11" s="211">
        <f t="shared" si="0"/>
        <v>-4.3000000000000007</v>
      </c>
    </row>
    <row r="14" spans="1:9">
      <c r="A14" s="208" t="s">
        <v>564</v>
      </c>
    </row>
    <row r="16" spans="1:9">
      <c r="A16" s="208" t="s">
        <v>554</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AF227-4D38-7A42-8997-AE096A2D9630}">
  <sheetPr codeName="Sheet93"/>
  <dimension ref="A1:O24"/>
  <sheetViews>
    <sheetView zoomScale="80" zoomScaleNormal="80" workbookViewId="0">
      <selection activeCell="L51" sqref="L51"/>
    </sheetView>
  </sheetViews>
  <sheetFormatPr baseColWidth="10" defaultColWidth="10.83203125" defaultRowHeight="16"/>
  <cols>
    <col min="1" max="1" width="17" style="5" customWidth="1"/>
    <col min="2" max="16384" width="10.83203125" style="5"/>
  </cols>
  <sheetData>
    <row r="1" spans="1:15">
      <c r="A1" s="19" t="s">
        <v>717</v>
      </c>
    </row>
    <row r="2" spans="1:15">
      <c r="A2" s="5" t="s">
        <v>3</v>
      </c>
    </row>
    <row r="4" spans="1:15">
      <c r="B4" s="338" t="s">
        <v>474</v>
      </c>
      <c r="C4" s="338"/>
      <c r="D4" s="338"/>
      <c r="E4" s="338" t="s">
        <v>475</v>
      </c>
      <c r="F4" s="338"/>
      <c r="G4" s="338"/>
      <c r="H4" s="338" t="s">
        <v>476</v>
      </c>
      <c r="I4" s="338"/>
      <c r="J4" s="338"/>
      <c r="K4" s="338" t="s">
        <v>477</v>
      </c>
      <c r="L4" s="338"/>
      <c r="M4" s="338"/>
      <c r="N4" s="328" t="s">
        <v>478</v>
      </c>
      <c r="O4" s="328"/>
    </row>
    <row r="5" spans="1:15" ht="118" customHeight="1">
      <c r="B5" s="142" t="s">
        <v>81</v>
      </c>
      <c r="C5" s="142" t="s">
        <v>77</v>
      </c>
      <c r="D5" s="142" t="s">
        <v>78</v>
      </c>
      <c r="E5" s="142" t="s">
        <v>81</v>
      </c>
      <c r="F5" s="142" t="s">
        <v>77</v>
      </c>
      <c r="G5" s="142" t="s">
        <v>78</v>
      </c>
      <c r="H5" s="142" t="s">
        <v>81</v>
      </c>
      <c r="I5" s="142" t="s">
        <v>77</v>
      </c>
      <c r="J5" s="142" t="s">
        <v>78</v>
      </c>
      <c r="K5" s="142" t="s">
        <v>81</v>
      </c>
      <c r="L5" s="142" t="s">
        <v>77</v>
      </c>
      <c r="M5" s="142" t="s">
        <v>78</v>
      </c>
      <c r="N5" s="142" t="s">
        <v>81</v>
      </c>
      <c r="O5" s="142" t="s">
        <v>77</v>
      </c>
    </row>
    <row r="6" spans="1:15">
      <c r="A6" s="5">
        <v>1999</v>
      </c>
      <c r="B6" s="20">
        <v>290100</v>
      </c>
      <c r="C6" s="20">
        <v>353400</v>
      </c>
      <c r="D6" s="20">
        <v>127400</v>
      </c>
      <c r="E6" s="20">
        <v>170700</v>
      </c>
      <c r="F6" s="20">
        <v>191600</v>
      </c>
      <c r="G6" s="20">
        <v>90100</v>
      </c>
      <c r="H6" s="20">
        <v>29000</v>
      </c>
      <c r="I6" s="20">
        <v>30300</v>
      </c>
      <c r="J6" s="20">
        <v>25800</v>
      </c>
      <c r="K6" s="20">
        <v>131500</v>
      </c>
      <c r="L6" s="20">
        <v>157200</v>
      </c>
      <c r="M6" s="20">
        <v>65500</v>
      </c>
      <c r="N6" s="20">
        <v>291700</v>
      </c>
      <c r="O6" s="20">
        <v>320100</v>
      </c>
    </row>
    <row r="7" spans="1:15">
      <c r="A7" s="5">
        <v>2005</v>
      </c>
      <c r="B7" s="20">
        <v>288600</v>
      </c>
      <c r="C7" s="20">
        <v>379200</v>
      </c>
      <c r="D7" s="20">
        <v>84400</v>
      </c>
      <c r="E7" s="20">
        <v>219500</v>
      </c>
      <c r="F7" s="20">
        <v>221500</v>
      </c>
      <c r="G7" s="143" t="s">
        <v>87</v>
      </c>
      <c r="H7" s="20">
        <v>30600</v>
      </c>
      <c r="I7" s="20">
        <v>39200</v>
      </c>
      <c r="J7" s="20">
        <v>9700</v>
      </c>
      <c r="K7" s="20">
        <v>132800</v>
      </c>
      <c r="L7" s="20">
        <v>177100</v>
      </c>
      <c r="M7" s="20">
        <v>32900</v>
      </c>
      <c r="N7" s="20">
        <v>316000</v>
      </c>
      <c r="O7" s="20">
        <v>316000</v>
      </c>
    </row>
    <row r="8" spans="1:15">
      <c r="A8" s="5">
        <v>2012</v>
      </c>
      <c r="B8" s="20">
        <v>478300</v>
      </c>
      <c r="C8" s="20">
        <v>588500</v>
      </c>
      <c r="D8" s="20">
        <v>256200</v>
      </c>
      <c r="E8" s="20">
        <v>306500</v>
      </c>
      <c r="F8" s="20">
        <v>326000</v>
      </c>
      <c r="G8" s="20">
        <v>243100</v>
      </c>
      <c r="H8" s="20">
        <v>42600</v>
      </c>
      <c r="I8" s="20">
        <v>53400</v>
      </c>
      <c r="J8" s="20">
        <v>19300</v>
      </c>
      <c r="K8" s="20">
        <v>191200</v>
      </c>
      <c r="L8" s="20">
        <v>230000</v>
      </c>
      <c r="M8" s="20">
        <v>113100</v>
      </c>
      <c r="N8" s="20">
        <v>235900</v>
      </c>
      <c r="O8" s="20">
        <v>247000</v>
      </c>
    </row>
    <row r="9" spans="1:15">
      <c r="A9" s="5">
        <v>2016</v>
      </c>
      <c r="B9" s="20">
        <v>496900</v>
      </c>
      <c r="C9" s="20">
        <v>621200</v>
      </c>
      <c r="D9" s="20">
        <v>252000</v>
      </c>
      <c r="E9" s="20">
        <v>375900</v>
      </c>
      <c r="F9" s="20">
        <v>419800</v>
      </c>
      <c r="G9" s="20">
        <v>232300</v>
      </c>
      <c r="H9" s="20">
        <v>35000</v>
      </c>
      <c r="I9" s="20">
        <v>36500</v>
      </c>
      <c r="J9" s="20">
        <v>31900</v>
      </c>
      <c r="K9" s="20">
        <v>200600</v>
      </c>
      <c r="L9" s="20">
        <v>250500</v>
      </c>
      <c r="M9" s="20">
        <v>102500</v>
      </c>
      <c r="N9" s="20">
        <v>131900</v>
      </c>
      <c r="O9" s="20">
        <v>114900</v>
      </c>
    </row>
    <row r="10" spans="1:15">
      <c r="A10" s="5">
        <v>2019</v>
      </c>
      <c r="B10" s="20">
        <v>444700</v>
      </c>
      <c r="C10" s="20">
        <v>564200</v>
      </c>
      <c r="D10" s="20">
        <v>238500</v>
      </c>
      <c r="E10" s="20">
        <v>321000</v>
      </c>
      <c r="F10" s="20">
        <v>361600</v>
      </c>
      <c r="G10" s="20">
        <v>208300</v>
      </c>
      <c r="H10" s="20">
        <v>41900</v>
      </c>
      <c r="I10" s="20">
        <v>45000</v>
      </c>
      <c r="J10" s="20">
        <v>36500</v>
      </c>
      <c r="K10" s="20">
        <v>188200</v>
      </c>
      <c r="L10" s="20">
        <v>239300</v>
      </c>
      <c r="M10" s="20">
        <v>100200</v>
      </c>
      <c r="N10" s="20">
        <v>117400</v>
      </c>
      <c r="O10" s="20">
        <v>98900</v>
      </c>
    </row>
    <row r="13" spans="1:15">
      <c r="A13" s="5" t="s">
        <v>479</v>
      </c>
      <c r="B13" s="143">
        <f>100*((B10/B6)^(1/20)-1)</f>
        <v>2.1588440235672746</v>
      </c>
      <c r="C13" s="143">
        <f t="shared" ref="C13:O13" si="0">100*((C10/C6)^(1/20)-1)</f>
        <v>2.3666113010086143</v>
      </c>
      <c r="D13" s="143">
        <f t="shared" si="0"/>
        <v>3.1848525179418274</v>
      </c>
      <c r="E13" s="143">
        <f t="shared" si="0"/>
        <v>3.208050699057563</v>
      </c>
      <c r="F13" s="143">
        <f t="shared" si="0"/>
        <v>3.2266054053610604</v>
      </c>
      <c r="G13" s="143">
        <f t="shared" si="0"/>
        <v>4.2793280328384586</v>
      </c>
      <c r="H13" s="143">
        <f t="shared" si="0"/>
        <v>1.856981360345622</v>
      </c>
      <c r="I13" s="143">
        <f t="shared" si="0"/>
        <v>1.9972574166621904</v>
      </c>
      <c r="J13" s="143">
        <f t="shared" si="0"/>
        <v>1.7498219476711041</v>
      </c>
      <c r="K13" s="143">
        <f t="shared" si="0"/>
        <v>1.8086534337697469</v>
      </c>
      <c r="L13" s="143">
        <f t="shared" si="0"/>
        <v>2.1232218715454998</v>
      </c>
      <c r="M13" s="143">
        <f t="shared" si="0"/>
        <v>2.1483418150561207</v>
      </c>
      <c r="N13" s="143">
        <f t="shared" si="0"/>
        <v>-4.4487036808078422</v>
      </c>
      <c r="O13" s="143">
        <f t="shared" si="0"/>
        <v>-5.7035092213797327</v>
      </c>
    </row>
    <row r="14" spans="1:15">
      <c r="A14" s="5" t="s">
        <v>461</v>
      </c>
      <c r="B14" s="143">
        <f>100*((B7/B6)^(1/6)-1)</f>
        <v>-8.6363431762348508E-2</v>
      </c>
      <c r="C14" s="143">
        <f t="shared" ref="C14:O14" si="1">100*((C7/C6)^(1/6)-1)</f>
        <v>1.1813098382336573</v>
      </c>
      <c r="D14" s="143">
        <f t="shared" si="1"/>
        <v>-6.6325488507826602</v>
      </c>
      <c r="E14" s="143">
        <f t="shared" si="1"/>
        <v>4.2797946424945499</v>
      </c>
      <c r="F14" s="143">
        <f t="shared" si="1"/>
        <v>2.4463219704540462</v>
      </c>
      <c r="G14" s="143" t="s">
        <v>87</v>
      </c>
      <c r="H14" s="143">
        <f t="shared" si="1"/>
        <v>0.89908737612256484</v>
      </c>
      <c r="I14" s="143">
        <f t="shared" si="1"/>
        <v>4.3855954906373062</v>
      </c>
      <c r="J14" s="143">
        <f t="shared" si="1"/>
        <v>-15.04440131598458</v>
      </c>
      <c r="K14" s="143">
        <f t="shared" si="1"/>
        <v>0.16409090577360619</v>
      </c>
      <c r="L14" s="143">
        <f t="shared" si="1"/>
        <v>2.006458521746679</v>
      </c>
      <c r="M14" s="143">
        <f t="shared" si="1"/>
        <v>-10.842250073511172</v>
      </c>
      <c r="N14" s="143">
        <f t="shared" si="1"/>
        <v>1.3425377940550209</v>
      </c>
      <c r="O14" s="143">
        <f t="shared" si="1"/>
        <v>-0.21462324405860933</v>
      </c>
    </row>
    <row r="15" spans="1:15">
      <c r="A15" s="5" t="s">
        <v>462</v>
      </c>
      <c r="B15" s="143">
        <f>100*((B8/B7)^(1/7)-1)</f>
        <v>7.4839049733717466</v>
      </c>
      <c r="C15" s="143">
        <f t="shared" ref="C15:O15" si="2">100*((C8/C7)^(1/7)-1)</f>
        <v>6.4800644908197036</v>
      </c>
      <c r="D15" s="143">
        <f t="shared" si="2"/>
        <v>17.190107896611217</v>
      </c>
      <c r="E15" s="143">
        <f t="shared" si="2"/>
        <v>4.8850785412498876</v>
      </c>
      <c r="F15" s="143">
        <f t="shared" si="2"/>
        <v>5.676323491471047</v>
      </c>
      <c r="G15" s="143" t="s">
        <v>87</v>
      </c>
      <c r="H15" s="143">
        <f t="shared" si="2"/>
        <v>4.8399685037800788</v>
      </c>
      <c r="I15" s="143">
        <f t="shared" si="2"/>
        <v>4.51516556189695</v>
      </c>
      <c r="J15" s="143">
        <f t="shared" si="2"/>
        <v>10.327468568860043</v>
      </c>
      <c r="K15" s="143">
        <f t="shared" si="2"/>
        <v>5.3447338919126119</v>
      </c>
      <c r="L15" s="143">
        <f t="shared" si="2"/>
        <v>3.8043637092047389</v>
      </c>
      <c r="M15" s="143">
        <f t="shared" si="2"/>
        <v>19.291508247714638</v>
      </c>
      <c r="N15" s="143">
        <f t="shared" si="2"/>
        <v>-4.0902012386394908</v>
      </c>
      <c r="O15" s="143">
        <f t="shared" si="2"/>
        <v>-3.4581324386503742</v>
      </c>
    </row>
    <row r="16" spans="1:15">
      <c r="A16" s="5" t="s">
        <v>463</v>
      </c>
      <c r="B16" s="143">
        <f>100*((B10/B8)^(1/7)-1)</f>
        <v>-1.0351515175872184</v>
      </c>
      <c r="C16" s="143">
        <f t="shared" ref="C16:O16" si="3">100*((C10/C8)^(1/7)-1)</f>
        <v>-0.60059102856249158</v>
      </c>
      <c r="D16" s="143">
        <f t="shared" si="3"/>
        <v>-1.017489324674925</v>
      </c>
      <c r="E16" s="143">
        <f t="shared" si="3"/>
        <v>0.66251883566312841</v>
      </c>
      <c r="F16" s="143">
        <f t="shared" si="3"/>
        <v>1.4916042628310144</v>
      </c>
      <c r="G16" s="143">
        <f t="shared" si="3"/>
        <v>-2.1828733073454565</v>
      </c>
      <c r="H16" s="143">
        <f t="shared" si="3"/>
        <v>-0.23641191078019874</v>
      </c>
      <c r="I16" s="143">
        <f t="shared" si="3"/>
        <v>-2.4153276879468777</v>
      </c>
      <c r="J16" s="143">
        <f t="shared" si="3"/>
        <v>9.5301420173888651</v>
      </c>
      <c r="K16" s="143">
        <f t="shared" si="3"/>
        <v>-0.22567031603053511</v>
      </c>
      <c r="L16" s="143">
        <f t="shared" si="3"/>
        <v>0.56787326457448106</v>
      </c>
      <c r="M16" s="143">
        <f t="shared" si="3"/>
        <v>-1.7151803166267299</v>
      </c>
      <c r="N16" s="143">
        <f t="shared" si="3"/>
        <v>-9.4880885376131818</v>
      </c>
      <c r="O16" s="143">
        <f t="shared" si="3"/>
        <v>-12.256654112305398</v>
      </c>
    </row>
    <row r="19" spans="1:2">
      <c r="A19" s="5" t="s">
        <v>153</v>
      </c>
    </row>
    <row r="20" spans="1:2">
      <c r="A20" s="5">
        <v>1</v>
      </c>
      <c r="B20" s="5" t="s">
        <v>480</v>
      </c>
    </row>
    <row r="21" spans="1:2">
      <c r="A21" s="5">
        <v>2</v>
      </c>
      <c r="B21" s="5" t="s">
        <v>481</v>
      </c>
    </row>
    <row r="24" spans="1:2">
      <c r="A24" s="5" t="s">
        <v>554</v>
      </c>
    </row>
  </sheetData>
  <mergeCells count="5">
    <mergeCell ref="B4:D4"/>
    <mergeCell ref="E4:G4"/>
    <mergeCell ref="H4:J4"/>
    <mergeCell ref="K4:M4"/>
    <mergeCell ref="N4:O4"/>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7D8A-FF85-B74A-837F-8EBA6CE8F9D3}">
  <sheetPr codeName="Sheet94"/>
  <dimension ref="A1:O24"/>
  <sheetViews>
    <sheetView workbookViewId="0">
      <selection activeCell="J27" sqref="J27"/>
    </sheetView>
  </sheetViews>
  <sheetFormatPr baseColWidth="10" defaultColWidth="10.83203125" defaultRowHeight="16"/>
  <cols>
    <col min="1" max="1" width="23.1640625" style="5" customWidth="1"/>
    <col min="2" max="16384" width="10.83203125" style="5"/>
  </cols>
  <sheetData>
    <row r="1" spans="1:15">
      <c r="A1" s="15" t="s">
        <v>718</v>
      </c>
    </row>
    <row r="2" spans="1:15">
      <c r="A2" s="6"/>
    </row>
    <row r="3" spans="1:15">
      <c r="A3" s="6"/>
    </row>
    <row r="4" spans="1:15">
      <c r="A4" s="6"/>
      <c r="B4" s="328" t="s">
        <v>474</v>
      </c>
      <c r="C4" s="328"/>
      <c r="D4" s="328"/>
      <c r="E4" s="328" t="s">
        <v>475</v>
      </c>
      <c r="F4" s="328"/>
      <c r="G4" s="328"/>
      <c r="H4" s="328" t="s">
        <v>476</v>
      </c>
      <c r="I4" s="328"/>
      <c r="J4" s="328"/>
      <c r="K4" s="328" t="s">
        <v>477</v>
      </c>
      <c r="L4" s="328"/>
      <c r="M4" s="328"/>
      <c r="N4" s="328" t="s">
        <v>478</v>
      </c>
      <c r="O4" s="328"/>
    </row>
    <row r="5" spans="1:15" ht="102">
      <c r="A5" s="6"/>
      <c r="B5" s="137" t="s">
        <v>81</v>
      </c>
      <c r="C5" s="137" t="s">
        <v>77</v>
      </c>
      <c r="D5" s="137" t="s">
        <v>78</v>
      </c>
      <c r="E5" s="137" t="s">
        <v>81</v>
      </c>
      <c r="F5" s="137" t="s">
        <v>77</v>
      </c>
      <c r="G5" s="137" t="s">
        <v>78</v>
      </c>
      <c r="H5" s="137" t="s">
        <v>81</v>
      </c>
      <c r="I5" s="137" t="s">
        <v>77</v>
      </c>
      <c r="J5" s="137" t="s">
        <v>78</v>
      </c>
      <c r="K5" s="137" t="s">
        <v>81</v>
      </c>
      <c r="L5" s="137" t="s">
        <v>77</v>
      </c>
      <c r="M5" s="137" t="s">
        <v>78</v>
      </c>
      <c r="N5" s="137" t="s">
        <v>81</v>
      </c>
      <c r="O5" s="137" t="s">
        <v>77</v>
      </c>
    </row>
    <row r="6" spans="1:15">
      <c r="A6" s="6">
        <v>1999</v>
      </c>
      <c r="B6" s="8">
        <v>70.65270336093522</v>
      </c>
      <c r="C6" s="8">
        <v>69.009958992384298</v>
      </c>
      <c r="D6" s="8">
        <v>64.801627670396741</v>
      </c>
      <c r="E6" s="8">
        <v>99.301919720767884</v>
      </c>
      <c r="F6" s="8">
        <v>99.480789200415373</v>
      </c>
      <c r="G6" s="8">
        <v>82.888684452621902</v>
      </c>
      <c r="H6" s="8">
        <v>51.327433628318587</v>
      </c>
      <c r="I6" s="8">
        <v>49.268292682926827</v>
      </c>
      <c r="J6" s="8">
        <v>56.828193832599119</v>
      </c>
      <c r="K6" s="8">
        <v>66.047212456052236</v>
      </c>
      <c r="L6" s="8">
        <v>62.455303933253873</v>
      </c>
      <c r="M6" s="8">
        <v>74.263038548752832</v>
      </c>
      <c r="N6" s="8">
        <v>135.23412146499768</v>
      </c>
      <c r="O6" s="8">
        <v>138.27213822894169</v>
      </c>
    </row>
    <row r="7" spans="1:15">
      <c r="A7" s="6">
        <v>2005</v>
      </c>
      <c r="B7" s="8">
        <v>53.903623459096004</v>
      </c>
      <c r="C7" s="8">
        <v>55.519765739385065</v>
      </c>
      <c r="D7" s="8">
        <v>34.477124183006538</v>
      </c>
      <c r="E7" s="8">
        <v>99.63685882886972</v>
      </c>
      <c r="F7" s="8">
        <v>89.785164167004453</v>
      </c>
      <c r="G7" s="143" t="s">
        <v>87</v>
      </c>
      <c r="H7" s="8">
        <v>49.117174959871591</v>
      </c>
      <c r="I7" s="8">
        <v>54.74860335195531</v>
      </c>
      <c r="J7" s="8">
        <v>22.823529411764707</v>
      </c>
      <c r="K7" s="8">
        <v>49.515287099179716</v>
      </c>
      <c r="L7" s="8">
        <v>51.39291932675566</v>
      </c>
      <c r="M7" s="8">
        <v>27.952421410365336</v>
      </c>
      <c r="N7" s="8">
        <v>93.60189573459715</v>
      </c>
      <c r="O7" s="8">
        <v>84.900591080064487</v>
      </c>
    </row>
    <row r="8" spans="1:15">
      <c r="A8" s="6">
        <v>2012</v>
      </c>
      <c r="B8" s="8">
        <v>66.264893322249932</v>
      </c>
      <c r="C8" s="8">
        <v>63.443294523501507</v>
      </c>
      <c r="D8" s="8">
        <v>76.114081996434933</v>
      </c>
      <c r="E8" s="8">
        <v>99.610009749756259</v>
      </c>
      <c r="F8" s="8">
        <v>92.666287663445132</v>
      </c>
      <c r="G8" s="8">
        <v>130.76923076923077</v>
      </c>
      <c r="H8" s="8">
        <v>50.354609929078016</v>
      </c>
      <c r="I8" s="8">
        <v>54.713114754098363</v>
      </c>
      <c r="J8" s="8">
        <v>32.601351351351354</v>
      </c>
      <c r="K8" s="8">
        <v>52.541907117339932</v>
      </c>
      <c r="L8" s="8">
        <v>48.967426016606346</v>
      </c>
      <c r="M8" s="8">
        <v>68.173598553345386</v>
      </c>
      <c r="N8" s="8">
        <v>66.450704225352112</v>
      </c>
      <c r="O8" s="8">
        <v>64.373208235600728</v>
      </c>
    </row>
    <row r="9" spans="1:15">
      <c r="A9" s="6">
        <v>2016</v>
      </c>
      <c r="B9" s="8">
        <v>59.867469879518069</v>
      </c>
      <c r="C9" s="8">
        <v>57.174413253566499</v>
      </c>
      <c r="D9" s="8">
        <v>66.298342541436469</v>
      </c>
      <c r="E9" s="8">
        <v>110.49382716049382</v>
      </c>
      <c r="F9" s="8">
        <v>106.90094219505984</v>
      </c>
      <c r="G9" s="8">
        <v>109.9905303030303</v>
      </c>
      <c r="H9" s="8">
        <v>35.496957403651116</v>
      </c>
      <c r="I9" s="8">
        <v>30.492898913951546</v>
      </c>
      <c r="J9" s="8">
        <v>52.990033222591364</v>
      </c>
      <c r="K9" s="8">
        <v>46.967923202996957</v>
      </c>
      <c r="L9" s="8">
        <v>44.367693942614238</v>
      </c>
      <c r="M9" s="8">
        <v>55.077915099408919</v>
      </c>
      <c r="N9" s="8">
        <v>35.940054495912804</v>
      </c>
      <c r="O9" s="8">
        <v>28.589201293854192</v>
      </c>
    </row>
    <row r="10" spans="1:15">
      <c r="A10" s="6">
        <v>2019</v>
      </c>
      <c r="B10" s="8">
        <v>51.981297486849797</v>
      </c>
      <c r="C10" s="8">
        <v>50.893018221179865</v>
      </c>
      <c r="D10" s="8">
        <v>54.402372262773724</v>
      </c>
      <c r="E10" s="8">
        <v>92.93572669368848</v>
      </c>
      <c r="F10" s="8">
        <v>91.152004033274508</v>
      </c>
      <c r="G10" s="8">
        <v>90.290420459471179</v>
      </c>
      <c r="H10" s="8">
        <v>41.733067729083665</v>
      </c>
      <c r="I10" s="8">
        <v>37.190082644628099</v>
      </c>
      <c r="J10" s="8">
        <v>55.219364599092287</v>
      </c>
      <c r="K10" s="8">
        <v>42.78245055694476</v>
      </c>
      <c r="L10" s="8">
        <v>41.552352839034555</v>
      </c>
      <c r="M10" s="8">
        <v>46.431881371640408</v>
      </c>
      <c r="N10" s="8">
        <v>29.037843185753154</v>
      </c>
      <c r="O10" s="8">
        <v>22.740859967808692</v>
      </c>
    </row>
    <row r="13" spans="1:15">
      <c r="A13" s="5" t="s">
        <v>418</v>
      </c>
      <c r="B13" s="143">
        <f t="shared" ref="B13:O13" si="0">B10-B6</f>
        <v>-18.671405874085423</v>
      </c>
      <c r="C13" s="143">
        <f t="shared" si="0"/>
        <v>-18.116940771204433</v>
      </c>
      <c r="D13" s="143">
        <f t="shared" si="0"/>
        <v>-10.399255407623016</v>
      </c>
      <c r="E13" s="143">
        <f t="shared" si="0"/>
        <v>-6.3661930270794045</v>
      </c>
      <c r="F13" s="143">
        <f t="shared" si="0"/>
        <v>-8.3287851671408646</v>
      </c>
      <c r="G13" s="143">
        <f t="shared" si="0"/>
        <v>7.4017360068492764</v>
      </c>
      <c r="H13" s="143">
        <f t="shared" si="0"/>
        <v>-9.5943658992349228</v>
      </c>
      <c r="I13" s="143">
        <f t="shared" si="0"/>
        <v>-12.078210038298728</v>
      </c>
      <c r="J13" s="143">
        <f t="shared" si="0"/>
        <v>-1.6088292335068317</v>
      </c>
      <c r="K13" s="143">
        <f t="shared" si="0"/>
        <v>-23.264761899107476</v>
      </c>
      <c r="L13" s="143">
        <f t="shared" si="0"/>
        <v>-20.902951094219318</v>
      </c>
      <c r="M13" s="143">
        <f t="shared" si="0"/>
        <v>-27.831157177112424</v>
      </c>
      <c r="N13" s="143">
        <f t="shared" si="0"/>
        <v>-106.19627827924452</v>
      </c>
      <c r="O13" s="143">
        <f t="shared" si="0"/>
        <v>-115.531278261133</v>
      </c>
    </row>
    <row r="14" spans="1:15">
      <c r="A14" s="5" t="s">
        <v>449</v>
      </c>
      <c r="B14" s="143">
        <f t="shared" ref="B14:F15" si="1">B7-B6</f>
        <v>-16.749079901839217</v>
      </c>
      <c r="C14" s="143">
        <f t="shared" si="1"/>
        <v>-13.490193252999234</v>
      </c>
      <c r="D14" s="143">
        <f t="shared" si="1"/>
        <v>-30.324503487390203</v>
      </c>
      <c r="E14" s="143">
        <f t="shared" si="1"/>
        <v>0.33493910810183536</v>
      </c>
      <c r="F14" s="143">
        <f t="shared" si="1"/>
        <v>-9.69562503341092</v>
      </c>
      <c r="G14" s="143" t="s">
        <v>87</v>
      </c>
      <c r="H14" s="143">
        <f t="shared" ref="H14:O15" si="2">H7-H6</f>
        <v>-2.2102586684469969</v>
      </c>
      <c r="I14" s="143">
        <f t="shared" si="2"/>
        <v>5.4803106690284835</v>
      </c>
      <c r="J14" s="143">
        <f t="shared" si="2"/>
        <v>-34.004664420834416</v>
      </c>
      <c r="K14" s="143">
        <f t="shared" si="2"/>
        <v>-16.53192535687252</v>
      </c>
      <c r="L14" s="143">
        <f t="shared" si="2"/>
        <v>-11.062384606498213</v>
      </c>
      <c r="M14" s="143">
        <f t="shared" si="2"/>
        <v>-46.310617138387499</v>
      </c>
      <c r="N14" s="143">
        <f t="shared" si="2"/>
        <v>-41.632225730400535</v>
      </c>
      <c r="O14" s="143">
        <f t="shared" si="2"/>
        <v>-53.371547148877198</v>
      </c>
    </row>
    <row r="15" spans="1:15">
      <c r="A15" s="5" t="s">
        <v>450</v>
      </c>
      <c r="B15" s="143">
        <f t="shared" si="1"/>
        <v>12.361269863153929</v>
      </c>
      <c r="C15" s="143">
        <f t="shared" si="1"/>
        <v>7.9235287841164421</v>
      </c>
      <c r="D15" s="143">
        <f t="shared" si="1"/>
        <v>41.636957813428396</v>
      </c>
      <c r="E15" s="143">
        <f t="shared" si="1"/>
        <v>-2.6849079113461016E-2</v>
      </c>
      <c r="F15" s="143">
        <f t="shared" si="1"/>
        <v>2.8811234964406793</v>
      </c>
      <c r="G15" s="143" t="s">
        <v>87</v>
      </c>
      <c r="H15" s="143">
        <f t="shared" si="2"/>
        <v>1.2374349692064257</v>
      </c>
      <c r="I15" s="143">
        <f t="shared" si="2"/>
        <v>-3.5488597856947024E-2</v>
      </c>
      <c r="J15" s="143">
        <f t="shared" si="2"/>
        <v>9.7778219395866479</v>
      </c>
      <c r="K15" s="143">
        <f t="shared" si="2"/>
        <v>3.0266200181602159</v>
      </c>
      <c r="L15" s="143">
        <f t="shared" si="2"/>
        <v>-2.4254933101493137</v>
      </c>
      <c r="M15" s="143">
        <f t="shared" si="2"/>
        <v>40.221177142980054</v>
      </c>
      <c r="N15" s="143">
        <f t="shared" si="2"/>
        <v>-27.151191509245038</v>
      </c>
      <c r="O15" s="143">
        <f t="shared" si="2"/>
        <v>-20.527382844463759</v>
      </c>
    </row>
    <row r="16" spans="1:15">
      <c r="A16" s="5" t="s">
        <v>451</v>
      </c>
      <c r="B16" s="143">
        <f t="shared" ref="B16:O16" si="3">B10-B8</f>
        <v>-14.283595835400135</v>
      </c>
      <c r="C16" s="143">
        <f t="shared" si="3"/>
        <v>-12.550276302321642</v>
      </c>
      <c r="D16" s="143">
        <f t="shared" si="3"/>
        <v>-21.711709733661209</v>
      </c>
      <c r="E16" s="143">
        <f t="shared" si="3"/>
        <v>-6.6742830560677788</v>
      </c>
      <c r="F16" s="143">
        <f t="shared" si="3"/>
        <v>-1.514283630170624</v>
      </c>
      <c r="G16" s="143">
        <f t="shared" si="3"/>
        <v>-40.478810309759595</v>
      </c>
      <c r="H16" s="143">
        <f t="shared" si="3"/>
        <v>-8.6215421999943516</v>
      </c>
      <c r="I16" s="143">
        <f t="shared" si="3"/>
        <v>-17.523032109470265</v>
      </c>
      <c r="J16" s="143">
        <f t="shared" si="3"/>
        <v>22.618013247740933</v>
      </c>
      <c r="K16" s="143">
        <f t="shared" si="3"/>
        <v>-9.7594565603951722</v>
      </c>
      <c r="L16" s="143">
        <f t="shared" si="3"/>
        <v>-7.4150731775717915</v>
      </c>
      <c r="M16" s="143">
        <f t="shared" si="3"/>
        <v>-21.741717181704978</v>
      </c>
      <c r="N16" s="143">
        <f t="shared" si="3"/>
        <v>-37.412861039598958</v>
      </c>
      <c r="O16" s="143">
        <f t="shared" si="3"/>
        <v>-41.63234826779204</v>
      </c>
    </row>
    <row r="19" spans="1:2">
      <c r="A19" s="5" t="s">
        <v>153</v>
      </c>
    </row>
    <row r="20" spans="1:2">
      <c r="A20" s="5">
        <v>1</v>
      </c>
      <c r="B20" s="5" t="s">
        <v>480</v>
      </c>
    </row>
    <row r="21" spans="1:2">
      <c r="A21" s="5">
        <v>2</v>
      </c>
      <c r="B21" s="5" t="s">
        <v>481</v>
      </c>
    </row>
    <row r="24" spans="1:2">
      <c r="A24" s="5" t="s">
        <v>554</v>
      </c>
    </row>
  </sheetData>
  <mergeCells count="5">
    <mergeCell ref="B4:D4"/>
    <mergeCell ref="E4:G4"/>
    <mergeCell ref="H4:J4"/>
    <mergeCell ref="K4:M4"/>
    <mergeCell ref="N4:O4"/>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354F0-0837-DE46-AC9C-D0010A429EEF}">
  <sheetPr codeName="Sheet95"/>
  <dimension ref="A1:O24"/>
  <sheetViews>
    <sheetView zoomScale="116" workbookViewId="0"/>
  </sheetViews>
  <sheetFormatPr baseColWidth="10" defaultColWidth="10.83203125" defaultRowHeight="16"/>
  <cols>
    <col min="1" max="1" width="16.1640625" style="5" customWidth="1"/>
    <col min="2" max="16384" width="10.83203125" style="5"/>
  </cols>
  <sheetData>
    <row r="1" spans="1:15">
      <c r="A1" s="19" t="s">
        <v>719</v>
      </c>
    </row>
    <row r="2" spans="1:15">
      <c r="A2" s="5" t="s">
        <v>3</v>
      </c>
    </row>
    <row r="4" spans="1:15">
      <c r="B4" s="328" t="s">
        <v>474</v>
      </c>
      <c r="C4" s="328"/>
      <c r="D4" s="328"/>
      <c r="E4" s="328" t="s">
        <v>475</v>
      </c>
      <c r="F4" s="328"/>
      <c r="G4" s="328"/>
      <c r="H4" s="328" t="s">
        <v>476</v>
      </c>
      <c r="I4" s="328"/>
      <c r="J4" s="328"/>
      <c r="K4" s="328" t="s">
        <v>477</v>
      </c>
      <c r="L4" s="328"/>
      <c r="M4" s="328"/>
      <c r="N4" s="328" t="s">
        <v>478</v>
      </c>
      <c r="O4" s="328"/>
    </row>
    <row r="5" spans="1:15" ht="102">
      <c r="B5" s="137" t="s">
        <v>81</v>
      </c>
      <c r="C5" s="137" t="s">
        <v>77</v>
      </c>
      <c r="D5" s="137" t="s">
        <v>78</v>
      </c>
      <c r="E5" s="137" t="s">
        <v>81</v>
      </c>
      <c r="F5" s="137" t="s">
        <v>77</v>
      </c>
      <c r="G5" s="137" t="s">
        <v>78</v>
      </c>
      <c r="H5" s="137" t="s">
        <v>81</v>
      </c>
      <c r="I5" s="137" t="s">
        <v>77</v>
      </c>
      <c r="J5" s="137" t="s">
        <v>78</v>
      </c>
      <c r="K5" s="137" t="s">
        <v>81</v>
      </c>
      <c r="L5" s="137" t="s">
        <v>77</v>
      </c>
      <c r="M5" s="137" t="s">
        <v>78</v>
      </c>
      <c r="N5" s="137" t="s">
        <v>81</v>
      </c>
      <c r="O5" s="137" t="s">
        <v>77</v>
      </c>
    </row>
    <row r="6" spans="1:15">
      <c r="A6" s="5">
        <v>1999</v>
      </c>
      <c r="B6" s="20">
        <v>162500</v>
      </c>
      <c r="C6" s="20">
        <v>206300</v>
      </c>
      <c r="D6" s="20">
        <v>52700</v>
      </c>
      <c r="E6" s="20">
        <v>75900</v>
      </c>
      <c r="F6" s="20">
        <v>95200</v>
      </c>
      <c r="G6" s="20">
        <v>34100</v>
      </c>
      <c r="H6" s="20">
        <v>3700</v>
      </c>
      <c r="I6" s="20">
        <v>4100</v>
      </c>
      <c r="J6" s="20">
        <v>2500</v>
      </c>
      <c r="K6" s="20">
        <v>112700</v>
      </c>
      <c r="L6" s="20">
        <v>143500</v>
      </c>
      <c r="M6" s="20">
        <v>20500</v>
      </c>
      <c r="N6" s="20">
        <v>36600</v>
      </c>
      <c r="O6" s="20">
        <v>43900</v>
      </c>
    </row>
    <row r="7" spans="1:15">
      <c r="A7" s="5">
        <v>2005</v>
      </c>
      <c r="B7" s="20">
        <v>160000</v>
      </c>
      <c r="C7" s="20">
        <v>162100</v>
      </c>
      <c r="D7" s="135">
        <v>300</v>
      </c>
      <c r="E7" s="20">
        <v>107300</v>
      </c>
      <c r="F7" s="20">
        <v>106600</v>
      </c>
      <c r="G7" s="143" t="s">
        <v>87</v>
      </c>
      <c r="H7" s="20">
        <v>6400</v>
      </c>
      <c r="I7" s="20">
        <v>12500</v>
      </c>
      <c r="J7" s="141">
        <v>0</v>
      </c>
      <c r="K7" s="20">
        <v>122000</v>
      </c>
      <c r="L7" s="20">
        <v>147400</v>
      </c>
      <c r="M7" s="135">
        <v>300</v>
      </c>
      <c r="N7" s="20">
        <v>63600</v>
      </c>
      <c r="O7" s="20">
        <v>63600</v>
      </c>
    </row>
    <row r="8" spans="1:15">
      <c r="A8" s="5">
        <v>2012</v>
      </c>
      <c r="B8" s="20">
        <v>275700</v>
      </c>
      <c r="C8" s="20">
        <v>358400</v>
      </c>
      <c r="D8" s="20">
        <v>117400</v>
      </c>
      <c r="E8" s="20">
        <v>146900</v>
      </c>
      <c r="F8" s="20">
        <v>146900</v>
      </c>
      <c r="G8" s="20">
        <v>132300</v>
      </c>
      <c r="H8" s="20">
        <v>5600</v>
      </c>
      <c r="I8" s="20">
        <v>6700</v>
      </c>
      <c r="J8" s="20">
        <v>4100</v>
      </c>
      <c r="K8" s="20">
        <v>163200</v>
      </c>
      <c r="L8" s="20">
        <v>197800</v>
      </c>
      <c r="M8" s="20">
        <v>63700</v>
      </c>
      <c r="N8" s="20">
        <v>16800</v>
      </c>
      <c r="O8" s="20">
        <v>16800</v>
      </c>
    </row>
    <row r="9" spans="1:15">
      <c r="A9" s="5">
        <v>2016</v>
      </c>
      <c r="B9" s="20">
        <v>247500</v>
      </c>
      <c r="C9" s="20">
        <v>343400</v>
      </c>
      <c r="D9" s="20">
        <v>78400</v>
      </c>
      <c r="E9" s="20">
        <v>169500</v>
      </c>
      <c r="F9" s="20">
        <v>179900</v>
      </c>
      <c r="G9" s="20">
        <v>133800</v>
      </c>
      <c r="H9" s="20">
        <v>5300</v>
      </c>
      <c r="I9" s="20">
        <v>6500</v>
      </c>
      <c r="J9" s="20">
        <v>4000</v>
      </c>
      <c r="K9" s="20">
        <v>151500</v>
      </c>
      <c r="L9" s="20">
        <v>208700</v>
      </c>
      <c r="M9" s="20">
        <v>26500</v>
      </c>
      <c r="N9" s="20">
        <v>21200</v>
      </c>
      <c r="O9" s="20">
        <v>21200</v>
      </c>
    </row>
    <row r="10" spans="1:15">
      <c r="A10" s="5">
        <v>2019</v>
      </c>
      <c r="B10" s="20">
        <v>265000</v>
      </c>
      <c r="C10" s="20">
        <v>361900</v>
      </c>
      <c r="D10" s="20">
        <v>112000</v>
      </c>
      <c r="E10" s="20">
        <v>176000</v>
      </c>
      <c r="F10" s="20">
        <v>212900</v>
      </c>
      <c r="G10" s="20">
        <v>80000</v>
      </c>
      <c r="H10" s="20">
        <v>5000</v>
      </c>
      <c r="I10" s="20">
        <v>8500</v>
      </c>
      <c r="J10" s="20">
        <v>2000</v>
      </c>
      <c r="K10" s="20">
        <v>163000</v>
      </c>
      <c r="L10" s="20">
        <v>200000</v>
      </c>
      <c r="M10" s="20">
        <v>64000</v>
      </c>
      <c r="N10" s="20">
        <v>30000</v>
      </c>
      <c r="O10" s="20">
        <v>30000</v>
      </c>
    </row>
    <row r="11" spans="1:15">
      <c r="B11" s="20"/>
      <c r="C11" s="20"/>
      <c r="D11" s="20"/>
      <c r="E11" s="20"/>
      <c r="F11" s="20"/>
      <c r="G11" s="20"/>
      <c r="H11" s="20"/>
      <c r="I11" s="20"/>
      <c r="J11" s="20"/>
      <c r="K11" s="20"/>
      <c r="L11" s="20"/>
      <c r="M11" s="20"/>
      <c r="N11" s="20"/>
      <c r="O11" s="20"/>
    </row>
    <row r="13" spans="1:15">
      <c r="A13" s="5" t="s">
        <v>479</v>
      </c>
      <c r="B13" s="143">
        <f>100*((B10/B6)^(1/20)-1)</f>
        <v>2.4754007608858819</v>
      </c>
      <c r="C13" s="143">
        <f t="shared" ref="C13:O13" si="0">100*((C10/C6)^(1/20)-1)</f>
        <v>2.8500406683122037</v>
      </c>
      <c r="D13" s="143">
        <f t="shared" si="0"/>
        <v>3.8413607095529212</v>
      </c>
      <c r="E13" s="143">
        <f t="shared" si="0"/>
        <v>4.2950134854308208</v>
      </c>
      <c r="F13" s="143">
        <f t="shared" si="0"/>
        <v>4.1062817784289329</v>
      </c>
      <c r="G13" s="143">
        <f t="shared" si="0"/>
        <v>4.3558453273024877</v>
      </c>
      <c r="H13" s="143">
        <f t="shared" si="0"/>
        <v>1.5169155871484374</v>
      </c>
      <c r="I13" s="143">
        <f t="shared" si="0"/>
        <v>3.7126553082355462</v>
      </c>
      <c r="J13" s="143">
        <f t="shared" si="0"/>
        <v>-1.1095167094968383</v>
      </c>
      <c r="K13" s="143">
        <f t="shared" si="0"/>
        <v>1.8622311169496308</v>
      </c>
      <c r="L13" s="143">
        <f t="shared" si="0"/>
        <v>1.6737647337526251</v>
      </c>
      <c r="M13" s="143">
        <f t="shared" si="0"/>
        <v>5.8574201617331623</v>
      </c>
      <c r="N13" s="143">
        <f t="shared" si="0"/>
        <v>-0.98932792611527987</v>
      </c>
      <c r="O13" s="143">
        <f t="shared" si="0"/>
        <v>-1.8855809385827538</v>
      </c>
    </row>
    <row r="14" spans="1:15">
      <c r="A14" s="5" t="s">
        <v>461</v>
      </c>
      <c r="B14" s="143">
        <f>100*((B7/B6)^(1/6)-1)</f>
        <v>-0.25806953548247469</v>
      </c>
      <c r="C14" s="143">
        <f t="shared" ref="C14:O14" si="1">100*((C7/C6)^(1/6)-1)</f>
        <v>-3.9389569880993958</v>
      </c>
      <c r="D14" s="143">
        <f t="shared" si="1"/>
        <v>-57.74431887154072</v>
      </c>
      <c r="E14" s="143">
        <f t="shared" si="1"/>
        <v>5.9399241552033688</v>
      </c>
      <c r="F14" s="143">
        <f t="shared" si="1"/>
        <v>1.9029389146504538</v>
      </c>
      <c r="G14" s="143" t="s">
        <v>87</v>
      </c>
      <c r="H14" s="143">
        <f t="shared" si="1"/>
        <v>9.5627795774754443</v>
      </c>
      <c r="I14" s="143">
        <f t="shared" si="1"/>
        <v>20.416969353913462</v>
      </c>
      <c r="J14" s="143" t="s">
        <v>87</v>
      </c>
      <c r="K14" s="143">
        <f t="shared" si="1"/>
        <v>1.3302978237424101</v>
      </c>
      <c r="L14" s="143">
        <f t="shared" si="1"/>
        <v>0.44791590039672258</v>
      </c>
      <c r="M14" s="143">
        <f t="shared" si="1"/>
        <v>-50.542985209180991</v>
      </c>
      <c r="N14" s="143">
        <f t="shared" si="1"/>
        <v>9.6468109982731587</v>
      </c>
      <c r="O14" s="143">
        <f t="shared" si="1"/>
        <v>6.3731693876738493</v>
      </c>
    </row>
    <row r="15" spans="1:15">
      <c r="A15" s="5" t="s">
        <v>462</v>
      </c>
      <c r="B15" s="143">
        <f>100*((B8/B7)^(1/7)-1)</f>
        <v>8.0835350326698077</v>
      </c>
      <c r="C15" s="143">
        <f t="shared" ref="C15:O15" si="2">100*((C8/C7)^(1/7)-1)</f>
        <v>12.002167304331369</v>
      </c>
      <c r="D15" s="143">
        <f t="shared" si="2"/>
        <v>134.61935396109646</v>
      </c>
      <c r="E15" s="143">
        <f t="shared" si="2"/>
        <v>4.5896880547625418</v>
      </c>
      <c r="F15" s="143">
        <f t="shared" si="2"/>
        <v>4.6875272072233631</v>
      </c>
      <c r="G15" s="143" t="s">
        <v>87</v>
      </c>
      <c r="H15" s="143">
        <f t="shared" si="2"/>
        <v>-1.8895119426718954</v>
      </c>
      <c r="I15" s="143">
        <f t="shared" si="2"/>
        <v>-8.5235598105960477</v>
      </c>
      <c r="J15" s="143" t="s">
        <v>87</v>
      </c>
      <c r="K15" s="143">
        <f t="shared" si="2"/>
        <v>4.2440977549000669</v>
      </c>
      <c r="L15" s="143">
        <f t="shared" si="2"/>
        <v>4.2910336742383759</v>
      </c>
      <c r="M15" s="143">
        <f t="shared" si="2"/>
        <v>114.99639023949157</v>
      </c>
      <c r="N15" s="143">
        <f t="shared" si="2"/>
        <v>-17.318670326184161</v>
      </c>
      <c r="O15" s="143">
        <f t="shared" si="2"/>
        <v>-17.318670326184161</v>
      </c>
    </row>
    <row r="16" spans="1:15">
      <c r="A16" s="5" t="s">
        <v>463</v>
      </c>
      <c r="B16" s="143">
        <f>100*((B10/B8)^(1/7)-1)</f>
        <v>-0.56388263775677405</v>
      </c>
      <c r="C16" s="143">
        <f t="shared" ref="C16:O16" si="3">100*((C10/C8)^(1/7)-1)</f>
        <v>0.13892855169306273</v>
      </c>
      <c r="D16" s="143">
        <f t="shared" si="3"/>
        <v>-0.67042876089510317</v>
      </c>
      <c r="E16" s="143">
        <f t="shared" si="3"/>
        <v>2.6155038058138569</v>
      </c>
      <c r="F16" s="143">
        <f t="shared" si="3"/>
        <v>5.4440263086472651</v>
      </c>
      <c r="G16" s="143">
        <f t="shared" si="3"/>
        <v>-6.9342202553863359</v>
      </c>
      <c r="H16" s="143">
        <f t="shared" si="3"/>
        <v>-1.6059461576064527</v>
      </c>
      <c r="I16" s="143">
        <f t="shared" si="3"/>
        <v>3.4578493400422294</v>
      </c>
      <c r="J16" s="143">
        <f t="shared" si="3"/>
        <v>-9.7465662022700243</v>
      </c>
      <c r="K16" s="143">
        <f t="shared" si="3"/>
        <v>-1.7516204637202382E-2</v>
      </c>
      <c r="L16" s="143">
        <f t="shared" si="3"/>
        <v>0.15813844087164686</v>
      </c>
      <c r="M16" s="143">
        <f t="shared" si="3"/>
        <v>6.7144257121842799E-2</v>
      </c>
      <c r="N16" s="143">
        <f t="shared" si="3"/>
        <v>8.6358430552431855</v>
      </c>
      <c r="O16" s="143">
        <f t="shared" si="3"/>
        <v>8.6358430552431855</v>
      </c>
    </row>
    <row r="19" spans="1:2">
      <c r="A19" s="5" t="s">
        <v>153</v>
      </c>
    </row>
    <row r="20" spans="1:2">
      <c r="A20" s="5">
        <v>1</v>
      </c>
      <c r="B20" s="5" t="s">
        <v>480</v>
      </c>
    </row>
    <row r="21" spans="1:2">
      <c r="A21" s="5">
        <v>2</v>
      </c>
      <c r="B21" s="5" t="s">
        <v>481</v>
      </c>
    </row>
    <row r="24" spans="1:2">
      <c r="A24" s="5" t="s">
        <v>706</v>
      </c>
    </row>
  </sheetData>
  <mergeCells count="5">
    <mergeCell ref="B4:D4"/>
    <mergeCell ref="E4:G4"/>
    <mergeCell ref="H4:J4"/>
    <mergeCell ref="K4:M4"/>
    <mergeCell ref="N4:O4"/>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E1A15-7B0F-F247-A7D6-DA344D55EFC2}">
  <sheetPr codeName="Sheet96"/>
  <dimension ref="A1:O24"/>
  <sheetViews>
    <sheetView workbookViewId="0">
      <selection activeCell="F32" sqref="F32"/>
    </sheetView>
  </sheetViews>
  <sheetFormatPr baseColWidth="10" defaultColWidth="10.83203125" defaultRowHeight="16"/>
  <cols>
    <col min="1" max="1" width="20.33203125" style="5" customWidth="1"/>
    <col min="2" max="16384" width="10.83203125" style="5"/>
  </cols>
  <sheetData>
    <row r="1" spans="1:15">
      <c r="A1" s="19" t="s">
        <v>720</v>
      </c>
    </row>
    <row r="4" spans="1:15">
      <c r="B4" s="328" t="s">
        <v>474</v>
      </c>
      <c r="C4" s="328"/>
      <c r="D4" s="328"/>
      <c r="E4" s="328" t="s">
        <v>475</v>
      </c>
      <c r="F4" s="328"/>
      <c r="G4" s="328"/>
      <c r="H4" s="328" t="s">
        <v>476</v>
      </c>
      <c r="I4" s="328"/>
      <c r="J4" s="328"/>
      <c r="K4" s="328" t="s">
        <v>477</v>
      </c>
      <c r="L4" s="328"/>
      <c r="M4" s="328"/>
      <c r="N4" s="328" t="s">
        <v>478</v>
      </c>
      <c r="O4" s="328"/>
    </row>
    <row r="5" spans="1:15" ht="102">
      <c r="B5" s="137" t="s">
        <v>81</v>
      </c>
      <c r="C5" s="137" t="s">
        <v>77</v>
      </c>
      <c r="D5" s="137" t="s">
        <v>78</v>
      </c>
      <c r="E5" s="137" t="s">
        <v>81</v>
      </c>
      <c r="F5" s="137" t="s">
        <v>77</v>
      </c>
      <c r="G5" s="137" t="s">
        <v>78</v>
      </c>
      <c r="H5" s="137" t="s">
        <v>81</v>
      </c>
      <c r="I5" s="137" t="s">
        <v>77</v>
      </c>
      <c r="J5" s="137" t="s">
        <v>78</v>
      </c>
      <c r="K5" s="137" t="s">
        <v>81</v>
      </c>
      <c r="L5" s="137" t="s">
        <v>77</v>
      </c>
      <c r="M5" s="137" t="s">
        <v>78</v>
      </c>
      <c r="N5" s="137" t="s">
        <v>81</v>
      </c>
      <c r="O5" s="137" t="s">
        <v>77</v>
      </c>
    </row>
    <row r="6" spans="1:15">
      <c r="A6" s="5">
        <v>1999</v>
      </c>
      <c r="B6" s="8">
        <v>69.266837169650472</v>
      </c>
      <c r="C6" s="8">
        <v>63.988833746898266</v>
      </c>
      <c r="D6" s="8">
        <v>100.76481835564053</v>
      </c>
      <c r="E6" s="8">
        <v>103.68852459016394</v>
      </c>
      <c r="F6" s="8">
        <v>110.44083526682135</v>
      </c>
      <c r="G6" s="8">
        <v>81.774580335731414</v>
      </c>
      <c r="H6" s="8">
        <v>55.223880597014926</v>
      </c>
      <c r="I6" s="8">
        <v>50.617283950617285</v>
      </c>
      <c r="J6" s="8">
        <v>62.5</v>
      </c>
      <c r="K6" s="8">
        <v>76.980874316939889</v>
      </c>
      <c r="L6" s="8">
        <v>71.821821821821828</v>
      </c>
      <c r="M6" s="8">
        <v>136.66666666666666</v>
      </c>
      <c r="N6" s="8">
        <v>277.27272727272725</v>
      </c>
      <c r="O6" s="8">
        <v>300.6849315068493</v>
      </c>
    </row>
    <row r="7" spans="1:15">
      <c r="A7" s="5">
        <v>2005</v>
      </c>
      <c r="B7" s="8">
        <v>54.757015742642025</v>
      </c>
      <c r="C7" s="8">
        <v>37.998124706985465</v>
      </c>
      <c r="D7" s="8">
        <v>0.52356020942408377</v>
      </c>
      <c r="E7" s="8">
        <v>124.04624277456648</v>
      </c>
      <c r="F7" s="8">
        <v>104.20332355816227</v>
      </c>
      <c r="G7" s="8" t="s">
        <v>87</v>
      </c>
      <c r="H7" s="8">
        <v>82.051282051282058</v>
      </c>
      <c r="I7" s="8">
        <v>119.04761904761905</v>
      </c>
      <c r="J7" s="8">
        <v>0</v>
      </c>
      <c r="K7" s="8">
        <v>67.740144364242084</v>
      </c>
      <c r="L7" s="8">
        <v>55.939278937381403</v>
      </c>
      <c r="M7" s="8">
        <v>1.6853932584269662</v>
      </c>
      <c r="N7" s="8">
        <v>316.41791044776119</v>
      </c>
      <c r="O7" s="8">
        <v>250.39370078740157</v>
      </c>
    </row>
    <row r="8" spans="1:15">
      <c r="A8" s="5">
        <v>2012</v>
      </c>
      <c r="B8" s="8">
        <v>66.449746926970349</v>
      </c>
      <c r="C8" s="8">
        <v>61.129114787651375</v>
      </c>
      <c r="D8" s="8">
        <v>156.74232309746327</v>
      </c>
      <c r="E8" s="8">
        <v>112.65337423312883</v>
      </c>
      <c r="F8" s="8">
        <v>89.192471159684274</v>
      </c>
      <c r="G8" s="8">
        <v>182.23140495867767</v>
      </c>
      <c r="H8" s="8">
        <v>50.909090909090907</v>
      </c>
      <c r="I8" s="8">
        <v>46.206896551724135</v>
      </c>
      <c r="J8" s="8">
        <v>91.111111111111114</v>
      </c>
      <c r="K8" s="8">
        <v>64.327946393377999</v>
      </c>
      <c r="L8" s="8">
        <v>56.546598056032018</v>
      </c>
      <c r="M8" s="8">
        <v>350</v>
      </c>
      <c r="N8" s="8">
        <v>150</v>
      </c>
      <c r="O8" s="8">
        <v>100</v>
      </c>
    </row>
    <row r="9" spans="1:15">
      <c r="A9" s="5">
        <v>2016</v>
      </c>
      <c r="B9" s="8">
        <v>53.077417971263138</v>
      </c>
      <c r="C9" s="8">
        <v>49.509803921568626</v>
      </c>
      <c r="D9" s="8">
        <v>69.813000890471955</v>
      </c>
      <c r="E9" s="8">
        <v>106.67086217747011</v>
      </c>
      <c r="F9" s="8">
        <v>88.971315529179037</v>
      </c>
      <c r="G9" s="8">
        <v>129.77691561590689</v>
      </c>
      <c r="H9" s="8">
        <v>43.442622950819676</v>
      </c>
      <c r="I9" s="8">
        <v>38.46153846153846</v>
      </c>
      <c r="J9" s="8">
        <v>62.5</v>
      </c>
      <c r="K9" s="8">
        <v>55.862831858407077</v>
      </c>
      <c r="L9" s="8">
        <v>53.983445421624417</v>
      </c>
      <c r="M9" s="8">
        <v>119.36936936936937</v>
      </c>
      <c r="N9" s="8">
        <v>200</v>
      </c>
      <c r="O9" s="8">
        <v>136.7741935483871</v>
      </c>
    </row>
    <row r="10" spans="1:15">
      <c r="A10" s="5">
        <v>2019</v>
      </c>
      <c r="B10" s="8">
        <v>55.555555555555557</v>
      </c>
      <c r="C10" s="8">
        <v>50.544692737430168</v>
      </c>
      <c r="D10" s="8">
        <v>75.067024128686327</v>
      </c>
      <c r="E10" s="8">
        <v>110.90107120352867</v>
      </c>
      <c r="F10" s="8">
        <v>111.00104275286758</v>
      </c>
      <c r="G10" s="8">
        <v>82.389289392378984</v>
      </c>
      <c r="H10" s="8">
        <v>35.714285714285715</v>
      </c>
      <c r="I10" s="8">
        <v>43.589743589743591</v>
      </c>
      <c r="J10" s="8">
        <v>26.666666666666668</v>
      </c>
      <c r="K10" s="8">
        <v>59.597806215722123</v>
      </c>
      <c r="L10" s="8">
        <v>49.382716049382715</v>
      </c>
      <c r="M10" s="8">
        <v>213.33333333333334</v>
      </c>
      <c r="N10" s="8">
        <v>303.030303030303</v>
      </c>
      <c r="O10" s="8">
        <v>300</v>
      </c>
    </row>
    <row r="13" spans="1:15">
      <c r="A13" s="5" t="s">
        <v>418</v>
      </c>
      <c r="B13" s="143">
        <f t="shared" ref="B13:O13" si="0">B10-B6</f>
        <v>-13.711281614094915</v>
      </c>
      <c r="C13" s="143">
        <f t="shared" si="0"/>
        <v>-13.444141009468098</v>
      </c>
      <c r="D13" s="143">
        <f t="shared" si="0"/>
        <v>-25.697794226954201</v>
      </c>
      <c r="E13" s="143">
        <f t="shared" si="0"/>
        <v>7.2125466133647365</v>
      </c>
      <c r="F13" s="143">
        <f t="shared" si="0"/>
        <v>0.56020748604622383</v>
      </c>
      <c r="G13" s="143">
        <f t="shared" si="0"/>
        <v>0.6147090566475697</v>
      </c>
      <c r="H13" s="143">
        <f t="shared" si="0"/>
        <v>-19.50959488272921</v>
      </c>
      <c r="I13" s="143">
        <f t="shared" si="0"/>
        <v>-7.0275403608736937</v>
      </c>
      <c r="J13" s="143">
        <f t="shared" si="0"/>
        <v>-35.833333333333329</v>
      </c>
      <c r="K13" s="143">
        <f t="shared" si="0"/>
        <v>-17.383068101217766</v>
      </c>
      <c r="L13" s="143">
        <f t="shared" si="0"/>
        <v>-22.439105772439113</v>
      </c>
      <c r="M13" s="143">
        <f t="shared" si="0"/>
        <v>76.666666666666686</v>
      </c>
      <c r="N13" s="143">
        <f t="shared" si="0"/>
        <v>25.757575757575751</v>
      </c>
      <c r="O13" s="143">
        <f t="shared" si="0"/>
        <v>-0.6849315068492956</v>
      </c>
    </row>
    <row r="14" spans="1:15">
      <c r="A14" s="5" t="s">
        <v>449</v>
      </c>
      <c r="B14" s="143">
        <f t="shared" ref="B14:F15" si="1">B7-B6</f>
        <v>-14.509821427008447</v>
      </c>
      <c r="C14" s="143">
        <f t="shared" si="1"/>
        <v>-25.990709039912801</v>
      </c>
      <c r="D14" s="143">
        <f t="shared" si="1"/>
        <v>-100.24125814621644</v>
      </c>
      <c r="E14" s="143">
        <f t="shared" si="1"/>
        <v>20.357718184402543</v>
      </c>
      <c r="F14" s="143">
        <f t="shared" si="1"/>
        <v>-6.2375117086590848</v>
      </c>
      <c r="G14" s="143" t="s">
        <v>87</v>
      </c>
      <c r="H14" s="143">
        <f t="shared" ref="H14:O15" si="2">H7-H6</f>
        <v>26.827401454267132</v>
      </c>
      <c r="I14" s="143">
        <f t="shared" si="2"/>
        <v>68.430335097001773</v>
      </c>
      <c r="J14" s="143">
        <f t="shared" si="2"/>
        <v>-62.5</v>
      </c>
      <c r="K14" s="143">
        <f t="shared" si="2"/>
        <v>-9.2407299526978051</v>
      </c>
      <c r="L14" s="143">
        <f t="shared" si="2"/>
        <v>-15.882542884440426</v>
      </c>
      <c r="M14" s="143">
        <f t="shared" si="2"/>
        <v>-134.9812734082397</v>
      </c>
      <c r="N14" s="143">
        <f t="shared" si="2"/>
        <v>39.145183175033935</v>
      </c>
      <c r="O14" s="143">
        <f t="shared" si="2"/>
        <v>-50.291230719447725</v>
      </c>
    </row>
    <row r="15" spans="1:15">
      <c r="A15" s="5" t="s">
        <v>450</v>
      </c>
      <c r="B15" s="143">
        <f t="shared" si="1"/>
        <v>11.692731184328323</v>
      </c>
      <c r="C15" s="143">
        <f t="shared" si="1"/>
        <v>23.13099008066591</v>
      </c>
      <c r="D15" s="143">
        <f t="shared" si="1"/>
        <v>156.21876288803918</v>
      </c>
      <c r="E15" s="143">
        <f t="shared" si="1"/>
        <v>-11.39286854143765</v>
      </c>
      <c r="F15" s="143">
        <f t="shared" si="1"/>
        <v>-15.010852398477994</v>
      </c>
      <c r="G15" s="143" t="s">
        <v>87</v>
      </c>
      <c r="H15" s="143">
        <f t="shared" si="2"/>
        <v>-31.142191142191152</v>
      </c>
      <c r="I15" s="143">
        <f t="shared" si="2"/>
        <v>-72.840722495894909</v>
      </c>
      <c r="J15" s="143">
        <f t="shared" si="2"/>
        <v>91.111111111111114</v>
      </c>
      <c r="K15" s="143">
        <f t="shared" si="2"/>
        <v>-3.4121979708640851</v>
      </c>
      <c r="L15" s="143">
        <f t="shared" si="2"/>
        <v>0.60731911865061505</v>
      </c>
      <c r="M15" s="143">
        <f t="shared" si="2"/>
        <v>348.31460674157302</v>
      </c>
      <c r="N15" s="143">
        <f t="shared" si="2"/>
        <v>-166.41791044776119</v>
      </c>
      <c r="O15" s="143">
        <f t="shared" si="2"/>
        <v>-150.39370078740157</v>
      </c>
    </row>
    <row r="16" spans="1:15">
      <c r="A16" s="5" t="s">
        <v>451</v>
      </c>
      <c r="B16" s="143">
        <f t="shared" ref="B16:O16" si="3">B10-B8</f>
        <v>-10.894191371414792</v>
      </c>
      <c r="C16" s="143">
        <f t="shared" si="3"/>
        <v>-10.584422050221207</v>
      </c>
      <c r="D16" s="143">
        <f t="shared" si="3"/>
        <v>-81.675298968776943</v>
      </c>
      <c r="E16" s="143">
        <f t="shared" si="3"/>
        <v>-1.7523030296001565</v>
      </c>
      <c r="F16" s="143">
        <f t="shared" si="3"/>
        <v>21.808571593183302</v>
      </c>
      <c r="G16" s="143">
        <f t="shared" si="3"/>
        <v>-99.842115566298688</v>
      </c>
      <c r="H16" s="143">
        <f t="shared" si="3"/>
        <v>-15.194805194805191</v>
      </c>
      <c r="I16" s="143">
        <f t="shared" si="3"/>
        <v>-2.617152961980544</v>
      </c>
      <c r="J16" s="143">
        <f t="shared" si="3"/>
        <v>-64.444444444444443</v>
      </c>
      <c r="K16" s="143">
        <f t="shared" si="3"/>
        <v>-4.7301401776558762</v>
      </c>
      <c r="L16" s="143">
        <f t="shared" si="3"/>
        <v>-7.1638820066493025</v>
      </c>
      <c r="M16" s="143">
        <f t="shared" si="3"/>
        <v>-136.66666666666666</v>
      </c>
      <c r="N16" s="143">
        <f t="shared" si="3"/>
        <v>153.030303030303</v>
      </c>
      <c r="O16" s="143">
        <f t="shared" si="3"/>
        <v>200</v>
      </c>
    </row>
    <row r="19" spans="1:2">
      <c r="A19" s="5" t="s">
        <v>153</v>
      </c>
    </row>
    <row r="20" spans="1:2">
      <c r="A20" s="5">
        <v>1</v>
      </c>
      <c r="B20" s="5" t="s">
        <v>480</v>
      </c>
    </row>
    <row r="21" spans="1:2">
      <c r="A21" s="5">
        <v>2</v>
      </c>
      <c r="B21" s="5" t="s">
        <v>481</v>
      </c>
    </row>
    <row r="24" spans="1:2">
      <c r="A24" s="5" t="s">
        <v>554</v>
      </c>
    </row>
  </sheetData>
  <mergeCells count="5">
    <mergeCell ref="B4:D4"/>
    <mergeCell ref="E4:G4"/>
    <mergeCell ref="H4:J4"/>
    <mergeCell ref="K4:M4"/>
    <mergeCell ref="N4:O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1E80-9451-1A41-888C-118BE1522EFF}">
  <sheetPr codeName="Sheet9"/>
  <dimension ref="A1:I55"/>
  <sheetViews>
    <sheetView zoomScale="75" workbookViewId="0"/>
  </sheetViews>
  <sheetFormatPr baseColWidth="10" defaultColWidth="11" defaultRowHeight="16"/>
  <cols>
    <col min="1" max="1" width="23.33203125" style="5" customWidth="1"/>
    <col min="2" max="3" width="11" style="5"/>
    <col min="4" max="4" width="16.5" style="5" customWidth="1"/>
    <col min="5" max="6" width="11" style="5"/>
    <col min="7" max="7" width="16.6640625" style="5" customWidth="1"/>
    <col min="8" max="16384" width="11" style="5"/>
  </cols>
  <sheetData>
    <row r="1" spans="1:9">
      <c r="A1" s="19" t="s">
        <v>612</v>
      </c>
      <c r="B1" s="19"/>
    </row>
    <row r="3" spans="1:9">
      <c r="B3" s="328" t="s">
        <v>76</v>
      </c>
      <c r="C3" s="328"/>
      <c r="D3" s="328"/>
      <c r="E3" s="328" t="s">
        <v>62</v>
      </c>
      <c r="F3" s="328"/>
      <c r="G3" s="328"/>
    </row>
    <row r="4" spans="1:9" ht="53" customHeight="1">
      <c r="B4" s="137" t="s">
        <v>45</v>
      </c>
      <c r="C4" s="137" t="s">
        <v>77</v>
      </c>
      <c r="D4" s="137" t="s">
        <v>78</v>
      </c>
      <c r="E4" s="137" t="s">
        <v>45</v>
      </c>
      <c r="F4" s="137" t="s">
        <v>77</v>
      </c>
      <c r="G4" s="137" t="s">
        <v>78</v>
      </c>
    </row>
    <row r="5" spans="1:9">
      <c r="A5" s="5">
        <v>1976</v>
      </c>
      <c r="B5" s="143">
        <v>2.9439819632327437</v>
      </c>
      <c r="C5" s="143">
        <v>3.0177739758578079</v>
      </c>
      <c r="D5" s="143">
        <v>2.1749876421156698</v>
      </c>
      <c r="E5" s="143">
        <v>2.6485948768962944</v>
      </c>
      <c r="F5" s="143">
        <v>2.8073089700996676</v>
      </c>
      <c r="G5" s="143">
        <v>2.1749876421156698</v>
      </c>
      <c r="I5" s="143"/>
    </row>
    <row r="6" spans="1:9">
      <c r="A6" s="5">
        <v>1977</v>
      </c>
      <c r="B6" s="143">
        <v>2.9294445635856743</v>
      </c>
      <c r="C6" s="143">
        <v>3.0107120947572081</v>
      </c>
      <c r="D6" s="143">
        <v>2.1657250470809792</v>
      </c>
      <c r="E6" s="143">
        <v>2.6379477250726038</v>
      </c>
      <c r="F6" s="143">
        <v>2.8175895765472312</v>
      </c>
      <c r="G6" s="143">
        <v>2.1657250470809792</v>
      </c>
    </row>
    <row r="7" spans="1:9">
      <c r="A7" s="5">
        <v>1978</v>
      </c>
      <c r="B7" s="143">
        <v>2.9148077331633737</v>
      </c>
      <c r="C7" s="143">
        <v>2.9985922102299387</v>
      </c>
      <c r="D7" s="143">
        <v>2.1123595505617976</v>
      </c>
      <c r="E7" s="143">
        <v>2.6234932640037818</v>
      </c>
      <c r="F7" s="143">
        <v>2.8058361391694726</v>
      </c>
      <c r="G7" s="143">
        <v>2.1123595505617976</v>
      </c>
    </row>
    <row r="8" spans="1:9">
      <c r="A8" s="5">
        <v>1979</v>
      </c>
      <c r="B8" s="143">
        <v>2.8942283457951778</v>
      </c>
      <c r="C8" s="143">
        <v>2.979793276841419</v>
      </c>
      <c r="D8" s="143">
        <v>2.104810996563574</v>
      </c>
      <c r="E8" s="143">
        <v>2.6127167630057806</v>
      </c>
      <c r="F8" s="143">
        <v>2.7997469155330594</v>
      </c>
      <c r="G8" s="143">
        <v>2.104810996563574</v>
      </c>
    </row>
    <row r="9" spans="1:9">
      <c r="A9" s="5">
        <v>1980</v>
      </c>
      <c r="B9" s="143">
        <v>2.8622391836396068</v>
      </c>
      <c r="C9" s="143">
        <v>2.9476889011901468</v>
      </c>
      <c r="D9" s="143">
        <v>2.0584602717167559</v>
      </c>
      <c r="E9" s="143">
        <v>2.5767421017252969</v>
      </c>
      <c r="F9" s="143">
        <v>2.7700831024930745</v>
      </c>
      <c r="G9" s="143">
        <v>2.0584602717167559</v>
      </c>
    </row>
    <row r="10" spans="1:9">
      <c r="A10" s="5">
        <v>1981</v>
      </c>
      <c r="B10" s="143">
        <v>2.8250440772479397</v>
      </c>
      <c r="C10" s="143">
        <v>2.9129321382842512</v>
      </c>
      <c r="D10" s="143">
        <v>2.0626735422451405</v>
      </c>
      <c r="E10" s="143">
        <v>2.5624178712220762</v>
      </c>
      <c r="F10" s="143">
        <v>2.7529874451671454</v>
      </c>
      <c r="G10" s="143">
        <v>2.0626735422451405</v>
      </c>
    </row>
    <row r="11" spans="1:9">
      <c r="A11" s="5">
        <v>1982</v>
      </c>
      <c r="B11" s="143">
        <v>2.8190151699521375</v>
      </c>
      <c r="C11" s="143">
        <v>2.9067658262289133</v>
      </c>
      <c r="D11" s="143">
        <v>2.07532667179093</v>
      </c>
      <c r="E11" s="143">
        <v>2.5704452570445255</v>
      </c>
      <c r="F11" s="143">
        <v>2.7777777777777777</v>
      </c>
      <c r="G11" s="143">
        <v>2.07532667179093</v>
      </c>
    </row>
    <row r="12" spans="1:9">
      <c r="A12" s="5">
        <v>1983</v>
      </c>
      <c r="B12" s="143">
        <v>2.8204098031337885</v>
      </c>
      <c r="C12" s="143">
        <v>2.9082069058659341</v>
      </c>
      <c r="D12" s="143">
        <v>2.0545386626821069</v>
      </c>
      <c r="E12" s="143">
        <v>2.5949367088607596</v>
      </c>
      <c r="F12" s="143">
        <v>2.7928854916948405</v>
      </c>
      <c r="G12" s="143">
        <v>2.0545386626821069</v>
      </c>
    </row>
    <row r="13" spans="1:9">
      <c r="A13" s="5">
        <v>1984</v>
      </c>
      <c r="B13" s="143">
        <v>2.8096147723654887</v>
      </c>
      <c r="C13" s="143">
        <v>2.9006882989183875</v>
      </c>
      <c r="D13" s="143">
        <v>2.0697167755991286</v>
      </c>
      <c r="E13" s="143">
        <v>2.568351284175642</v>
      </c>
      <c r="F13" s="143">
        <v>2.7673138220805567</v>
      </c>
      <c r="G13" s="143">
        <v>2.0697167755991286</v>
      </c>
    </row>
    <row r="14" spans="1:9">
      <c r="A14" s="5">
        <v>1985</v>
      </c>
      <c r="B14" s="143">
        <v>2.7920182979730264</v>
      </c>
      <c r="C14" s="143">
        <v>2.880859375</v>
      </c>
      <c r="D14" s="143">
        <v>2.0848056537102475</v>
      </c>
      <c r="E14" s="143">
        <v>2.5617566331198534</v>
      </c>
      <c r="F14" s="143">
        <v>2.7543884686741831</v>
      </c>
      <c r="G14" s="143">
        <v>2.0848056537102475</v>
      </c>
    </row>
    <row r="15" spans="1:9">
      <c r="A15" s="5">
        <v>1986</v>
      </c>
      <c r="B15" s="143">
        <v>2.7682336404810246</v>
      </c>
      <c r="C15" s="143">
        <v>2.8557577894319333</v>
      </c>
      <c r="D15" s="143">
        <v>2.0883259157822662</v>
      </c>
      <c r="E15" s="143">
        <v>2.5587206396801601</v>
      </c>
      <c r="F15" s="143">
        <v>2.7526821005081876</v>
      </c>
      <c r="G15" s="143">
        <v>2.0883259157822662</v>
      </c>
    </row>
    <row r="16" spans="1:9">
      <c r="A16" s="5">
        <v>1987</v>
      </c>
      <c r="B16" s="143">
        <v>2.7429497318776281</v>
      </c>
      <c r="C16" s="143">
        <v>2.8308068673277709</v>
      </c>
      <c r="D16" s="143">
        <v>2.0792079207920793</v>
      </c>
      <c r="E16" s="143">
        <v>2.547770700636943</v>
      </c>
      <c r="F16" s="143">
        <v>2.7317073170731709</v>
      </c>
      <c r="G16" s="143">
        <v>2.0792079207920793</v>
      </c>
    </row>
    <row r="17" spans="1:7">
      <c r="A17" s="5">
        <v>1988</v>
      </c>
      <c r="B17" s="143">
        <v>2.7234982668647394</v>
      </c>
      <c r="C17" s="143">
        <v>2.8080650744202145</v>
      </c>
      <c r="D17" s="143">
        <v>2.1012416427889207</v>
      </c>
      <c r="E17" s="143">
        <v>2.5444805815955616</v>
      </c>
      <c r="F17" s="143">
        <v>2.7348557363599069</v>
      </c>
      <c r="G17" s="143">
        <v>2.1012416427889207</v>
      </c>
    </row>
    <row r="18" spans="1:7">
      <c r="A18" s="5">
        <v>1989</v>
      </c>
      <c r="B18" s="143">
        <v>2.7047332832456799</v>
      </c>
      <c r="C18" s="143">
        <v>2.7862187031885299</v>
      </c>
      <c r="D18" s="143">
        <v>2.1191646191646192</v>
      </c>
      <c r="E18" s="143">
        <v>2.5330706445257531</v>
      </c>
      <c r="F18" s="143">
        <v>2.7147487844408427</v>
      </c>
      <c r="G18" s="143">
        <v>2.1191646191646192</v>
      </c>
    </row>
    <row r="19" spans="1:7">
      <c r="A19" s="5">
        <v>1990</v>
      </c>
      <c r="B19" s="143">
        <v>2.6874953727696749</v>
      </c>
      <c r="C19" s="143">
        <v>2.7661464281182591</v>
      </c>
      <c r="D19" s="143">
        <v>2.1364985163204748</v>
      </c>
      <c r="E19" s="143">
        <v>2.5419840323024685</v>
      </c>
      <c r="F19" s="143">
        <v>2.7368141357778661</v>
      </c>
      <c r="G19" s="143">
        <v>2.1364985163204748</v>
      </c>
    </row>
    <row r="20" spans="1:7">
      <c r="A20" s="5">
        <v>1991</v>
      </c>
      <c r="B20" s="143">
        <v>2.6637921584389956</v>
      </c>
      <c r="C20" s="143">
        <v>2.7392104382736702</v>
      </c>
      <c r="D20" s="143">
        <v>2.1418234442836468</v>
      </c>
      <c r="E20" s="143">
        <v>2.5402278069065267</v>
      </c>
      <c r="F20" s="143">
        <v>2.7208201892744479</v>
      </c>
      <c r="G20" s="143">
        <v>2.1418234442836468</v>
      </c>
    </row>
    <row r="21" spans="1:7">
      <c r="A21" s="5">
        <v>1992</v>
      </c>
      <c r="B21" s="143">
        <v>2.6339527331769799</v>
      </c>
      <c r="C21" s="143">
        <v>2.7068352756426153</v>
      </c>
      <c r="D21" s="143">
        <v>2.1324992891669035</v>
      </c>
      <c r="E21" s="143">
        <v>2.5139912943057654</v>
      </c>
      <c r="F21" s="143">
        <v>2.6744186046511627</v>
      </c>
      <c r="G21" s="143">
        <v>2.1324992891669035</v>
      </c>
    </row>
    <row r="22" spans="1:7">
      <c r="A22" s="5">
        <v>1993</v>
      </c>
      <c r="B22" s="143">
        <v>2.607827048624737</v>
      </c>
      <c r="C22" s="143">
        <v>2.6764585883312932</v>
      </c>
      <c r="D22" s="143">
        <v>2.1300766827605795</v>
      </c>
      <c r="E22" s="143">
        <v>2.4923211935059237</v>
      </c>
      <c r="F22" s="143">
        <v>2.6536312849162011</v>
      </c>
      <c r="G22" s="143">
        <v>2.1318931210915291</v>
      </c>
    </row>
    <row r="23" spans="1:7">
      <c r="A23" s="5">
        <v>1994</v>
      </c>
      <c r="B23" s="143">
        <v>2.5854467214560333</v>
      </c>
      <c r="C23" s="143">
        <v>2.6522196167219212</v>
      </c>
      <c r="D23" s="143">
        <v>2.1288360519767764</v>
      </c>
      <c r="E23" s="143">
        <v>2.497398543184183</v>
      </c>
      <c r="F23" s="143">
        <v>2.6658243840808593</v>
      </c>
      <c r="G23" s="143">
        <v>2.1288360519767764</v>
      </c>
    </row>
    <row r="24" spans="1:7">
      <c r="A24" s="5">
        <v>1995</v>
      </c>
      <c r="B24" s="143">
        <v>2.5573930639871607</v>
      </c>
      <c r="C24" s="143">
        <v>2.6236731423993591</v>
      </c>
      <c r="D24" s="143">
        <v>2.1098187719772787</v>
      </c>
      <c r="E24" s="143">
        <v>2.4856923208336892</v>
      </c>
      <c r="F24" s="143">
        <v>2.6591760299625471</v>
      </c>
      <c r="G24" s="143">
        <v>2.1098187719772787</v>
      </c>
    </row>
    <row r="25" spans="1:7">
      <c r="A25" s="5">
        <v>1996</v>
      </c>
      <c r="B25" s="143">
        <v>2.5339179065833535</v>
      </c>
      <c r="C25" s="143">
        <v>2.5925043671589645</v>
      </c>
      <c r="D25" s="143">
        <v>2.1434241862926697</v>
      </c>
      <c r="E25" s="143">
        <v>2.4808033077377436</v>
      </c>
      <c r="F25" s="143">
        <v>2.6390781811423616</v>
      </c>
      <c r="G25" s="143">
        <v>2.1434241862926697</v>
      </c>
    </row>
    <row r="26" spans="1:7">
      <c r="A26" s="5">
        <v>1997</v>
      </c>
      <c r="B26" s="143">
        <v>2.5079549731412736</v>
      </c>
      <c r="C26" s="143">
        <v>2.5619802136297349</v>
      </c>
      <c r="D26" s="143">
        <v>2.1265560165975104</v>
      </c>
      <c r="E26" s="143">
        <v>2.4631771656819503</v>
      </c>
      <c r="F26" s="143">
        <v>2.6222276681779193</v>
      </c>
      <c r="G26" s="143">
        <v>2.1265560165975104</v>
      </c>
    </row>
    <row r="27" spans="1:7">
      <c r="A27" s="5">
        <v>1998</v>
      </c>
      <c r="B27" s="143">
        <v>2.4827633053696974</v>
      </c>
      <c r="C27" s="143">
        <v>2.5356638971625647</v>
      </c>
      <c r="D27" s="143">
        <v>2.1390374331550799</v>
      </c>
      <c r="E27" s="143">
        <v>2.4641503214109113</v>
      </c>
      <c r="F27" s="143">
        <v>2.6200341213746041</v>
      </c>
      <c r="G27" s="143">
        <v>2.1390374331550799</v>
      </c>
    </row>
    <row r="28" spans="1:7">
      <c r="A28" s="5">
        <v>1999</v>
      </c>
      <c r="B28" s="143">
        <v>2.4617767899238903</v>
      </c>
      <c r="C28" s="143">
        <v>2.5146950056444393</v>
      </c>
      <c r="D28" s="143">
        <v>2.1228771228771226</v>
      </c>
      <c r="E28" s="143">
        <v>2.449544270833333</v>
      </c>
      <c r="F28" s="143">
        <v>2.6077508149221296</v>
      </c>
      <c r="G28" s="143">
        <v>2.1228771228771226</v>
      </c>
    </row>
    <row r="29" spans="1:7">
      <c r="A29" s="5">
        <v>2000</v>
      </c>
      <c r="B29" s="143">
        <v>2.4343070561557956</v>
      </c>
      <c r="C29" s="143">
        <v>2.4830089589125732</v>
      </c>
      <c r="D29" s="143">
        <v>2.125580258978744</v>
      </c>
      <c r="E29" s="143">
        <v>2.4227837946249497</v>
      </c>
      <c r="F29" s="143">
        <v>2.5677773796727577</v>
      </c>
      <c r="G29" s="143">
        <v>2.125580258978744</v>
      </c>
    </row>
    <row r="30" spans="1:7">
      <c r="A30" s="5">
        <v>2001</v>
      </c>
      <c r="B30" s="143">
        <v>2.4009762211008869</v>
      </c>
      <c r="C30" s="143">
        <v>2.4487297214569943</v>
      </c>
      <c r="D30" s="143">
        <v>2.1027479091995223</v>
      </c>
      <c r="E30" s="143">
        <v>2.4029720970674253</v>
      </c>
      <c r="F30" s="143">
        <v>2.5513819985825652</v>
      </c>
      <c r="G30" s="143">
        <v>2.1027479091995223</v>
      </c>
    </row>
    <row r="31" spans="1:7">
      <c r="A31" s="5">
        <v>2002</v>
      </c>
      <c r="B31" s="143">
        <v>2.3847636470549802</v>
      </c>
      <c r="C31" s="143">
        <v>2.4301336573511545</v>
      </c>
      <c r="D31" s="143">
        <v>2.0818713450292394</v>
      </c>
      <c r="E31" s="143">
        <v>2.3952095808383236</v>
      </c>
      <c r="F31" s="143">
        <v>2.5396085740913326</v>
      </c>
      <c r="G31" s="143">
        <v>2.0818713450292394</v>
      </c>
    </row>
    <row r="32" spans="1:7">
      <c r="A32" s="5">
        <v>2003</v>
      </c>
      <c r="B32" s="143">
        <v>2.362994853202991</v>
      </c>
      <c r="C32" s="143">
        <v>2.4087756332931245</v>
      </c>
      <c r="D32" s="143">
        <v>2.0613834173156205</v>
      </c>
      <c r="E32" s="143">
        <v>2.3709046267167957</v>
      </c>
      <c r="F32" s="143">
        <v>2.5152878735433251</v>
      </c>
      <c r="G32" s="143">
        <v>2.0613834173156205</v>
      </c>
    </row>
    <row r="33" spans="1:7">
      <c r="A33" s="5">
        <v>2004</v>
      </c>
      <c r="B33" s="143">
        <v>2.3416198877305532</v>
      </c>
      <c r="C33" s="143">
        <v>2.3882608370142995</v>
      </c>
      <c r="D33" s="143">
        <v>2.039901367406411</v>
      </c>
      <c r="E33" s="143">
        <v>2.3435137586936801</v>
      </c>
      <c r="F33" s="143">
        <v>2.4982888432580426</v>
      </c>
      <c r="G33" s="143">
        <v>2.039901367406411</v>
      </c>
    </row>
    <row r="34" spans="1:7">
      <c r="A34" s="5">
        <v>2005</v>
      </c>
      <c r="B34" s="143">
        <v>2.3131108008630537</v>
      </c>
      <c r="C34" s="143">
        <v>2.3601009351343327</v>
      </c>
      <c r="D34" s="143">
        <v>2.0354563361785947</v>
      </c>
      <c r="E34" s="143">
        <v>2.3404413403670405</v>
      </c>
      <c r="F34" s="143">
        <v>2.508154313350579</v>
      </c>
      <c r="G34" s="143">
        <v>2.0354563361785947</v>
      </c>
    </row>
    <row r="35" spans="1:7">
      <c r="A35" s="5">
        <v>2006</v>
      </c>
      <c r="B35" s="143">
        <v>2.2743000943692984</v>
      </c>
      <c r="C35" s="143">
        <v>2.2884728773584904</v>
      </c>
      <c r="D35" s="143">
        <v>2.1921341070277238</v>
      </c>
      <c r="E35" s="143">
        <v>2.3498888065233503</v>
      </c>
      <c r="F35" s="143">
        <v>2.4329523593979858</v>
      </c>
      <c r="G35" s="143">
        <v>2.1921341070277238</v>
      </c>
    </row>
    <row r="36" spans="1:7">
      <c r="A36" s="5">
        <v>2007</v>
      </c>
      <c r="B36" s="143">
        <v>2.2510040785827705</v>
      </c>
      <c r="C36" s="143">
        <v>2.2667446621819245</v>
      </c>
      <c r="D36" s="143">
        <v>2.1606880637717643</v>
      </c>
      <c r="E36" s="143">
        <v>2.327957381595271</v>
      </c>
      <c r="F36" s="143">
        <v>2.4171888988361685</v>
      </c>
      <c r="G36" s="143">
        <v>2.1606880637717643</v>
      </c>
    </row>
    <row r="37" spans="1:7">
      <c r="A37" s="5">
        <v>2008</v>
      </c>
      <c r="B37" s="143">
        <v>2.2313871533655472</v>
      </c>
      <c r="C37" s="143">
        <v>2.2482893450635388</v>
      </c>
      <c r="D37" s="143">
        <v>2.1350851981112711</v>
      </c>
      <c r="E37" s="143">
        <v>2.3150478107700048</v>
      </c>
      <c r="F37" s="143">
        <v>2.4228343843345503</v>
      </c>
      <c r="G37" s="143">
        <v>2.1350851981112711</v>
      </c>
    </row>
    <row r="38" spans="1:7">
      <c r="A38" s="5">
        <v>2009</v>
      </c>
      <c r="B38" s="143">
        <v>2.21478551871007</v>
      </c>
      <c r="C38" s="143">
        <v>2.2332150410438398</v>
      </c>
      <c r="D38" s="143">
        <v>2.1114015684697365</v>
      </c>
      <c r="E38" s="143">
        <v>2.2988505747126435</v>
      </c>
      <c r="F38" s="143">
        <v>2.4010525161714722</v>
      </c>
      <c r="G38" s="143">
        <v>2.1114015684697365</v>
      </c>
    </row>
    <row r="39" spans="1:7">
      <c r="A39" s="5">
        <v>2010</v>
      </c>
      <c r="B39" s="143">
        <v>2.1996208587849426</v>
      </c>
      <c r="C39" s="143">
        <v>2.2183511678339083</v>
      </c>
      <c r="D39" s="143">
        <v>2.0963949843260186</v>
      </c>
      <c r="E39" s="143">
        <v>2.2792421170383834</v>
      </c>
      <c r="F39" s="143">
        <v>2.3809523809523809</v>
      </c>
      <c r="G39" s="143">
        <v>2.0963949843260186</v>
      </c>
    </row>
    <row r="40" spans="1:7">
      <c r="A40" s="5">
        <v>2011</v>
      </c>
      <c r="B40" s="143">
        <v>2.1822620500759178</v>
      </c>
      <c r="C40" s="143">
        <v>2.2024879303661415</v>
      </c>
      <c r="D40" s="143">
        <v>2.0529547198772065</v>
      </c>
      <c r="E40" s="143">
        <v>2.2601984564498347</v>
      </c>
      <c r="F40" s="143">
        <v>2.3655913978494625</v>
      </c>
      <c r="G40" s="143">
        <v>2.0529547198772065</v>
      </c>
    </row>
    <row r="41" spans="1:7">
      <c r="A41" s="5">
        <v>2012</v>
      </c>
      <c r="B41" s="143">
        <v>2.1542083578575633</v>
      </c>
      <c r="C41" s="143">
        <v>2.171488323457651</v>
      </c>
      <c r="D41" s="143">
        <v>2.060491493383743</v>
      </c>
      <c r="E41" s="143">
        <v>2.2376385771611234</v>
      </c>
      <c r="F41" s="143">
        <v>2.3371932433868055</v>
      </c>
      <c r="G41" s="143">
        <v>2.060491493383743</v>
      </c>
    </row>
    <row r="42" spans="1:7">
      <c r="A42" s="5">
        <v>2013</v>
      </c>
      <c r="B42" s="143">
        <v>2.1270404748741525</v>
      </c>
      <c r="C42" s="143">
        <v>2.138078488171598</v>
      </c>
      <c r="D42" s="143">
        <v>2.0487986589681504</v>
      </c>
      <c r="E42" s="143">
        <v>2.2317827372949717</v>
      </c>
      <c r="F42" s="143">
        <v>2.3246029241611446</v>
      </c>
      <c r="G42" s="143">
        <v>2.0487986589681504</v>
      </c>
    </row>
    <row r="43" spans="1:7">
      <c r="A43" s="5">
        <v>2014</v>
      </c>
      <c r="B43" s="143">
        <v>2.1002592912705271</v>
      </c>
      <c r="C43" s="143">
        <v>2.1118097320940405</v>
      </c>
      <c r="D43" s="143">
        <v>2.0565552699228791</v>
      </c>
      <c r="E43" s="143">
        <v>2.2132128140369534</v>
      </c>
      <c r="F43" s="143">
        <v>2.3125</v>
      </c>
      <c r="G43" s="143">
        <v>2.0565552699228791</v>
      </c>
    </row>
    <row r="44" spans="1:7">
      <c r="A44" s="5">
        <v>2015</v>
      </c>
      <c r="B44" s="143">
        <v>2.0789961500071295</v>
      </c>
      <c r="C44" s="143">
        <v>2.0848140251125327</v>
      </c>
      <c r="D44" s="143">
        <v>2.0478434215295396</v>
      </c>
      <c r="E44" s="143">
        <v>2.2102354953295622</v>
      </c>
      <c r="F44" s="143">
        <v>2.3027674514663361</v>
      </c>
      <c r="G44" s="143">
        <v>2.0478434215295396</v>
      </c>
    </row>
    <row r="45" spans="1:7">
      <c r="A45" s="5">
        <v>2016</v>
      </c>
      <c r="B45" s="143">
        <v>2.0628739135342586</v>
      </c>
      <c r="C45" s="143">
        <v>2.0704904851246315</v>
      </c>
      <c r="D45" s="143">
        <v>2.040085898353615</v>
      </c>
      <c r="E45" s="143">
        <v>2.1942961323088945</v>
      </c>
      <c r="F45" s="143">
        <v>2.2927328556806548</v>
      </c>
      <c r="G45" s="143">
        <v>2.040085898353615</v>
      </c>
    </row>
    <row r="46" spans="1:7">
      <c r="A46" s="5">
        <v>2017</v>
      </c>
      <c r="B46" s="143">
        <v>2.0474769170688165</v>
      </c>
      <c r="C46" s="143">
        <v>2.0541364344167246</v>
      </c>
      <c r="D46" s="143">
        <v>2.0120014119308154</v>
      </c>
      <c r="E46" s="143">
        <v>2.1727950629981998</v>
      </c>
      <c r="F46" s="143">
        <v>2.2649140546006068</v>
      </c>
      <c r="G46" s="143">
        <v>2.0120014119308154</v>
      </c>
    </row>
    <row r="47" spans="1:7">
      <c r="A47" s="5">
        <v>2018</v>
      </c>
      <c r="B47" s="143">
        <v>2.0314908610438231</v>
      </c>
      <c r="C47" s="143">
        <v>2.0346079617938568</v>
      </c>
      <c r="D47" s="143">
        <v>1.9979152189020153</v>
      </c>
      <c r="E47" s="143">
        <v>2.1637055837563453</v>
      </c>
      <c r="F47" s="143">
        <v>2.2491003598560577</v>
      </c>
      <c r="G47" s="143">
        <v>1.9979152189020153</v>
      </c>
    </row>
    <row r="48" spans="1:7">
      <c r="A48" s="5">
        <v>2019</v>
      </c>
      <c r="B48" s="143">
        <v>2.0185577079602801</v>
      </c>
      <c r="C48" s="143">
        <v>2.0223197006837825</v>
      </c>
      <c r="D48" s="143">
        <v>1.9986334130509054</v>
      </c>
      <c r="E48" s="143">
        <v>2.1497312835895515</v>
      </c>
      <c r="F48" s="143">
        <v>2.2366735638979209</v>
      </c>
      <c r="G48" s="143">
        <v>1.9986334130509054</v>
      </c>
    </row>
    <row r="50" spans="1:7">
      <c r="A50" s="5" t="s">
        <v>22</v>
      </c>
      <c r="B50" s="58">
        <f>B48-B5</f>
        <v>-0.92542425527246364</v>
      </c>
      <c r="C50" s="58">
        <f t="shared" ref="C50:G50" si="0">C48-C5</f>
        <v>-0.9954542751740254</v>
      </c>
      <c r="D50" s="58">
        <f t="shared" si="0"/>
        <v>-0.17635422906476439</v>
      </c>
      <c r="E50" s="58">
        <f t="shared" si="0"/>
        <v>-0.4988635933067429</v>
      </c>
      <c r="F50" s="58">
        <f t="shared" si="0"/>
        <v>-0.57063540620174669</v>
      </c>
      <c r="G50" s="58">
        <f t="shared" si="0"/>
        <v>-0.17635422906476439</v>
      </c>
    </row>
    <row r="51" spans="1:7">
      <c r="A51" s="5" t="s">
        <v>23</v>
      </c>
      <c r="B51" s="58">
        <f>B29-B5</f>
        <v>-0.50967490707694818</v>
      </c>
      <c r="C51" s="58">
        <f t="shared" ref="C51:G51" si="1">C29-C5</f>
        <v>-0.53476501694523471</v>
      </c>
      <c r="D51" s="58">
        <f t="shared" si="1"/>
        <v>-4.940738313692572E-2</v>
      </c>
      <c r="E51" s="58">
        <f t="shared" si="1"/>
        <v>-0.22581108227134461</v>
      </c>
      <c r="F51" s="58">
        <f t="shared" si="1"/>
        <v>-0.23953159042690997</v>
      </c>
      <c r="G51" s="58">
        <f t="shared" si="1"/>
        <v>-4.940738313692572E-2</v>
      </c>
    </row>
    <row r="52" spans="1:7">
      <c r="A52" s="5" t="s">
        <v>24</v>
      </c>
      <c r="B52" s="58">
        <f>B48-B29</f>
        <v>-0.41574934819551546</v>
      </c>
      <c r="C52" s="58">
        <f t="shared" ref="C52:G52" si="2">C48-C29</f>
        <v>-0.4606892582287907</v>
      </c>
      <c r="D52" s="58">
        <f t="shared" si="2"/>
        <v>-0.12694684592783867</v>
      </c>
      <c r="E52" s="58">
        <f t="shared" si="2"/>
        <v>-0.27305251103539829</v>
      </c>
      <c r="F52" s="58">
        <f t="shared" si="2"/>
        <v>-0.33110381577483672</v>
      </c>
      <c r="G52" s="58">
        <f t="shared" si="2"/>
        <v>-0.12694684592783867</v>
      </c>
    </row>
    <row r="55" spans="1:7">
      <c r="A55" s="5" t="s">
        <v>607</v>
      </c>
    </row>
  </sheetData>
  <mergeCells count="2">
    <mergeCell ref="B3:D3"/>
    <mergeCell ref="E3:G3"/>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5C3D-6829-3747-9E2D-747DEABE2F33}">
  <dimension ref="A1:S21"/>
  <sheetViews>
    <sheetView workbookViewId="0">
      <selection activeCell="K34" sqref="K34"/>
    </sheetView>
  </sheetViews>
  <sheetFormatPr baseColWidth="10" defaultColWidth="9" defaultRowHeight="15"/>
  <cols>
    <col min="1" max="1" width="19.5" style="231" customWidth="1"/>
    <col min="2" max="2" width="12.6640625" style="231" customWidth="1"/>
    <col min="3" max="3" width="25.1640625" style="231" customWidth="1"/>
    <col min="4" max="18" width="12.6640625" style="231" customWidth="1"/>
    <col min="19" max="19" width="19" style="231" customWidth="1"/>
    <col min="20" max="16384" width="9" style="231"/>
  </cols>
  <sheetData>
    <row r="1" spans="1:19">
      <c r="A1" s="241" t="s">
        <v>721</v>
      </c>
    </row>
    <row r="2" spans="1:19">
      <c r="A2" s="231" t="s">
        <v>557</v>
      </c>
    </row>
    <row r="4" spans="1:19">
      <c r="B4" s="363" t="s">
        <v>475</v>
      </c>
      <c r="C4" s="363"/>
      <c r="D4" s="363"/>
      <c r="E4" s="364" t="s">
        <v>476</v>
      </c>
      <c r="F4" s="363"/>
      <c r="G4" s="363"/>
      <c r="H4" s="363"/>
      <c r="I4" s="363"/>
      <c r="J4" s="363"/>
      <c r="K4" s="365"/>
      <c r="L4" s="364" t="s">
        <v>477</v>
      </c>
      <c r="M4" s="363"/>
      <c r="N4" s="363"/>
      <c r="O4" s="363"/>
      <c r="P4" s="363"/>
      <c r="Q4" s="363"/>
      <c r="R4" s="365"/>
      <c r="S4" s="273" t="s">
        <v>478</v>
      </c>
    </row>
    <row r="5" spans="1:19" ht="80">
      <c r="B5" s="209" t="s">
        <v>583</v>
      </c>
      <c r="C5" s="209" t="s">
        <v>565</v>
      </c>
      <c r="D5" s="209" t="s">
        <v>566</v>
      </c>
      <c r="E5" s="228" t="s">
        <v>584</v>
      </c>
      <c r="F5" s="209" t="s">
        <v>567</v>
      </c>
      <c r="G5" s="209" t="s">
        <v>568</v>
      </c>
      <c r="H5" s="209" t="s">
        <v>569</v>
      </c>
      <c r="I5" s="209" t="s">
        <v>570</v>
      </c>
      <c r="J5" s="209" t="s">
        <v>571</v>
      </c>
      <c r="K5" s="229" t="s">
        <v>572</v>
      </c>
      <c r="L5" s="228" t="s">
        <v>585</v>
      </c>
      <c r="M5" s="209" t="s">
        <v>573</v>
      </c>
      <c r="N5" s="323" t="s">
        <v>574</v>
      </c>
      <c r="O5" s="323" t="s">
        <v>575</v>
      </c>
      <c r="P5" s="209" t="s">
        <v>576</v>
      </c>
      <c r="Q5" s="323" t="s">
        <v>577</v>
      </c>
      <c r="R5" s="230" t="s">
        <v>578</v>
      </c>
      <c r="S5" s="209" t="s">
        <v>478</v>
      </c>
    </row>
    <row r="6" spans="1:19">
      <c r="A6" s="231">
        <v>1999</v>
      </c>
      <c r="B6" s="232">
        <v>75900</v>
      </c>
      <c r="C6" s="232">
        <v>27800</v>
      </c>
      <c r="D6" s="232">
        <v>85000</v>
      </c>
      <c r="E6" s="234">
        <v>3700</v>
      </c>
      <c r="F6" s="232">
        <v>2300</v>
      </c>
      <c r="G6" s="232">
        <v>15600</v>
      </c>
      <c r="H6" s="232">
        <v>13200</v>
      </c>
      <c r="I6" s="232">
        <v>2200</v>
      </c>
      <c r="J6" s="233" t="s">
        <v>87</v>
      </c>
      <c r="K6" s="235">
        <v>7300</v>
      </c>
      <c r="L6" s="234">
        <v>112700</v>
      </c>
      <c r="M6" s="232">
        <v>109800</v>
      </c>
      <c r="N6" s="232">
        <v>109800</v>
      </c>
      <c r="O6" s="232">
        <v>36600</v>
      </c>
      <c r="P6" s="232">
        <v>25100</v>
      </c>
      <c r="Q6" s="232">
        <v>11700</v>
      </c>
      <c r="R6" s="235">
        <v>14600</v>
      </c>
      <c r="S6" s="232">
        <v>36600</v>
      </c>
    </row>
    <row r="7" spans="1:19">
      <c r="A7" s="231">
        <v>2005</v>
      </c>
      <c r="B7" s="232">
        <v>107300</v>
      </c>
      <c r="C7" s="232">
        <v>27300</v>
      </c>
      <c r="D7" s="232">
        <v>95500</v>
      </c>
      <c r="E7" s="234">
        <v>6400</v>
      </c>
      <c r="F7" s="232">
        <v>3000</v>
      </c>
      <c r="G7" s="233" t="s">
        <v>87</v>
      </c>
      <c r="H7" s="233" t="s">
        <v>87</v>
      </c>
      <c r="I7" s="233" t="s">
        <v>87</v>
      </c>
      <c r="J7" s="233" t="s">
        <v>87</v>
      </c>
      <c r="K7" s="235">
        <v>5100</v>
      </c>
      <c r="L7" s="234">
        <v>122000</v>
      </c>
      <c r="M7" s="232">
        <v>108000</v>
      </c>
      <c r="N7" s="232">
        <v>101700</v>
      </c>
      <c r="O7" s="232">
        <v>63600</v>
      </c>
      <c r="P7" s="232">
        <v>24100</v>
      </c>
      <c r="Q7" s="232">
        <v>14000</v>
      </c>
      <c r="R7" s="235">
        <v>12700</v>
      </c>
      <c r="S7" s="232">
        <v>63600</v>
      </c>
    </row>
    <row r="8" spans="1:19">
      <c r="A8" s="231">
        <v>2012</v>
      </c>
      <c r="B8" s="232">
        <v>146900</v>
      </c>
      <c r="C8" s="232">
        <v>50300</v>
      </c>
      <c r="D8" s="232">
        <v>169500</v>
      </c>
      <c r="E8" s="234">
        <v>5600</v>
      </c>
      <c r="F8" s="232">
        <v>2800</v>
      </c>
      <c r="G8" s="232">
        <v>67100</v>
      </c>
      <c r="H8" s="233" t="s">
        <v>87</v>
      </c>
      <c r="I8" s="232">
        <v>1700</v>
      </c>
      <c r="J8" s="232">
        <v>11200</v>
      </c>
      <c r="K8" s="235">
        <v>8700</v>
      </c>
      <c r="L8" s="234">
        <v>163200</v>
      </c>
      <c r="M8" s="232">
        <v>167600</v>
      </c>
      <c r="N8" s="232">
        <v>156500</v>
      </c>
      <c r="O8" s="232">
        <v>44700</v>
      </c>
      <c r="P8" s="232">
        <v>32400</v>
      </c>
      <c r="Q8" s="232">
        <v>16800</v>
      </c>
      <c r="R8" s="235">
        <v>11200</v>
      </c>
      <c r="S8" s="232">
        <v>16800</v>
      </c>
    </row>
    <row r="9" spans="1:19">
      <c r="A9" s="231">
        <v>2016</v>
      </c>
      <c r="B9" s="232">
        <v>169500</v>
      </c>
      <c r="C9" s="232">
        <v>31800</v>
      </c>
      <c r="D9" s="232">
        <v>201300</v>
      </c>
      <c r="E9" s="234">
        <v>5300</v>
      </c>
      <c r="F9" s="232">
        <v>2200</v>
      </c>
      <c r="G9" s="232">
        <v>21200</v>
      </c>
      <c r="H9" s="233" t="s">
        <v>87</v>
      </c>
      <c r="I9" s="232">
        <v>1300</v>
      </c>
      <c r="J9" s="232">
        <v>9500</v>
      </c>
      <c r="K9" s="235">
        <v>10600</v>
      </c>
      <c r="L9" s="234">
        <v>151500</v>
      </c>
      <c r="M9" s="232">
        <v>166400</v>
      </c>
      <c r="N9" s="232">
        <v>158900</v>
      </c>
      <c r="O9" s="232">
        <v>63600</v>
      </c>
      <c r="P9" s="232">
        <v>28600</v>
      </c>
      <c r="Q9" s="232">
        <v>18500</v>
      </c>
      <c r="R9" s="235">
        <v>10600</v>
      </c>
      <c r="S9" s="232">
        <v>21200</v>
      </c>
    </row>
    <row r="10" spans="1:19">
      <c r="A10" s="231">
        <v>2019</v>
      </c>
      <c r="B10" s="232">
        <v>176000</v>
      </c>
      <c r="C10" s="232">
        <v>36000</v>
      </c>
      <c r="D10" s="232">
        <v>196400</v>
      </c>
      <c r="E10" s="234">
        <v>5000</v>
      </c>
      <c r="F10" s="232">
        <v>3000</v>
      </c>
      <c r="G10" s="233" t="s">
        <v>87</v>
      </c>
      <c r="H10" s="233" t="s">
        <v>87</v>
      </c>
      <c r="I10" s="233" t="s">
        <v>87</v>
      </c>
      <c r="J10" s="232">
        <v>10000</v>
      </c>
      <c r="K10" s="235">
        <v>12500</v>
      </c>
      <c r="L10" s="234">
        <v>163000</v>
      </c>
      <c r="M10" s="232">
        <v>155000</v>
      </c>
      <c r="N10" s="232">
        <v>150000</v>
      </c>
      <c r="O10" s="232">
        <v>50000</v>
      </c>
      <c r="P10" s="232">
        <v>27500</v>
      </c>
      <c r="Q10" s="232">
        <v>19000</v>
      </c>
      <c r="R10" s="235">
        <v>10000</v>
      </c>
      <c r="S10" s="232">
        <v>30000</v>
      </c>
    </row>
    <row r="11" spans="1:19">
      <c r="B11" s="233"/>
      <c r="C11" s="233"/>
      <c r="D11" s="233"/>
      <c r="E11" s="236"/>
      <c r="F11" s="233"/>
      <c r="G11" s="233"/>
      <c r="H11" s="233"/>
      <c r="I11" s="233"/>
      <c r="J11" s="233"/>
      <c r="K11" s="237"/>
      <c r="L11" s="236"/>
      <c r="M11" s="233"/>
      <c r="N11" s="233"/>
      <c r="O11" s="233"/>
      <c r="P11" s="233"/>
      <c r="Q11" s="233"/>
      <c r="R11" s="237"/>
      <c r="S11" s="233"/>
    </row>
    <row r="12" spans="1:19">
      <c r="A12" s="231" t="s">
        <v>479</v>
      </c>
      <c r="B12" s="238">
        <f>100*((B10/B6)^(1/20)-1)</f>
        <v>4.2950134854308208</v>
      </c>
      <c r="C12" s="238">
        <f t="shared" ref="C12:F12" si="0">100*((C10/C6)^(1/20)-1)</f>
        <v>1.300802362128417</v>
      </c>
      <c r="D12" s="238">
        <f>100*((D10/D6)^(1/20)-1)</f>
        <v>4.2764236634244224</v>
      </c>
      <c r="E12" s="239">
        <f t="shared" si="0"/>
        <v>1.5169155871484374</v>
      </c>
      <c r="F12" s="238">
        <f t="shared" si="0"/>
        <v>1.3373798098356149</v>
      </c>
      <c r="G12" s="233" t="s">
        <v>87</v>
      </c>
      <c r="H12" s="233" t="s">
        <v>87</v>
      </c>
      <c r="I12" s="233" t="s">
        <v>87</v>
      </c>
      <c r="J12" s="233" t="s">
        <v>87</v>
      </c>
      <c r="K12" s="240">
        <f t="shared" ref="K12:S12" si="1">100*((K10/K6)^(1/20)-1)</f>
        <v>2.7257587323550547</v>
      </c>
      <c r="L12" s="239">
        <f t="shared" si="1"/>
        <v>1.8622311169496308</v>
      </c>
      <c r="M12" s="238">
        <f t="shared" si="1"/>
        <v>1.7387665102588157</v>
      </c>
      <c r="N12" s="238">
        <f t="shared" si="1"/>
        <v>1.5721033625624603</v>
      </c>
      <c r="O12" s="238">
        <f t="shared" si="1"/>
        <v>1.5721033625624603</v>
      </c>
      <c r="P12" s="238">
        <f t="shared" si="1"/>
        <v>0.45763475671019016</v>
      </c>
      <c r="Q12" s="238">
        <f t="shared" si="1"/>
        <v>2.4538745449152799</v>
      </c>
      <c r="R12" s="240">
        <f t="shared" si="1"/>
        <v>-1.8743927908571822</v>
      </c>
      <c r="S12" s="238">
        <f t="shared" si="1"/>
        <v>-0.98932792611527987</v>
      </c>
    </row>
    <row r="15" spans="1:19">
      <c r="A15" s="231" t="s">
        <v>579</v>
      </c>
    </row>
    <row r="16" spans="1:19">
      <c r="A16" s="231" t="s">
        <v>580</v>
      </c>
    </row>
    <row r="17" spans="1:1">
      <c r="A17" s="231" t="s">
        <v>581</v>
      </c>
    </row>
    <row r="18" spans="1:1">
      <c r="A18" s="231" t="s">
        <v>582</v>
      </c>
    </row>
    <row r="21" spans="1:1">
      <c r="A21" s="231" t="s">
        <v>554</v>
      </c>
    </row>
  </sheetData>
  <mergeCells count="3">
    <mergeCell ref="B4:D4"/>
    <mergeCell ref="E4:K4"/>
    <mergeCell ref="L4:R4"/>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0B5CC-ED9A-AA4C-AAFA-714DFDE384C5}">
  <sheetPr codeName="Sheet97"/>
  <dimension ref="A1:S37"/>
  <sheetViews>
    <sheetView zoomScale="110" workbookViewId="0"/>
  </sheetViews>
  <sheetFormatPr baseColWidth="10" defaultColWidth="10.83203125" defaultRowHeight="16"/>
  <cols>
    <col min="1" max="1" width="17.83203125" style="5" customWidth="1"/>
    <col min="2" max="16384" width="10.83203125" style="5"/>
  </cols>
  <sheetData>
    <row r="1" spans="1:19">
      <c r="A1" s="19" t="s">
        <v>722</v>
      </c>
    </row>
    <row r="2" spans="1:19">
      <c r="A2" s="5" t="s">
        <v>3</v>
      </c>
    </row>
    <row r="4" spans="1:19">
      <c r="B4" s="328" t="s">
        <v>482</v>
      </c>
      <c r="C4" s="328"/>
      <c r="D4" s="328"/>
      <c r="E4" s="328" t="s">
        <v>483</v>
      </c>
      <c r="F4" s="328"/>
      <c r="G4" s="328"/>
      <c r="H4" s="328" t="s">
        <v>484</v>
      </c>
      <c r="I4" s="328"/>
      <c r="J4" s="328"/>
      <c r="K4" s="328"/>
      <c r="L4" s="328"/>
      <c r="M4" s="328"/>
      <c r="N4" s="328"/>
      <c r="O4" s="328"/>
      <c r="P4" s="328"/>
      <c r="Q4" s="328"/>
      <c r="R4" s="328"/>
      <c r="S4" s="328"/>
    </row>
    <row r="5" spans="1:19" ht="102">
      <c r="B5" s="137" t="s">
        <v>81</v>
      </c>
      <c r="C5" s="137" t="s">
        <v>77</v>
      </c>
      <c r="D5" s="137" t="s">
        <v>78</v>
      </c>
      <c r="E5" s="137" t="s">
        <v>81</v>
      </c>
      <c r="F5" s="137" t="s">
        <v>77</v>
      </c>
      <c r="G5" s="137" t="s">
        <v>78</v>
      </c>
      <c r="H5" s="137" t="s">
        <v>81</v>
      </c>
      <c r="I5" s="137" t="s">
        <v>77</v>
      </c>
      <c r="J5" s="137" t="s">
        <v>78</v>
      </c>
      <c r="K5" s="137"/>
      <c r="L5" s="137"/>
      <c r="M5" s="137"/>
      <c r="N5" s="137"/>
      <c r="O5" s="137"/>
      <c r="P5" s="137"/>
      <c r="Q5" s="137"/>
      <c r="R5" s="137"/>
      <c r="S5" s="137"/>
    </row>
    <row r="6" spans="1:19">
      <c r="A6" s="5">
        <v>1999</v>
      </c>
      <c r="B6" s="20">
        <v>44800</v>
      </c>
      <c r="C6" s="20">
        <v>50500</v>
      </c>
      <c r="D6" s="20">
        <v>23500</v>
      </c>
      <c r="E6" s="20">
        <v>59000</v>
      </c>
      <c r="F6" s="20">
        <v>60300</v>
      </c>
      <c r="G6" s="20">
        <v>48500</v>
      </c>
      <c r="H6" s="20">
        <v>19500</v>
      </c>
      <c r="I6" s="20">
        <v>21200</v>
      </c>
      <c r="J6" s="20">
        <v>12700</v>
      </c>
      <c r="K6" s="20"/>
      <c r="L6" s="20"/>
      <c r="M6" s="20"/>
      <c r="N6" s="20"/>
      <c r="O6" s="20"/>
      <c r="P6" s="20"/>
      <c r="Q6" s="20"/>
      <c r="R6" s="20"/>
      <c r="S6" s="20"/>
    </row>
    <row r="7" spans="1:19">
      <c r="A7" s="5">
        <v>2005</v>
      </c>
      <c r="B7" s="20">
        <v>60600</v>
      </c>
      <c r="C7" s="20">
        <v>65100</v>
      </c>
      <c r="D7" s="21" t="s">
        <v>87</v>
      </c>
      <c r="E7" s="20">
        <v>85400</v>
      </c>
      <c r="F7" s="20">
        <v>90300</v>
      </c>
      <c r="G7" s="21" t="s">
        <v>87</v>
      </c>
      <c r="H7" s="20">
        <v>26200</v>
      </c>
      <c r="I7" s="20">
        <v>27600</v>
      </c>
      <c r="J7" s="21" t="s">
        <v>87</v>
      </c>
      <c r="K7" s="20"/>
      <c r="L7" s="20"/>
      <c r="M7" s="21"/>
      <c r="N7" s="20"/>
      <c r="O7" s="20"/>
      <c r="P7" s="21"/>
      <c r="Q7" s="20"/>
      <c r="R7" s="20"/>
      <c r="S7" s="21"/>
    </row>
    <row r="8" spans="1:19">
      <c r="A8" s="5">
        <v>2012</v>
      </c>
      <c r="B8" s="20">
        <v>78700</v>
      </c>
      <c r="C8" s="20">
        <v>92500</v>
      </c>
      <c r="D8" s="20">
        <v>42100</v>
      </c>
      <c r="E8" s="20">
        <v>96000</v>
      </c>
      <c r="F8" s="20">
        <v>105200</v>
      </c>
      <c r="G8" s="20">
        <v>64400</v>
      </c>
      <c r="H8" s="20">
        <v>33200</v>
      </c>
      <c r="I8" s="20">
        <v>39200</v>
      </c>
      <c r="J8" s="20">
        <v>17300</v>
      </c>
      <c r="K8" s="20"/>
      <c r="L8" s="20"/>
      <c r="M8" s="20"/>
      <c r="N8" s="20"/>
      <c r="O8" s="20"/>
      <c r="P8" s="20"/>
      <c r="Q8" s="20"/>
      <c r="R8" s="20"/>
      <c r="S8" s="20"/>
    </row>
    <row r="9" spans="1:19">
      <c r="A9" s="5">
        <v>2016</v>
      </c>
      <c r="B9" s="20">
        <v>90600</v>
      </c>
      <c r="C9" s="20">
        <v>108600</v>
      </c>
      <c r="D9" s="20">
        <v>43900</v>
      </c>
      <c r="E9" s="20">
        <v>117000</v>
      </c>
      <c r="F9" s="20">
        <v>122400</v>
      </c>
      <c r="G9" s="21" t="s">
        <v>87</v>
      </c>
      <c r="H9" s="20">
        <v>31800</v>
      </c>
      <c r="I9" s="20">
        <v>36800</v>
      </c>
      <c r="J9" s="20">
        <v>18000</v>
      </c>
      <c r="K9" s="20"/>
      <c r="L9" s="20"/>
      <c r="M9" s="20"/>
      <c r="N9" s="20"/>
      <c r="O9" s="20"/>
      <c r="P9" s="21"/>
      <c r="Q9" s="20"/>
      <c r="R9" s="20"/>
      <c r="S9" s="20"/>
    </row>
    <row r="10" spans="1:19">
      <c r="A10" s="5">
        <v>2019</v>
      </c>
      <c r="B10" s="20">
        <v>88400</v>
      </c>
      <c r="C10" s="20">
        <v>104800</v>
      </c>
      <c r="D10" s="20">
        <v>49500</v>
      </c>
      <c r="E10" s="20">
        <v>107700</v>
      </c>
      <c r="F10" s="20">
        <v>114400</v>
      </c>
      <c r="G10" s="21" t="s">
        <v>87</v>
      </c>
      <c r="H10" s="20">
        <v>30000</v>
      </c>
      <c r="I10" s="20">
        <v>34500</v>
      </c>
      <c r="J10" s="20">
        <v>19000</v>
      </c>
      <c r="K10" s="20"/>
      <c r="L10" s="20"/>
      <c r="M10" s="20"/>
      <c r="N10" s="20"/>
      <c r="O10" s="20"/>
      <c r="P10" s="21"/>
      <c r="Q10" s="20"/>
      <c r="R10" s="20"/>
      <c r="S10" s="20"/>
    </row>
    <row r="13" spans="1:19">
      <c r="A13" s="5" t="s">
        <v>460</v>
      </c>
      <c r="B13" s="143">
        <f>100*((B10/B6)^(1/20)-1)</f>
        <v>3.4567217070420986</v>
      </c>
      <c r="C13" s="143">
        <f t="shared" ref="C13:J13" si="0">100*((C10/C6)^(1/20)-1)</f>
        <v>3.7178475313301984</v>
      </c>
      <c r="D13" s="143">
        <f t="shared" si="0"/>
        <v>3.7951036284150863</v>
      </c>
      <c r="E13" s="143">
        <f t="shared" si="0"/>
        <v>3.0547904590650043</v>
      </c>
      <c r="F13" s="143">
        <f t="shared" si="0"/>
        <v>3.2536554149131147</v>
      </c>
      <c r="G13" s="143">
        <f>100*((G8/G6)^(1/13)-1)</f>
        <v>2.2051136027825713</v>
      </c>
      <c r="H13" s="143">
        <f t="shared" si="0"/>
        <v>2.1772787672428073</v>
      </c>
      <c r="I13" s="143">
        <f t="shared" si="0"/>
        <v>2.4646737779993932</v>
      </c>
      <c r="J13" s="143">
        <f t="shared" si="0"/>
        <v>2.0346065121824353</v>
      </c>
    </row>
    <row r="14" spans="1:19">
      <c r="A14" s="5" t="s">
        <v>461</v>
      </c>
      <c r="B14" s="143">
        <f>100*((B7/B6)^(1/6)-1)</f>
        <v>5.1636783931000352</v>
      </c>
      <c r="C14" s="143">
        <f t="shared" ref="C14:I14" si="1">100*((C7/C6)^(1/6)-1)</f>
        <v>4.3233685435631442</v>
      </c>
      <c r="D14" s="21" t="s">
        <v>87</v>
      </c>
      <c r="E14" s="143">
        <f t="shared" si="1"/>
        <v>6.3573831253764146</v>
      </c>
      <c r="F14" s="143">
        <f t="shared" si="1"/>
        <v>6.9617269875388299</v>
      </c>
      <c r="G14" s="21" t="s">
        <v>87</v>
      </c>
      <c r="H14" s="143">
        <f t="shared" si="1"/>
        <v>5.0455791929814975</v>
      </c>
      <c r="I14" s="143">
        <f t="shared" si="1"/>
        <v>4.4950063872988277</v>
      </c>
      <c r="J14" s="21" t="s">
        <v>87</v>
      </c>
    </row>
    <row r="15" spans="1:19">
      <c r="A15" s="5" t="s">
        <v>462</v>
      </c>
      <c r="B15" s="143">
        <f>100*((B8/B7)^(1/7)-1)</f>
        <v>3.8041190012890524</v>
      </c>
      <c r="C15" s="143">
        <f t="shared" ref="C15:I15" si="2">100*((C8/C7)^(1/7)-1)</f>
        <v>5.1463961533562808</v>
      </c>
      <c r="D15" s="21" t="s">
        <v>87</v>
      </c>
      <c r="E15" s="143">
        <f t="shared" si="2"/>
        <v>1.6855054589816509</v>
      </c>
      <c r="F15" s="143">
        <f t="shared" si="2"/>
        <v>2.2057729652296132</v>
      </c>
      <c r="G15" s="21" t="s">
        <v>87</v>
      </c>
      <c r="H15" s="143">
        <f t="shared" si="2"/>
        <v>3.4405855581610689</v>
      </c>
      <c r="I15" s="143">
        <f t="shared" si="2"/>
        <v>5.1400406779354535</v>
      </c>
      <c r="J15" s="21" t="s">
        <v>87</v>
      </c>
    </row>
    <row r="16" spans="1:19">
      <c r="A16" s="5" t="s">
        <v>463</v>
      </c>
      <c r="B16" s="143">
        <f>100*((B10/B8)^(1/7)-1)</f>
        <v>1.6742730784041537</v>
      </c>
      <c r="C16" s="143">
        <f t="shared" ref="C16:J16" si="3">100*((C10/C8)^(1/7)-1)</f>
        <v>1.7995011880607814</v>
      </c>
      <c r="D16" s="143">
        <f t="shared" si="3"/>
        <v>2.3401755448930306</v>
      </c>
      <c r="E16" s="143">
        <f t="shared" si="3"/>
        <v>1.6564464711628313</v>
      </c>
      <c r="F16" s="143">
        <f t="shared" si="3"/>
        <v>1.2048834889130777</v>
      </c>
      <c r="G16" s="21" t="s">
        <v>87</v>
      </c>
      <c r="H16" s="143">
        <f t="shared" si="3"/>
        <v>-1.4374612143313703</v>
      </c>
      <c r="I16" s="143">
        <f t="shared" si="3"/>
        <v>-1.8079907470819667</v>
      </c>
      <c r="J16" s="143">
        <f t="shared" si="3"/>
        <v>1.3480406236366482</v>
      </c>
    </row>
    <row r="17" spans="1:12">
      <c r="A17" s="5" t="s">
        <v>589</v>
      </c>
      <c r="B17" s="243">
        <f>100*((B9/B6)^(1/17)-1)</f>
        <v>4.2296278851843283</v>
      </c>
      <c r="C17" s="243">
        <f t="shared" ref="C17:J17" si="4">100*((C9/C6)^(1/17)-1)</f>
        <v>4.6070813846077252</v>
      </c>
      <c r="D17" s="243">
        <f t="shared" si="4"/>
        <v>3.7443632071835653</v>
      </c>
      <c r="E17" s="243">
        <f t="shared" si="4"/>
        <v>4.1094678180863875</v>
      </c>
      <c r="F17" s="243">
        <f t="shared" si="4"/>
        <v>4.2524149277155088</v>
      </c>
      <c r="G17" s="21" t="s">
        <v>87</v>
      </c>
      <c r="H17" s="243">
        <f t="shared" si="4"/>
        <v>2.91855428676151</v>
      </c>
      <c r="I17" s="243">
        <f t="shared" si="4"/>
        <v>3.2972925495262206</v>
      </c>
      <c r="J17" s="243">
        <f t="shared" si="4"/>
        <v>2.0727765529121367</v>
      </c>
    </row>
    <row r="18" spans="1:12">
      <c r="A18" s="5" t="s">
        <v>556</v>
      </c>
      <c r="B18" s="243">
        <f>100*((B10/B9)^(1/3)-1)</f>
        <v>-0.81606011605722673</v>
      </c>
      <c r="C18" s="243">
        <f t="shared" ref="C18:J18" si="5">100*((C10/C9)^(1/3)-1)</f>
        <v>-1.1802344633949913</v>
      </c>
      <c r="D18" s="243">
        <f t="shared" si="5"/>
        <v>4.0831017983097739</v>
      </c>
      <c r="E18" s="243">
        <f t="shared" si="5"/>
        <v>-2.7230495934479904</v>
      </c>
      <c r="F18" s="243">
        <f t="shared" si="5"/>
        <v>-2.2279167507329167</v>
      </c>
      <c r="G18" s="21" t="s">
        <v>87</v>
      </c>
      <c r="H18" s="243">
        <f t="shared" si="5"/>
        <v>-1.9235558822832011</v>
      </c>
      <c r="I18" s="243">
        <f t="shared" si="5"/>
        <v>-2.1283089707784142</v>
      </c>
      <c r="J18" s="243">
        <f t="shared" si="5"/>
        <v>1.8185790714934313</v>
      </c>
    </row>
    <row r="20" spans="1:12">
      <c r="A20" s="5" t="s">
        <v>485</v>
      </c>
    </row>
    <row r="22" spans="1:12">
      <c r="A22" s="5" t="s">
        <v>153</v>
      </c>
    </row>
    <row r="23" spans="1:12">
      <c r="A23" s="5">
        <v>1</v>
      </c>
      <c r="B23" s="5" t="s">
        <v>486</v>
      </c>
    </row>
    <row r="24" spans="1:12">
      <c r="A24" s="5">
        <v>2</v>
      </c>
      <c r="B24" s="5" t="s">
        <v>487</v>
      </c>
    </row>
    <row r="25" spans="1:12">
      <c r="A25" s="5">
        <v>3</v>
      </c>
      <c r="B25" s="5" t="s">
        <v>488</v>
      </c>
    </row>
    <row r="28" spans="1:12">
      <c r="A28" s="5" t="s">
        <v>554</v>
      </c>
    </row>
    <row r="32" spans="1:12">
      <c r="A32" s="2"/>
      <c r="B32" s="2"/>
      <c r="C32" s="2"/>
      <c r="D32" s="2"/>
      <c r="E32" s="2"/>
      <c r="F32" s="2"/>
      <c r="G32" s="2"/>
      <c r="H32" s="2"/>
      <c r="I32" s="2"/>
      <c r="J32" s="2"/>
      <c r="K32" s="2"/>
      <c r="L32" s="2"/>
    </row>
    <row r="33" spans="1:12">
      <c r="A33" s="2"/>
      <c r="B33" s="155"/>
      <c r="C33" s="155"/>
      <c r="D33" s="155"/>
      <c r="E33" s="155"/>
      <c r="F33" s="155"/>
      <c r="G33" s="155"/>
      <c r="H33" s="155"/>
      <c r="I33" s="155"/>
      <c r="J33" s="155"/>
      <c r="K33" s="155"/>
      <c r="L33" s="155"/>
    </row>
    <row r="34" spans="1:12">
      <c r="A34" s="2"/>
      <c r="B34" s="155"/>
      <c r="C34" s="155"/>
      <c r="D34" s="155"/>
      <c r="E34" s="155"/>
      <c r="F34" s="155"/>
      <c r="G34" s="155"/>
      <c r="H34" s="155"/>
      <c r="I34" s="155"/>
      <c r="J34" s="155"/>
      <c r="K34" s="155"/>
      <c r="L34" s="155"/>
    </row>
    <row r="35" spans="1:12">
      <c r="A35" s="2"/>
      <c r="B35" s="155"/>
      <c r="C35" s="155"/>
      <c r="D35" s="155"/>
      <c r="E35" s="155"/>
      <c r="F35" s="155"/>
      <c r="G35" s="155"/>
      <c r="H35" s="155"/>
      <c r="I35" s="155"/>
      <c r="J35" s="155"/>
      <c r="K35" s="155"/>
      <c r="L35" s="155"/>
    </row>
    <row r="36" spans="1:12">
      <c r="A36" s="2"/>
      <c r="B36" s="155"/>
      <c r="C36" s="155"/>
      <c r="D36" s="155"/>
      <c r="E36" s="155"/>
      <c r="F36" s="155"/>
      <c r="G36" s="155"/>
      <c r="H36" s="155"/>
      <c r="I36" s="155"/>
      <c r="J36" s="155"/>
      <c r="K36" s="155"/>
      <c r="L36" s="155"/>
    </row>
    <row r="37" spans="1:12">
      <c r="A37" s="2"/>
      <c r="B37" s="155"/>
      <c r="C37" s="155"/>
      <c r="D37" s="155"/>
      <c r="E37" s="155"/>
      <c r="F37" s="155"/>
      <c r="G37" s="155"/>
      <c r="H37" s="155"/>
      <c r="I37" s="155"/>
      <c r="J37" s="155"/>
      <c r="K37" s="155"/>
      <c r="L37" s="155"/>
    </row>
  </sheetData>
  <mergeCells count="6">
    <mergeCell ref="Q4:S4"/>
    <mergeCell ref="B4:D4"/>
    <mergeCell ref="E4:G4"/>
    <mergeCell ref="H4:J4"/>
    <mergeCell ref="K4:M4"/>
    <mergeCell ref="N4:P4"/>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99613-BC0E-494A-878B-18A2E712760D}">
  <sheetPr codeName="Sheet98"/>
  <dimension ref="A1:J27"/>
  <sheetViews>
    <sheetView workbookViewId="0"/>
  </sheetViews>
  <sheetFormatPr baseColWidth="10" defaultColWidth="10.83203125" defaultRowHeight="16"/>
  <cols>
    <col min="1" max="1" width="21.1640625" style="5" customWidth="1"/>
    <col min="2" max="16384" width="10.83203125" style="5"/>
  </cols>
  <sheetData>
    <row r="1" spans="1:10">
      <c r="A1" s="19" t="s">
        <v>723</v>
      </c>
    </row>
    <row r="4" spans="1:10">
      <c r="B4" s="338" t="s">
        <v>482</v>
      </c>
      <c r="C4" s="338"/>
      <c r="D4" s="338"/>
      <c r="E4" s="338" t="s">
        <v>483</v>
      </c>
      <c r="F4" s="338"/>
      <c r="G4" s="338"/>
      <c r="H4" s="338" t="s">
        <v>484</v>
      </c>
      <c r="I4" s="338"/>
      <c r="J4" s="338"/>
    </row>
    <row r="5" spans="1:10" ht="102">
      <c r="B5" s="142" t="s">
        <v>81</v>
      </c>
      <c r="C5" s="142" t="s">
        <v>77</v>
      </c>
      <c r="D5" s="142" t="s">
        <v>78</v>
      </c>
      <c r="E5" s="142" t="s">
        <v>81</v>
      </c>
      <c r="F5" s="142" t="s">
        <v>77</v>
      </c>
      <c r="G5" s="142" t="s">
        <v>78</v>
      </c>
      <c r="H5" s="142" t="s">
        <v>81</v>
      </c>
      <c r="I5" s="142" t="s">
        <v>77</v>
      </c>
      <c r="J5" s="142" t="s">
        <v>78</v>
      </c>
    </row>
    <row r="6" spans="1:10">
      <c r="A6" s="5">
        <v>1999</v>
      </c>
      <c r="B6" s="8">
        <v>56.210790464240901</v>
      </c>
      <c r="C6" s="8">
        <v>54.242749731471534</v>
      </c>
      <c r="D6" s="8">
        <v>59.343434343434346</v>
      </c>
      <c r="E6" s="8">
        <v>48.800661703887513</v>
      </c>
      <c r="F6" s="8">
        <v>48.589846897663172</v>
      </c>
      <c r="G6" s="8">
        <v>48.210735586481114</v>
      </c>
      <c r="H6" s="8">
        <v>96.534653465346537</v>
      </c>
      <c r="I6" s="8">
        <v>93.392070484581495</v>
      </c>
      <c r="J6" s="8">
        <v>97.692307692307693</v>
      </c>
    </row>
    <row r="7" spans="1:10">
      <c r="A7" s="5">
        <v>2005</v>
      </c>
      <c r="B7" s="8">
        <v>58.101629913710454</v>
      </c>
      <c r="C7" s="8">
        <v>52.712550607287447</v>
      </c>
      <c r="D7" s="143" t="s">
        <v>87</v>
      </c>
      <c r="E7" s="8">
        <v>57.200267916945748</v>
      </c>
      <c r="F7" s="8">
        <v>57.662835249042146</v>
      </c>
      <c r="G7" s="143" t="s">
        <v>87</v>
      </c>
      <c r="H7" s="8">
        <v>91.608391608391614</v>
      </c>
      <c r="I7" s="8">
        <v>84.92307692307692</v>
      </c>
      <c r="J7" s="143" t="s">
        <v>87</v>
      </c>
    </row>
    <row r="8" spans="1:10">
      <c r="A8" s="5">
        <v>2012</v>
      </c>
      <c r="B8" s="8">
        <v>54.576976421636616</v>
      </c>
      <c r="C8" s="8">
        <v>54.443790464979401</v>
      </c>
      <c r="D8" s="8">
        <v>53.974358974358971</v>
      </c>
      <c r="E8" s="8">
        <v>44.630404463040449</v>
      </c>
      <c r="F8" s="8">
        <v>47.731397459165152</v>
      </c>
      <c r="G8" s="8">
        <v>34.00211193241816</v>
      </c>
      <c r="H8" s="8">
        <v>89.972899728997291</v>
      </c>
      <c r="I8" s="8">
        <v>90.322580645161295</v>
      </c>
      <c r="J8" s="8">
        <v>84.390243902439025</v>
      </c>
    </row>
    <row r="9" spans="1:10">
      <c r="A9" s="5">
        <v>2016</v>
      </c>
      <c r="B9" s="8">
        <v>52.674418604651166</v>
      </c>
      <c r="C9" s="8">
        <v>52.136341814690347</v>
      </c>
      <c r="D9" s="8">
        <v>53.799019607843135</v>
      </c>
      <c r="E9" s="8">
        <v>45.900353079639075</v>
      </c>
      <c r="F9" s="8">
        <v>45.36693847294292</v>
      </c>
      <c r="G9" s="143" t="s">
        <v>87</v>
      </c>
      <c r="H9" s="8">
        <v>85.026737967914443</v>
      </c>
      <c r="I9" s="8">
        <v>82.882882882882882</v>
      </c>
      <c r="J9" s="8">
        <v>87.378640776699029</v>
      </c>
    </row>
    <row r="10" spans="1:10">
      <c r="A10" s="5">
        <v>2019</v>
      </c>
      <c r="B10" s="8">
        <v>52.650387135199523</v>
      </c>
      <c r="C10" s="8">
        <v>51.022395326192793</v>
      </c>
      <c r="D10" s="8">
        <v>60.439560439560438</v>
      </c>
      <c r="E10" s="8">
        <v>42.518752467429927</v>
      </c>
      <c r="F10" s="8">
        <v>42.370370370370374</v>
      </c>
      <c r="G10" s="143" t="s">
        <v>87</v>
      </c>
      <c r="H10" s="8">
        <v>81.300813008130078</v>
      </c>
      <c r="I10" s="8">
        <v>78.767123287671239</v>
      </c>
      <c r="J10" s="8">
        <v>88.785046728971963</v>
      </c>
    </row>
    <row r="13" spans="1:10">
      <c r="A13" s="5" t="s">
        <v>467</v>
      </c>
      <c r="B13" s="143">
        <f>B10-B6</f>
        <v>-3.5604033290413781</v>
      </c>
      <c r="C13" s="143">
        <f>C10-C6</f>
        <v>-3.2203544052787407</v>
      </c>
      <c r="D13" s="143">
        <f>D10-D6</f>
        <v>1.0961260961260919</v>
      </c>
      <c r="E13" s="143">
        <f>E10-E6</f>
        <v>-6.2819092364575866</v>
      </c>
      <c r="F13" s="143">
        <f>F10-F6</f>
        <v>-6.2194765272927981</v>
      </c>
      <c r="G13" s="23">
        <f>G8-G6</f>
        <v>-14.208623654062954</v>
      </c>
      <c r="H13" s="143">
        <f>H10-H6</f>
        <v>-15.233840457216459</v>
      </c>
      <c r="I13" s="143">
        <f>I10-I6</f>
        <v>-14.624947196910256</v>
      </c>
      <c r="J13" s="143">
        <f>J10-J6</f>
        <v>-8.9072609633357303</v>
      </c>
    </row>
    <row r="14" spans="1:10">
      <c r="A14" s="5" t="s">
        <v>449</v>
      </c>
      <c r="B14" s="143">
        <f>B7-B6</f>
        <v>1.8908394494695528</v>
      </c>
      <c r="C14" s="143">
        <f>C7-C6</f>
        <v>-1.5301991241840867</v>
      </c>
      <c r="D14" s="143" t="s">
        <v>87</v>
      </c>
      <c r="E14" s="143">
        <f>E7-E6</f>
        <v>8.3996062130582345</v>
      </c>
      <c r="F14" s="143">
        <f>F7-F6</f>
        <v>9.0729883513789744</v>
      </c>
      <c r="G14" s="143" t="s">
        <v>87</v>
      </c>
      <c r="H14" s="143">
        <f>H7-H6</f>
        <v>-4.9262618569549232</v>
      </c>
      <c r="I14" s="143">
        <f>I7-I6</f>
        <v>-8.4689935615045755</v>
      </c>
      <c r="J14" s="143" t="s">
        <v>87</v>
      </c>
    </row>
    <row r="15" spans="1:10">
      <c r="A15" s="5" t="s">
        <v>450</v>
      </c>
      <c r="B15" s="143">
        <f>B8-B7</f>
        <v>-3.5246534920738384</v>
      </c>
      <c r="C15" s="143">
        <f>C8-C7</f>
        <v>1.7312398576919534</v>
      </c>
      <c r="D15" s="143" t="s">
        <v>87</v>
      </c>
      <c r="E15" s="143">
        <f>E8-E7</f>
        <v>-12.569863453905299</v>
      </c>
      <c r="F15" s="143">
        <f>F8-F7</f>
        <v>-9.9314377898769948</v>
      </c>
      <c r="G15" s="143" t="s">
        <v>87</v>
      </c>
      <c r="H15" s="143">
        <f>H8-H7</f>
        <v>-1.6354918793943227</v>
      </c>
      <c r="I15" s="143">
        <f>I8-I7</f>
        <v>5.3995037220843756</v>
      </c>
      <c r="J15" s="143" t="s">
        <v>87</v>
      </c>
    </row>
    <row r="16" spans="1:10">
      <c r="A16" s="5" t="s">
        <v>451</v>
      </c>
      <c r="B16" s="143">
        <f>B10-B8</f>
        <v>-1.9265892864370926</v>
      </c>
      <c r="C16" s="143">
        <f>C10-C8</f>
        <v>-3.4213951387866075</v>
      </c>
      <c r="D16" s="143">
        <f>D10-D8</f>
        <v>6.4652014652014671</v>
      </c>
      <c r="E16" s="143">
        <f>E10-E8</f>
        <v>-2.1116519956105222</v>
      </c>
      <c r="F16" s="143">
        <f>F10-F8</f>
        <v>-5.3610270887947777</v>
      </c>
      <c r="G16" s="143" t="s">
        <v>87</v>
      </c>
      <c r="H16" s="143">
        <f>H10-H8</f>
        <v>-8.6720867208672132</v>
      </c>
      <c r="I16" s="143">
        <f>I10-I8</f>
        <v>-11.555457357490056</v>
      </c>
      <c r="J16" s="143">
        <f>J10-J8</f>
        <v>4.3948028265329384</v>
      </c>
    </row>
    <row r="19" spans="1:2">
      <c r="A19" s="5" t="s">
        <v>489</v>
      </c>
    </row>
    <row r="21" spans="1:2">
      <c r="A21" s="5" t="s">
        <v>153</v>
      </c>
    </row>
    <row r="22" spans="1:2">
      <c r="A22" s="5">
        <v>1</v>
      </c>
      <c r="B22" s="5" t="s">
        <v>486</v>
      </c>
    </row>
    <row r="23" spans="1:2">
      <c r="A23" s="5">
        <v>2</v>
      </c>
      <c r="B23" s="5" t="s">
        <v>487</v>
      </c>
    </row>
    <row r="24" spans="1:2">
      <c r="A24" s="5">
        <v>3</v>
      </c>
      <c r="B24" s="5" t="s">
        <v>488</v>
      </c>
    </row>
    <row r="27" spans="1:2">
      <c r="A27" s="5" t="s">
        <v>466</v>
      </c>
    </row>
  </sheetData>
  <mergeCells count="3">
    <mergeCell ref="B4:D4"/>
    <mergeCell ref="E4:G4"/>
    <mergeCell ref="H4:J4"/>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AF36-9738-4148-8030-1A78BC681F85}">
  <sheetPr codeName="Sheet99"/>
  <dimension ref="A1:J27"/>
  <sheetViews>
    <sheetView workbookViewId="0">
      <selection activeCell="H29" sqref="H29"/>
    </sheetView>
  </sheetViews>
  <sheetFormatPr baseColWidth="10" defaultColWidth="10.83203125" defaultRowHeight="16"/>
  <cols>
    <col min="1" max="1" width="18.6640625" style="5" customWidth="1"/>
    <col min="2" max="16384" width="10.83203125" style="5"/>
  </cols>
  <sheetData>
    <row r="1" spans="1:10">
      <c r="A1" s="15" t="s">
        <v>724</v>
      </c>
    </row>
    <row r="2" spans="1:10">
      <c r="A2" s="6" t="s">
        <v>3</v>
      </c>
    </row>
    <row r="3" spans="1:10">
      <c r="A3" s="6"/>
    </row>
    <row r="4" spans="1:10">
      <c r="A4" s="6"/>
      <c r="B4" s="328" t="s">
        <v>482</v>
      </c>
      <c r="C4" s="328"/>
      <c r="D4" s="328"/>
      <c r="E4" s="328" t="s">
        <v>483</v>
      </c>
      <c r="F4" s="328"/>
      <c r="G4" s="328"/>
      <c r="H4" s="328" t="s">
        <v>484</v>
      </c>
      <c r="I4" s="328"/>
      <c r="J4" s="328"/>
    </row>
    <row r="5" spans="1:10" ht="102">
      <c r="A5" s="6"/>
      <c r="B5" s="137" t="s">
        <v>81</v>
      </c>
      <c r="C5" s="137" t="s">
        <v>77</v>
      </c>
      <c r="D5" s="137" t="s">
        <v>78</v>
      </c>
      <c r="E5" s="137" t="s">
        <v>81</v>
      </c>
      <c r="F5" s="137" t="s">
        <v>77</v>
      </c>
      <c r="G5" s="137" t="s">
        <v>78</v>
      </c>
      <c r="H5" s="137" t="s">
        <v>81</v>
      </c>
      <c r="I5" s="137" t="s">
        <v>77</v>
      </c>
      <c r="J5" s="137" t="s">
        <v>78</v>
      </c>
    </row>
    <row r="6" spans="1:10">
      <c r="A6" s="6">
        <v>1999</v>
      </c>
      <c r="B6" s="20">
        <v>29300</v>
      </c>
      <c r="C6" s="20">
        <v>36300</v>
      </c>
      <c r="D6" s="20">
        <v>12000</v>
      </c>
      <c r="E6" s="20">
        <v>52700</v>
      </c>
      <c r="F6" s="20">
        <v>54200</v>
      </c>
      <c r="G6" s="20">
        <v>46800</v>
      </c>
      <c r="H6" s="20">
        <v>12400</v>
      </c>
      <c r="I6" s="20">
        <v>13500</v>
      </c>
      <c r="J6" s="20">
        <v>10200</v>
      </c>
    </row>
    <row r="7" spans="1:10">
      <c r="A7" s="6">
        <v>2005</v>
      </c>
      <c r="B7" s="20">
        <v>27000</v>
      </c>
      <c r="C7" s="20">
        <v>30000</v>
      </c>
      <c r="D7" s="143" t="s">
        <v>87</v>
      </c>
      <c r="E7" s="20">
        <v>63600</v>
      </c>
      <c r="F7" s="20">
        <v>67400</v>
      </c>
      <c r="G7" s="143" t="s">
        <v>87</v>
      </c>
      <c r="H7" s="20">
        <v>18300</v>
      </c>
      <c r="I7" s="20">
        <v>18300</v>
      </c>
      <c r="J7" s="143" t="s">
        <v>87</v>
      </c>
    </row>
    <row r="8" spans="1:10">
      <c r="A8" s="6">
        <v>2012</v>
      </c>
      <c r="B8" s="20">
        <v>45600</v>
      </c>
      <c r="C8" s="20">
        <v>60100</v>
      </c>
      <c r="D8" s="20">
        <v>20100</v>
      </c>
      <c r="E8" s="20">
        <v>89400</v>
      </c>
      <c r="F8" s="20">
        <v>91100</v>
      </c>
      <c r="G8" s="20">
        <v>50300</v>
      </c>
      <c r="H8" s="20">
        <v>24200</v>
      </c>
      <c r="I8" s="20">
        <v>29400</v>
      </c>
      <c r="J8" s="20">
        <v>14500</v>
      </c>
    </row>
    <row r="9" spans="1:10">
      <c r="A9" s="6">
        <v>2016</v>
      </c>
      <c r="B9" s="20">
        <v>57200</v>
      </c>
      <c r="C9" s="20">
        <v>74800</v>
      </c>
      <c r="D9" s="20">
        <v>16900</v>
      </c>
      <c r="E9" s="20">
        <v>95300</v>
      </c>
      <c r="F9" s="20">
        <v>111200</v>
      </c>
      <c r="G9" s="143" t="s">
        <v>87</v>
      </c>
      <c r="H9" s="20">
        <v>20100</v>
      </c>
      <c r="I9" s="20">
        <v>24400</v>
      </c>
      <c r="J9" s="20">
        <v>8800</v>
      </c>
    </row>
    <row r="10" spans="1:10">
      <c r="A10" s="6">
        <v>2019</v>
      </c>
      <c r="B10" s="20">
        <v>52000</v>
      </c>
      <c r="C10" s="20">
        <v>78000</v>
      </c>
      <c r="D10" s="20">
        <v>19400</v>
      </c>
      <c r="E10" s="20">
        <v>96000</v>
      </c>
      <c r="F10" s="20">
        <v>100000</v>
      </c>
      <c r="G10" s="143" t="s">
        <v>87</v>
      </c>
      <c r="H10" s="20">
        <v>21200</v>
      </c>
      <c r="I10" s="20">
        <v>25000</v>
      </c>
      <c r="J10" s="20">
        <v>12000</v>
      </c>
    </row>
    <row r="13" spans="1:10">
      <c r="A13" s="5" t="s">
        <v>460</v>
      </c>
      <c r="B13" s="143">
        <f>100*((B10/B6)^(1/20)-1)</f>
        <v>2.9098123199121861</v>
      </c>
      <c r="C13" s="143">
        <f t="shared" ref="C13:J13" si="0">100*((C10/C6)^(1/20)-1)</f>
        <v>3.8985290101979597</v>
      </c>
      <c r="D13" s="143">
        <f t="shared" si="0"/>
        <v>2.4309083894987094</v>
      </c>
      <c r="E13" s="143">
        <f t="shared" si="0"/>
        <v>3.0440763871400156</v>
      </c>
      <c r="F13" s="143">
        <f t="shared" si="0"/>
        <v>3.1098216544335866</v>
      </c>
      <c r="G13" s="143">
        <f>100*((G8/G6)^(1/13)-1)</f>
        <v>0.55632542188450707</v>
      </c>
      <c r="H13" s="143">
        <f t="shared" si="0"/>
        <v>2.7177999152196763</v>
      </c>
      <c r="I13" s="143">
        <f t="shared" si="0"/>
        <v>3.1288825544804277</v>
      </c>
      <c r="J13" s="143">
        <f t="shared" si="0"/>
        <v>0.81590515873148917</v>
      </c>
    </row>
    <row r="14" spans="1:10">
      <c r="A14" s="5" t="s">
        <v>461</v>
      </c>
      <c r="B14" s="143">
        <f>100*((B7/B6)^(1/6)-1)</f>
        <v>-1.3532706684757367</v>
      </c>
      <c r="C14" s="143">
        <f t="shared" ref="C14:I14" si="1">100*((C7/C6)^(1/6)-1)</f>
        <v>-3.1270693848535758</v>
      </c>
      <c r="D14" s="143" t="s">
        <v>87</v>
      </c>
      <c r="E14" s="143">
        <f t="shared" si="1"/>
        <v>3.1829048300828555</v>
      </c>
      <c r="F14" s="143">
        <f t="shared" si="1"/>
        <v>3.6995252968512915</v>
      </c>
      <c r="G14" s="143" t="s">
        <v>87</v>
      </c>
      <c r="H14" s="143">
        <f t="shared" si="1"/>
        <v>6.7017561776362866</v>
      </c>
      <c r="I14" s="143">
        <f t="shared" si="1"/>
        <v>5.2009238092627808</v>
      </c>
      <c r="J14" s="143" t="s">
        <v>87</v>
      </c>
    </row>
    <row r="15" spans="1:10">
      <c r="A15" s="5" t="s">
        <v>462</v>
      </c>
      <c r="B15" s="143">
        <f>100*((B8/B7)^(1/7)-1)</f>
        <v>7.7741086736469622</v>
      </c>
      <c r="C15" s="143">
        <f t="shared" ref="C15:I15" si="2">100*((C8/C7)^(1/7)-1)</f>
        <v>10.435220455262439</v>
      </c>
      <c r="D15" s="143" t="s">
        <v>87</v>
      </c>
      <c r="E15" s="143">
        <f t="shared" si="2"/>
        <v>4.9846420629925614</v>
      </c>
      <c r="F15" s="143">
        <f t="shared" si="2"/>
        <v>4.3984542967283602</v>
      </c>
      <c r="G15" s="143" t="s">
        <v>87</v>
      </c>
      <c r="H15" s="143">
        <f t="shared" si="2"/>
        <v>4.0729233329182213</v>
      </c>
      <c r="I15" s="143">
        <f t="shared" si="2"/>
        <v>7.0073844039871824</v>
      </c>
      <c r="J15" s="143" t="s">
        <v>87</v>
      </c>
    </row>
    <row r="16" spans="1:10">
      <c r="A16" s="5" t="s">
        <v>463</v>
      </c>
      <c r="B16" s="143">
        <f>100*((B10/B8)^(1/7)-1)</f>
        <v>1.8939403673529531</v>
      </c>
      <c r="C16" s="143">
        <f t="shared" ref="C16:J16" si="3">100*((C10/C8)^(1/7)-1)</f>
        <v>3.7944912124179053</v>
      </c>
      <c r="D16" s="143">
        <f t="shared" si="3"/>
        <v>-0.50510217560594262</v>
      </c>
      <c r="E16" s="143">
        <f t="shared" si="3"/>
        <v>1.0227303466584292</v>
      </c>
      <c r="F16" s="143">
        <f t="shared" si="3"/>
        <v>1.3405108027266577</v>
      </c>
      <c r="G16" s="143" t="s">
        <v>87</v>
      </c>
      <c r="H16" s="143">
        <f t="shared" si="3"/>
        <v>-1.8729727486043068</v>
      </c>
      <c r="I16" s="143">
        <f t="shared" si="3"/>
        <v>-2.2893705118158914</v>
      </c>
      <c r="J16" s="143">
        <f t="shared" si="3"/>
        <v>-2.6672408332371278</v>
      </c>
    </row>
    <row r="19" spans="1:2">
      <c r="A19" s="5" t="s">
        <v>485</v>
      </c>
    </row>
    <row r="21" spans="1:2">
      <c r="A21" s="5" t="s">
        <v>153</v>
      </c>
    </row>
    <row r="22" spans="1:2">
      <c r="A22" s="5">
        <v>1</v>
      </c>
      <c r="B22" s="5" t="s">
        <v>486</v>
      </c>
    </row>
    <row r="23" spans="1:2">
      <c r="A23" s="5">
        <v>2</v>
      </c>
      <c r="B23" s="5" t="s">
        <v>487</v>
      </c>
    </row>
    <row r="24" spans="1:2">
      <c r="A24" s="5">
        <v>3</v>
      </c>
      <c r="B24" s="5" t="s">
        <v>488</v>
      </c>
    </row>
    <row r="27" spans="1:2">
      <c r="A27" s="5" t="s">
        <v>554</v>
      </c>
    </row>
  </sheetData>
  <mergeCells count="3">
    <mergeCell ref="B4:D4"/>
    <mergeCell ref="E4:G4"/>
    <mergeCell ref="H4:J4"/>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B4BFE-5D0E-5841-B401-5E738A568473}">
  <sheetPr codeName="Sheet100"/>
  <dimension ref="A1:J27"/>
  <sheetViews>
    <sheetView zoomScale="125" workbookViewId="0"/>
  </sheetViews>
  <sheetFormatPr baseColWidth="10" defaultColWidth="10.83203125" defaultRowHeight="16"/>
  <cols>
    <col min="1" max="1" width="25" style="5" customWidth="1"/>
    <col min="2" max="16384" width="10.83203125" style="5"/>
  </cols>
  <sheetData>
    <row r="1" spans="1:10">
      <c r="A1" s="19" t="s">
        <v>725</v>
      </c>
    </row>
    <row r="4" spans="1:10">
      <c r="B4" s="328" t="s">
        <v>482</v>
      </c>
      <c r="C4" s="328"/>
      <c r="D4" s="328"/>
      <c r="E4" s="328" t="s">
        <v>483</v>
      </c>
      <c r="F4" s="328"/>
      <c r="G4" s="328"/>
      <c r="H4" s="328" t="s">
        <v>484</v>
      </c>
      <c r="I4" s="328"/>
      <c r="J4" s="328"/>
    </row>
    <row r="5" spans="1:10" ht="102">
      <c r="B5" s="137" t="s">
        <v>81</v>
      </c>
      <c r="C5" s="137" t="s">
        <v>77</v>
      </c>
      <c r="D5" s="137" t="s">
        <v>78</v>
      </c>
      <c r="E5" s="137" t="s">
        <v>81</v>
      </c>
      <c r="F5" s="137" t="s">
        <v>77</v>
      </c>
      <c r="G5" s="137" t="s">
        <v>78</v>
      </c>
      <c r="H5" s="137" t="s">
        <v>81</v>
      </c>
      <c r="I5" s="137" t="s">
        <v>77</v>
      </c>
      <c r="J5" s="137" t="s">
        <v>78</v>
      </c>
    </row>
    <row r="6" spans="1:10">
      <c r="A6" s="5">
        <v>1999</v>
      </c>
      <c r="B6" s="8">
        <v>71.463414634146346</v>
      </c>
      <c r="C6" s="8">
        <v>60.5</v>
      </c>
      <c r="D6" s="8">
        <v>100</v>
      </c>
      <c r="E6" s="8">
        <v>52.178217821782177</v>
      </c>
      <c r="F6" s="8">
        <v>52.878048780487802</v>
      </c>
      <c r="G6" s="8">
        <v>55.123674911660778</v>
      </c>
      <c r="H6" s="8">
        <v>105.98290598290598</v>
      </c>
      <c r="I6" s="8">
        <v>97.122302158273385</v>
      </c>
      <c r="J6" s="8">
        <v>139.72602739726028</v>
      </c>
    </row>
    <row r="7" spans="1:10">
      <c r="A7" s="5">
        <v>2005</v>
      </c>
      <c r="B7" s="8">
        <v>47.703180212014132</v>
      </c>
      <c r="C7" s="8">
        <v>37.831021437578812</v>
      </c>
      <c r="D7" s="143" t="s">
        <v>87</v>
      </c>
      <c r="E7" s="8">
        <v>53.807106598984774</v>
      </c>
      <c r="F7" s="8">
        <v>53.029110936270655</v>
      </c>
      <c r="G7" s="143" t="s">
        <v>87</v>
      </c>
      <c r="H7" s="8">
        <v>115.09433962264151</v>
      </c>
      <c r="I7" s="8">
        <v>95.811518324607334</v>
      </c>
      <c r="J7" s="143" t="s">
        <v>87</v>
      </c>
    </row>
    <row r="8" spans="1:10">
      <c r="A8" s="5">
        <v>2012</v>
      </c>
      <c r="B8" s="8">
        <v>67.857142857142861</v>
      </c>
      <c r="C8" s="8">
        <v>57.238095238095241</v>
      </c>
      <c r="D8" s="8">
        <v>112.29050279329608</v>
      </c>
      <c r="E8" s="8">
        <v>53.341288782816228</v>
      </c>
      <c r="F8" s="8">
        <v>54.001185536455246</v>
      </c>
      <c r="G8" s="8">
        <v>36.005726556907661</v>
      </c>
      <c r="H8" s="8">
        <v>129.41176470588235</v>
      </c>
      <c r="I8" s="8">
        <v>128.38427947598254</v>
      </c>
      <c r="J8" s="8">
        <v>143.56435643564356</v>
      </c>
    </row>
    <row r="9" spans="1:10">
      <c r="A9" s="5">
        <v>2016</v>
      </c>
      <c r="B9" s="8">
        <v>66.978922716627636</v>
      </c>
      <c r="C9" s="8">
        <v>54.320987654320987</v>
      </c>
      <c r="D9" s="8">
        <v>76.126126126126124</v>
      </c>
      <c r="E9" s="8">
        <v>47.365805168986086</v>
      </c>
      <c r="F9" s="8">
        <v>52.502360717658171</v>
      </c>
      <c r="G9" s="143" t="s">
        <v>87</v>
      </c>
      <c r="H9" s="8">
        <v>100</v>
      </c>
      <c r="I9" s="8">
        <v>100</v>
      </c>
      <c r="J9" s="8">
        <v>83.018867924528308</v>
      </c>
    </row>
    <row r="10" spans="1:10">
      <c r="A10" s="5">
        <v>2019</v>
      </c>
      <c r="B10" s="8">
        <v>65.822784810126578</v>
      </c>
      <c r="C10" s="8">
        <v>58.602554470323064</v>
      </c>
      <c r="D10" s="8">
        <v>82.90598290598291</v>
      </c>
      <c r="E10" s="8">
        <v>50.526315789473685</v>
      </c>
      <c r="F10" s="8">
        <v>50</v>
      </c>
      <c r="G10" s="143" t="s">
        <v>87</v>
      </c>
      <c r="H10" s="8">
        <v>106</v>
      </c>
      <c r="I10" s="8">
        <v>106.38297872340425</v>
      </c>
      <c r="J10" s="8">
        <v>116.50485436893204</v>
      </c>
    </row>
    <row r="13" spans="1:10">
      <c r="A13" s="5" t="s">
        <v>467</v>
      </c>
      <c r="B13" s="143">
        <f>B10-B6</f>
        <v>-5.6406298240197685</v>
      </c>
      <c r="C13" s="143">
        <f>C10-C6</f>
        <v>-1.8974455296769364</v>
      </c>
      <c r="D13" s="143">
        <f>D10-D6</f>
        <v>-17.09401709401709</v>
      </c>
      <c r="E13" s="143">
        <f>E10-E6</f>
        <v>-1.6519020323084916</v>
      </c>
      <c r="F13" s="143">
        <f>F10-F6</f>
        <v>-2.8780487804878021</v>
      </c>
      <c r="G13" s="23">
        <f>G8-G6</f>
        <v>-19.117948354753118</v>
      </c>
      <c r="H13" s="143">
        <f>H10-H6</f>
        <v>1.7094017094024139E-2</v>
      </c>
      <c r="I13" s="143">
        <f>I10-I6</f>
        <v>9.2606765651308649</v>
      </c>
      <c r="J13" s="143">
        <f>J10-J6</f>
        <v>-23.221173028328238</v>
      </c>
    </row>
    <row r="14" spans="1:10">
      <c r="A14" s="5" t="s">
        <v>449</v>
      </c>
      <c r="B14" s="143">
        <f>B7-B6</f>
        <v>-23.760234422132214</v>
      </c>
      <c r="C14" s="143">
        <f>C7-C6</f>
        <v>-22.668978562421188</v>
      </c>
      <c r="D14" s="143" t="s">
        <v>87</v>
      </c>
      <c r="E14" s="143">
        <f>E7-E6</f>
        <v>1.6288887772025973</v>
      </c>
      <c r="F14" s="143">
        <f>F7-F6</f>
        <v>0.15106215578285287</v>
      </c>
      <c r="G14" s="143" t="s">
        <v>87</v>
      </c>
      <c r="H14" s="143">
        <f>H7-H6</f>
        <v>9.1114336397355373</v>
      </c>
      <c r="I14" s="143">
        <f>I7-I6</f>
        <v>-1.3107838336660507</v>
      </c>
      <c r="J14" s="143" t="s">
        <v>87</v>
      </c>
    </row>
    <row r="15" spans="1:10">
      <c r="A15" s="5" t="s">
        <v>450</v>
      </c>
      <c r="B15" s="143">
        <f>B8-B7</f>
        <v>20.153962645128729</v>
      </c>
      <c r="C15" s="143">
        <f>C8-C7</f>
        <v>19.407073800516429</v>
      </c>
      <c r="D15" s="143" t="s">
        <v>87</v>
      </c>
      <c r="E15" s="143">
        <f>E8-E7</f>
        <v>-0.46581781616854556</v>
      </c>
      <c r="F15" s="143">
        <f>F8-F7</f>
        <v>0.97207460018459102</v>
      </c>
      <c r="G15" s="143" t="s">
        <v>87</v>
      </c>
      <c r="H15" s="143">
        <f>H8-H7</f>
        <v>14.317425083240835</v>
      </c>
      <c r="I15" s="143">
        <f>I8-I7</f>
        <v>32.572761151375204</v>
      </c>
      <c r="J15" s="143" t="s">
        <v>87</v>
      </c>
    </row>
    <row r="16" spans="1:10">
      <c r="A16" s="5" t="s">
        <v>451</v>
      </c>
      <c r="B16" s="143">
        <f>B10-B8</f>
        <v>-2.0343580470162834</v>
      </c>
      <c r="C16" s="143">
        <f>C10-C8</f>
        <v>1.3644592322278228</v>
      </c>
      <c r="D16" s="143">
        <f>D10-D8</f>
        <v>-29.384519887313175</v>
      </c>
      <c r="E16" s="143">
        <f>E10-E8</f>
        <v>-2.8149729933425434</v>
      </c>
      <c r="F16" s="143">
        <f>F10-F8</f>
        <v>-4.001185536455246</v>
      </c>
      <c r="G16" s="143" t="s">
        <v>87</v>
      </c>
      <c r="H16" s="143">
        <f>H10-H8</f>
        <v>-23.411764705882348</v>
      </c>
      <c r="I16" s="143">
        <f>I10-I8</f>
        <v>-22.001300752578288</v>
      </c>
      <c r="J16" s="143">
        <f>J10-J8</f>
        <v>-27.059502066711516</v>
      </c>
    </row>
    <row r="17" spans="1:10">
      <c r="B17" s="135"/>
      <c r="C17" s="135"/>
      <c r="D17" s="135"/>
      <c r="E17" s="135"/>
      <c r="F17" s="135"/>
      <c r="G17" s="135"/>
      <c r="H17" s="135"/>
      <c r="I17" s="135"/>
      <c r="J17" s="135"/>
    </row>
    <row r="19" spans="1:10">
      <c r="A19" s="5" t="s">
        <v>489</v>
      </c>
    </row>
    <row r="21" spans="1:10">
      <c r="A21" s="5" t="s">
        <v>153</v>
      </c>
    </row>
    <row r="22" spans="1:10">
      <c r="A22" s="5">
        <v>1</v>
      </c>
      <c r="B22" s="5" t="s">
        <v>486</v>
      </c>
    </row>
    <row r="23" spans="1:10">
      <c r="A23" s="5">
        <v>2</v>
      </c>
      <c r="B23" s="5" t="s">
        <v>487</v>
      </c>
    </row>
    <row r="24" spans="1:10">
      <c r="A24" s="5">
        <v>3</v>
      </c>
      <c r="B24" s="5" t="s">
        <v>488</v>
      </c>
    </row>
    <row r="27" spans="1:10">
      <c r="A27" s="5" t="s">
        <v>554</v>
      </c>
    </row>
  </sheetData>
  <mergeCells count="3">
    <mergeCell ref="B4:D4"/>
    <mergeCell ref="E4:G4"/>
    <mergeCell ref="H4:J4"/>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F5BA6-A7A2-B14D-876E-349A72742D01}">
  <sheetPr codeName="Sheet101"/>
  <dimension ref="A1:I47"/>
  <sheetViews>
    <sheetView zoomScale="108" workbookViewId="0"/>
  </sheetViews>
  <sheetFormatPr baseColWidth="10" defaultColWidth="10.83203125" defaultRowHeight="16"/>
  <cols>
    <col min="1" max="1" width="16.83203125" style="5" customWidth="1"/>
    <col min="2" max="16384" width="10.83203125" style="5"/>
  </cols>
  <sheetData>
    <row r="1" spans="1:7">
      <c r="A1" s="19" t="s">
        <v>726</v>
      </c>
    </row>
    <row r="2" spans="1:7">
      <c r="A2" s="5" t="s">
        <v>455</v>
      </c>
    </row>
    <row r="5" spans="1:7" ht="34">
      <c r="B5" s="137" t="s">
        <v>490</v>
      </c>
      <c r="C5" s="137" t="s">
        <v>491</v>
      </c>
      <c r="D5" s="137" t="s">
        <v>104</v>
      </c>
      <c r="E5" s="137" t="s">
        <v>105</v>
      </c>
      <c r="F5" s="137" t="s">
        <v>106</v>
      </c>
      <c r="G5" s="137" t="s">
        <v>492</v>
      </c>
    </row>
    <row r="6" spans="1:7">
      <c r="A6" s="5">
        <v>1999</v>
      </c>
      <c r="B6" s="20">
        <v>77546</v>
      </c>
      <c r="C6" s="135">
        <v>-139</v>
      </c>
      <c r="D6" s="20">
        <v>2635</v>
      </c>
      <c r="E6" s="20">
        <v>7224</v>
      </c>
      <c r="F6" s="20">
        <v>14835</v>
      </c>
      <c r="G6" s="20">
        <v>52991</v>
      </c>
    </row>
    <row r="7" spans="1:7">
      <c r="A7" s="5">
        <v>2005</v>
      </c>
      <c r="B7" s="20">
        <v>81090</v>
      </c>
      <c r="C7" s="135" t="s">
        <v>87</v>
      </c>
      <c r="D7" s="20">
        <v>1636</v>
      </c>
      <c r="E7" s="20">
        <v>7699</v>
      </c>
      <c r="F7" s="20">
        <v>14460</v>
      </c>
      <c r="G7" s="20">
        <v>57442</v>
      </c>
    </row>
    <row r="8" spans="1:7">
      <c r="A8" s="5">
        <v>2012</v>
      </c>
      <c r="B8" s="20">
        <v>137731</v>
      </c>
      <c r="C8" s="135">
        <v>151</v>
      </c>
      <c r="D8" s="20">
        <v>4746</v>
      </c>
      <c r="E8" s="20">
        <v>12967</v>
      </c>
      <c r="F8" s="20">
        <v>30224</v>
      </c>
      <c r="G8" s="20">
        <v>89643</v>
      </c>
    </row>
    <row r="9" spans="1:7">
      <c r="A9" s="5">
        <v>2016</v>
      </c>
      <c r="B9" s="20">
        <v>144860</v>
      </c>
      <c r="C9" s="135">
        <v>-34</v>
      </c>
      <c r="D9" s="20">
        <v>3707</v>
      </c>
      <c r="E9" s="20">
        <v>11388</v>
      </c>
      <c r="F9" s="20">
        <v>31870</v>
      </c>
      <c r="G9" s="20">
        <v>97929</v>
      </c>
    </row>
    <row r="10" spans="1:7">
      <c r="A10" s="5">
        <v>2019</v>
      </c>
      <c r="B10" s="20">
        <v>132783</v>
      </c>
      <c r="C10" s="135">
        <v>98</v>
      </c>
      <c r="D10" s="20">
        <v>4620</v>
      </c>
      <c r="E10" s="20">
        <v>12825</v>
      </c>
      <c r="F10" s="20">
        <v>29056</v>
      </c>
      <c r="G10" s="20">
        <v>86185</v>
      </c>
    </row>
    <row r="13" spans="1:7">
      <c r="A13" s="5" t="s">
        <v>479</v>
      </c>
      <c r="B13" s="143">
        <f>100*((B10/B6)^(1/20)-1)</f>
        <v>2.7257105127912906</v>
      </c>
      <c r="C13" s="143" t="s">
        <v>87</v>
      </c>
      <c r="D13" s="143">
        <f t="shared" ref="D13:G13" si="0">100*((D10/D6)^(1/20)-1)</f>
        <v>2.8473409550134887</v>
      </c>
      <c r="E13" s="143">
        <f t="shared" si="0"/>
        <v>2.9115174075285744</v>
      </c>
      <c r="F13" s="143">
        <f t="shared" si="0"/>
        <v>3.4183045933510625</v>
      </c>
      <c r="G13" s="143">
        <f t="shared" si="0"/>
        <v>2.4616814353441319</v>
      </c>
    </row>
    <row r="14" spans="1:7">
      <c r="A14" s="5" t="s">
        <v>461</v>
      </c>
      <c r="B14" s="143">
        <f>100*((B7/B6)^(1/6)-1)</f>
        <v>0.74758624795576711</v>
      </c>
      <c r="C14" s="143" t="s">
        <v>87</v>
      </c>
      <c r="D14" s="143">
        <f t="shared" ref="D14:G14" si="1">100*((D7/D6)^(1/6)-1)</f>
        <v>-7.6364861708786425</v>
      </c>
      <c r="E14" s="143">
        <f t="shared" si="1"/>
        <v>1.0670129807694329</v>
      </c>
      <c r="F14" s="143">
        <f t="shared" si="1"/>
        <v>-0.42580813895449765</v>
      </c>
      <c r="G14" s="143">
        <f t="shared" si="1"/>
        <v>1.3533029456588963</v>
      </c>
    </row>
    <row r="15" spans="1:7">
      <c r="A15" s="5" t="s">
        <v>462</v>
      </c>
      <c r="B15" s="143">
        <f>100*((B8/B7)^(1/7)-1)</f>
        <v>7.8614720075418143</v>
      </c>
      <c r="C15" s="143" t="s">
        <v>87</v>
      </c>
      <c r="D15" s="143">
        <f t="shared" ref="D15:G15" si="2">100*((D8/D7)^(1/7)-1)</f>
        <v>16.433452756352018</v>
      </c>
      <c r="E15" s="143">
        <f t="shared" si="2"/>
        <v>7.731721259741553</v>
      </c>
      <c r="F15" s="143">
        <f t="shared" si="2"/>
        <v>11.106769678846163</v>
      </c>
      <c r="G15" s="143">
        <f t="shared" si="2"/>
        <v>6.5644638442708736</v>
      </c>
    </row>
    <row r="16" spans="1:7">
      <c r="A16" s="5" t="s">
        <v>463</v>
      </c>
      <c r="B16" s="143">
        <f>100*((B10/B8)^(1/7)-1)</f>
        <v>-0.52129779788067099</v>
      </c>
      <c r="C16" s="143">
        <f t="shared" ref="C16:G16" si="3">100*((C10/C8)^(1/7)-1)</f>
        <v>-5.9890487934250896</v>
      </c>
      <c r="D16" s="143">
        <f t="shared" si="3"/>
        <v>-0.38365434351642635</v>
      </c>
      <c r="E16" s="143">
        <f t="shared" si="3"/>
        <v>-0.1571803065892774</v>
      </c>
      <c r="F16" s="143">
        <f t="shared" si="3"/>
        <v>-0.56143671068555889</v>
      </c>
      <c r="G16" s="143">
        <f t="shared" si="3"/>
        <v>-0.56040905936467489</v>
      </c>
    </row>
    <row r="19" spans="1:9">
      <c r="A19" s="5" t="s">
        <v>153</v>
      </c>
    </row>
    <row r="20" spans="1:9">
      <c r="A20" s="5">
        <v>1</v>
      </c>
      <c r="B20" s="5" t="s">
        <v>493</v>
      </c>
    </row>
    <row r="23" spans="1:9">
      <c r="A23" s="5" t="s">
        <v>494</v>
      </c>
    </row>
    <row r="27" spans="1:9">
      <c r="A27" s="5" t="s">
        <v>586</v>
      </c>
    </row>
    <row r="29" spans="1:9" ht="34">
      <c r="B29" s="151" t="s">
        <v>490</v>
      </c>
      <c r="C29" s="151" t="s">
        <v>491</v>
      </c>
      <c r="D29" s="151" t="s">
        <v>104</v>
      </c>
      <c r="E29" s="151" t="s">
        <v>105</v>
      </c>
      <c r="F29" s="151" t="s">
        <v>106</v>
      </c>
      <c r="G29" s="151" t="s">
        <v>492</v>
      </c>
    </row>
    <row r="30" spans="1:9">
      <c r="A30" s="5">
        <v>1999</v>
      </c>
      <c r="B30" s="58">
        <f>100*B6/$B6</f>
        <v>100</v>
      </c>
      <c r="C30" s="58">
        <f>100*C6/$B6</f>
        <v>-0.1792484460836149</v>
      </c>
      <c r="D30" s="58">
        <f t="shared" ref="D30:G30" si="4">100*D6/$B6</f>
        <v>3.3979831325922678</v>
      </c>
      <c r="E30" s="58">
        <f t="shared" si="4"/>
        <v>9.3157609676836977</v>
      </c>
      <c r="F30" s="58">
        <f t="shared" si="4"/>
        <v>19.130580558636165</v>
      </c>
      <c r="G30" s="58">
        <f t="shared" si="4"/>
        <v>68.334923787171491</v>
      </c>
      <c r="I30" s="156"/>
    </row>
    <row r="31" spans="1:9">
      <c r="A31" s="5">
        <v>2005</v>
      </c>
      <c r="B31" s="58">
        <f t="shared" ref="B31:G31" si="5">100*B7/$B7</f>
        <v>100</v>
      </c>
      <c r="C31" s="58"/>
      <c r="D31" s="58">
        <f t="shared" si="5"/>
        <v>2.0175114070785547</v>
      </c>
      <c r="E31" s="58">
        <f t="shared" si="5"/>
        <v>9.4943889505487729</v>
      </c>
      <c r="F31" s="58">
        <f t="shared" si="5"/>
        <v>17.832038475767664</v>
      </c>
      <c r="G31" s="58">
        <f t="shared" si="5"/>
        <v>70.837341225798497</v>
      </c>
      <c r="I31" s="156"/>
    </row>
    <row r="32" spans="1:9">
      <c r="A32" s="5">
        <v>2012</v>
      </c>
      <c r="B32" s="58">
        <f t="shared" ref="B32:G32" si="6">100*B8/$B8</f>
        <v>100</v>
      </c>
      <c r="C32" s="58">
        <f t="shared" si="6"/>
        <v>0.10963399670371957</v>
      </c>
      <c r="D32" s="58">
        <f t="shared" si="6"/>
        <v>3.4458473401049874</v>
      </c>
      <c r="E32" s="58">
        <f t="shared" si="6"/>
        <v>9.4147287103121293</v>
      </c>
      <c r="F32" s="58">
        <f t="shared" si="6"/>
        <v>21.944224611743181</v>
      </c>
      <c r="G32" s="58">
        <f t="shared" si="6"/>
        <v>65.085565341135975</v>
      </c>
      <c r="I32" s="156"/>
    </row>
    <row r="33" spans="1:9">
      <c r="A33" s="5">
        <v>2016</v>
      </c>
      <c r="B33" s="58">
        <f t="shared" ref="B33:G33" si="7">100*B9/$B9</f>
        <v>100</v>
      </c>
      <c r="C33" s="58">
        <f t="shared" si="7"/>
        <v>-2.3470937456854895E-2</v>
      </c>
      <c r="D33" s="58">
        <f t="shared" si="7"/>
        <v>2.5590225044870909</v>
      </c>
      <c r="E33" s="58">
        <f t="shared" si="7"/>
        <v>7.8613834046665749</v>
      </c>
      <c r="F33" s="58">
        <f t="shared" si="7"/>
        <v>22.000552257351927</v>
      </c>
      <c r="G33" s="58">
        <f t="shared" si="7"/>
        <v>67.602512770951265</v>
      </c>
      <c r="I33" s="156"/>
    </row>
    <row r="34" spans="1:9">
      <c r="A34" s="5">
        <v>2019</v>
      </c>
      <c r="B34" s="58">
        <f t="shared" ref="B34:G34" si="8">100*B10/$B10</f>
        <v>100</v>
      </c>
      <c r="C34" s="58">
        <f t="shared" si="8"/>
        <v>7.3804628604565339E-2</v>
      </c>
      <c r="D34" s="58">
        <f t="shared" si="8"/>
        <v>3.4793610627866518</v>
      </c>
      <c r="E34" s="58">
        <f t="shared" si="8"/>
        <v>9.6586159372811284</v>
      </c>
      <c r="F34" s="58">
        <f t="shared" si="8"/>
        <v>21.882319272798476</v>
      </c>
      <c r="G34" s="58">
        <f t="shared" si="8"/>
        <v>64.906652206984333</v>
      </c>
      <c r="I34" s="156"/>
    </row>
    <row r="39" spans="1:9">
      <c r="A39" s="156"/>
      <c r="B39" s="156"/>
      <c r="C39" s="156"/>
      <c r="D39" s="156"/>
      <c r="E39" s="156"/>
    </row>
    <row r="40" spans="1:9">
      <c r="A40" s="156"/>
      <c r="B40" s="156"/>
      <c r="C40" s="156"/>
      <c r="D40" s="156"/>
      <c r="E40" s="156"/>
    </row>
    <row r="41" spans="1:9">
      <c r="A41" s="156"/>
      <c r="B41" s="156"/>
      <c r="C41" s="156"/>
      <c r="D41" s="156"/>
      <c r="E41" s="156"/>
    </row>
    <row r="43" spans="1:9">
      <c r="B43" s="156"/>
      <c r="C43" s="156"/>
    </row>
    <row r="44" spans="1:9">
      <c r="B44" s="156"/>
      <c r="C44" s="156"/>
    </row>
    <row r="45" spans="1:9">
      <c r="B45" s="156"/>
      <c r="C45" s="156"/>
    </row>
    <row r="46" spans="1:9">
      <c r="B46" s="156"/>
      <c r="C46" s="156"/>
    </row>
    <row r="47" spans="1:9">
      <c r="B47" s="156"/>
      <c r="C47" s="156"/>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91F7A-7204-F744-AA56-279A32240E45}">
  <sheetPr codeName="Sheet102"/>
  <dimension ref="A1:G22"/>
  <sheetViews>
    <sheetView zoomScale="118" workbookViewId="0">
      <selection activeCell="E33" sqref="E33"/>
    </sheetView>
  </sheetViews>
  <sheetFormatPr baseColWidth="10" defaultColWidth="10.83203125" defaultRowHeight="16"/>
  <cols>
    <col min="1" max="1" width="22" style="5" customWidth="1"/>
    <col min="2" max="16384" width="10.83203125" style="5"/>
  </cols>
  <sheetData>
    <row r="1" spans="1:7">
      <c r="A1" s="19" t="s">
        <v>727</v>
      </c>
    </row>
    <row r="4" spans="1:7" ht="34" customHeight="1">
      <c r="B4" s="137" t="s">
        <v>490</v>
      </c>
      <c r="C4" s="137" t="s">
        <v>491</v>
      </c>
      <c r="D4" s="137" t="s">
        <v>104</v>
      </c>
      <c r="E4" s="137" t="s">
        <v>105</v>
      </c>
      <c r="F4" s="137" t="s">
        <v>106</v>
      </c>
      <c r="G4" s="137" t="s">
        <v>492</v>
      </c>
    </row>
    <row r="5" spans="1:7">
      <c r="A5" s="5">
        <v>1999</v>
      </c>
      <c r="B5" s="143">
        <v>1.7779153411859112</v>
      </c>
      <c r="C5" s="143">
        <v>2.9789969995713674</v>
      </c>
      <c r="D5" s="143">
        <v>2.3109169999298391</v>
      </c>
      <c r="E5" s="143">
        <v>1.8825393433523481</v>
      </c>
      <c r="F5" s="143">
        <v>1.6900628632752246</v>
      </c>
      <c r="G5" s="143">
        <v>1.7718280312683796</v>
      </c>
    </row>
    <row r="6" spans="1:7">
      <c r="A6" s="5">
        <v>2005</v>
      </c>
      <c r="B6" s="143">
        <v>1.3120603408606235</v>
      </c>
      <c r="C6" s="143" t="s">
        <v>87</v>
      </c>
      <c r="D6" s="143">
        <v>1.1736769231872932</v>
      </c>
      <c r="E6" s="143">
        <v>1.4817366669681846</v>
      </c>
      <c r="F6" s="143">
        <v>1.1607204493898593</v>
      </c>
      <c r="G6" s="143">
        <v>1.3409454550208302</v>
      </c>
    </row>
    <row r="7" spans="1:7">
      <c r="A7" s="5">
        <v>2012</v>
      </c>
      <c r="B7" s="143">
        <v>1.5265707615219621</v>
      </c>
      <c r="C7" s="143">
        <v>-1.2419805889126501</v>
      </c>
      <c r="D7" s="143">
        <v>2.3597030731826161</v>
      </c>
      <c r="E7" s="143">
        <v>1.5928194759553906</v>
      </c>
      <c r="F7" s="143">
        <v>1.5633461939730686</v>
      </c>
      <c r="G7" s="143">
        <v>1.4729623347347696</v>
      </c>
    </row>
    <row r="8" spans="1:7">
      <c r="A8" s="5">
        <v>2016</v>
      </c>
      <c r="B8" s="143">
        <v>1.3313638290339882</v>
      </c>
      <c r="C8" s="143">
        <v>1.0790225325293559</v>
      </c>
      <c r="D8" s="143">
        <v>1.4493263584257978</v>
      </c>
      <c r="E8" s="143">
        <v>1.1486867468299655</v>
      </c>
      <c r="F8" s="143">
        <v>1.3784411288425074</v>
      </c>
      <c r="G8" s="143">
        <v>1.3370013755158183</v>
      </c>
    </row>
    <row r="9" spans="1:7">
      <c r="A9" s="5">
        <v>2019</v>
      </c>
      <c r="B9" s="143">
        <v>1.1301872597459426</v>
      </c>
      <c r="C9" s="143">
        <v>-6.7586206896551726</v>
      </c>
      <c r="D9" s="143">
        <v>1.5263291783261257</v>
      </c>
      <c r="E9" s="143">
        <v>1.1842619208774527</v>
      </c>
      <c r="F9" s="143">
        <v>1.1762681742460586</v>
      </c>
      <c r="G9" s="143">
        <v>1.0917250446424782</v>
      </c>
    </row>
    <row r="12" spans="1:7">
      <c r="A12" s="5" t="s">
        <v>418</v>
      </c>
      <c r="B12" s="143">
        <f>B9-B5</f>
        <v>-0.64772808143996863</v>
      </c>
      <c r="C12" s="143">
        <f t="shared" ref="C12:G12" si="0">C9-C5</f>
        <v>-9.7376176892265391</v>
      </c>
      <c r="D12" s="143">
        <f t="shared" si="0"/>
        <v>-0.78458782160371343</v>
      </c>
      <c r="E12" s="143">
        <f t="shared" si="0"/>
        <v>-0.69827742247489533</v>
      </c>
      <c r="F12" s="143">
        <f t="shared" si="0"/>
        <v>-0.51379468902916603</v>
      </c>
      <c r="G12" s="143">
        <f t="shared" si="0"/>
        <v>-0.68010298662590141</v>
      </c>
    </row>
    <row r="13" spans="1:7">
      <c r="A13" s="5" t="s">
        <v>449</v>
      </c>
      <c r="B13" s="143">
        <f>B6-B5</f>
        <v>-0.4658550003252877</v>
      </c>
      <c r="C13" s="143" t="s">
        <v>87</v>
      </c>
      <c r="D13" s="143">
        <f t="shared" ref="D13:G13" si="1">D6-D5</f>
        <v>-1.1372400767425459</v>
      </c>
      <c r="E13" s="143">
        <f t="shared" si="1"/>
        <v>-0.40080267638416345</v>
      </c>
      <c r="F13" s="143">
        <f t="shared" si="1"/>
        <v>-0.52934241388536529</v>
      </c>
      <c r="G13" s="143">
        <f t="shared" si="1"/>
        <v>-0.43088257624754944</v>
      </c>
    </row>
    <row r="14" spans="1:7">
      <c r="A14" s="5" t="s">
        <v>450</v>
      </c>
      <c r="B14" s="143">
        <f>B7-B6</f>
        <v>0.21451042066133863</v>
      </c>
      <c r="C14" s="143" t="s">
        <v>87</v>
      </c>
      <c r="D14" s="143">
        <f t="shared" ref="D14:G14" si="2">D7-D6</f>
        <v>1.1860261499953229</v>
      </c>
      <c r="E14" s="143">
        <f t="shared" si="2"/>
        <v>0.11108280898720602</v>
      </c>
      <c r="F14" s="143">
        <f t="shared" si="2"/>
        <v>0.40262574458320932</v>
      </c>
      <c r="G14" s="143">
        <f t="shared" si="2"/>
        <v>0.13201687971393938</v>
      </c>
    </row>
    <row r="15" spans="1:7">
      <c r="A15" s="5" t="s">
        <v>451</v>
      </c>
      <c r="B15" s="143">
        <f>B9-B7</f>
        <v>-0.39638350177601955</v>
      </c>
      <c r="C15" s="143">
        <f t="shared" ref="C15:G15" si="3">C9-C7</f>
        <v>-5.5166401007425225</v>
      </c>
      <c r="D15" s="143">
        <f t="shared" si="3"/>
        <v>-0.83337389485649038</v>
      </c>
      <c r="E15" s="143">
        <f t="shared" si="3"/>
        <v>-0.4085575550779379</v>
      </c>
      <c r="F15" s="143">
        <f t="shared" si="3"/>
        <v>-0.38707801972701006</v>
      </c>
      <c r="G15" s="143">
        <f t="shared" si="3"/>
        <v>-0.38123729009229135</v>
      </c>
    </row>
    <row r="18" spans="1:2">
      <c r="A18" s="5" t="s">
        <v>153</v>
      </c>
    </row>
    <row r="19" spans="1:2">
      <c r="A19" s="5">
        <v>1</v>
      </c>
      <c r="B19" s="5" t="s">
        <v>493</v>
      </c>
    </row>
    <row r="22" spans="1:2">
      <c r="A22" s="5" t="s">
        <v>494</v>
      </c>
    </row>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D25B9-A9C2-C947-ADA6-2D3D34B0FDA7}">
  <sheetPr codeName="Sheet103"/>
  <dimension ref="A1:G23"/>
  <sheetViews>
    <sheetView zoomScale="125" workbookViewId="0"/>
  </sheetViews>
  <sheetFormatPr baseColWidth="10" defaultColWidth="10.83203125" defaultRowHeight="16"/>
  <cols>
    <col min="1" max="1" width="17.1640625" style="5" customWidth="1"/>
    <col min="2" max="16384" width="10.83203125" style="5"/>
  </cols>
  <sheetData>
    <row r="1" spans="1:7">
      <c r="A1" s="19" t="s">
        <v>728</v>
      </c>
    </row>
    <row r="2" spans="1:7">
      <c r="A2" s="5" t="s">
        <v>3</v>
      </c>
    </row>
    <row r="5" spans="1:7" ht="34">
      <c r="B5" s="137" t="s">
        <v>490</v>
      </c>
      <c r="C5" s="137" t="s">
        <v>491</v>
      </c>
      <c r="D5" s="137" t="s">
        <v>104</v>
      </c>
      <c r="E5" s="137" t="s">
        <v>105</v>
      </c>
      <c r="F5" s="137" t="s">
        <v>106</v>
      </c>
      <c r="G5" s="137" t="s">
        <v>492</v>
      </c>
    </row>
    <row r="6" spans="1:7">
      <c r="A6" s="5">
        <v>1999</v>
      </c>
      <c r="B6" s="20">
        <v>258100</v>
      </c>
      <c r="C6" s="20">
        <v>-2300</v>
      </c>
      <c r="D6" s="20">
        <v>43900</v>
      </c>
      <c r="E6" s="20">
        <v>120200</v>
      </c>
      <c r="F6" s="20">
        <v>246900</v>
      </c>
      <c r="G6" s="20">
        <v>882000</v>
      </c>
    </row>
    <row r="7" spans="1:7">
      <c r="A7" s="5">
        <v>2005</v>
      </c>
      <c r="B7" s="20">
        <v>250400</v>
      </c>
      <c r="C7" s="135" t="s">
        <v>87</v>
      </c>
      <c r="D7" s="20">
        <v>25300</v>
      </c>
      <c r="E7" s="20">
        <v>118900</v>
      </c>
      <c r="F7" s="20">
        <v>223300</v>
      </c>
      <c r="G7" s="20">
        <v>887000</v>
      </c>
    </row>
    <row r="8" spans="1:7">
      <c r="A8" s="5">
        <v>2012</v>
      </c>
      <c r="B8" s="20">
        <v>417100</v>
      </c>
      <c r="C8" s="20">
        <v>2300</v>
      </c>
      <c r="D8" s="20">
        <v>71900</v>
      </c>
      <c r="E8" s="20">
        <v>196300</v>
      </c>
      <c r="F8" s="20">
        <v>457600</v>
      </c>
      <c r="G8" s="20">
        <v>1357300</v>
      </c>
    </row>
    <row r="9" spans="1:7">
      <c r="A9" s="5">
        <v>2016</v>
      </c>
      <c r="B9" s="20">
        <v>429800</v>
      </c>
      <c r="C9" s="135">
        <v>-500</v>
      </c>
      <c r="D9" s="20">
        <v>55000</v>
      </c>
      <c r="E9" s="20">
        <v>168900</v>
      </c>
      <c r="F9" s="20">
        <v>472800</v>
      </c>
      <c r="G9" s="20">
        <v>1452700</v>
      </c>
    </row>
    <row r="10" spans="1:7">
      <c r="A10" s="5">
        <v>2019</v>
      </c>
      <c r="B10" s="20">
        <v>378800</v>
      </c>
      <c r="C10" s="20">
        <v>1400</v>
      </c>
      <c r="D10" s="20">
        <v>65900</v>
      </c>
      <c r="E10" s="20">
        <v>183000</v>
      </c>
      <c r="F10" s="20">
        <v>414500</v>
      </c>
      <c r="G10" s="20">
        <v>1229500</v>
      </c>
    </row>
    <row r="13" spans="1:7">
      <c r="A13" s="5" t="s">
        <v>479</v>
      </c>
      <c r="B13" s="143">
        <f>100*((B10/B6)^(1/20)-1)</f>
        <v>1.9368239870156456</v>
      </c>
      <c r="C13" s="135" t="s">
        <v>87</v>
      </c>
      <c r="D13" s="143">
        <f t="shared" ref="D13:G13" si="0">100*((D10/D6)^(1/20)-1)</f>
        <v>2.0518882285765372</v>
      </c>
      <c r="E13" s="143">
        <f t="shared" si="0"/>
        <v>2.1238857554305879</v>
      </c>
      <c r="F13" s="143">
        <f t="shared" si="0"/>
        <v>2.6242915950736245</v>
      </c>
      <c r="G13" s="143">
        <f t="shared" si="0"/>
        <v>1.6747228828546845</v>
      </c>
    </row>
    <row r="14" spans="1:7">
      <c r="A14" s="5" t="s">
        <v>461</v>
      </c>
      <c r="B14" s="143">
        <f>100*((B7/B6)^(1/6)-1)</f>
        <v>-0.50351919567320769</v>
      </c>
      <c r="C14" s="135" t="s">
        <v>87</v>
      </c>
      <c r="D14" s="143">
        <f t="shared" ref="D14:G14" si="1">100*((D7/D6)^(1/6)-1)</f>
        <v>-8.7759533320618477</v>
      </c>
      <c r="E14" s="143">
        <f t="shared" si="1"/>
        <v>-0.18107283837629495</v>
      </c>
      <c r="F14" s="143">
        <f t="shared" si="1"/>
        <v>-1.6605128987871032</v>
      </c>
      <c r="G14" s="143">
        <f t="shared" si="1"/>
        <v>9.4259835065702013E-2</v>
      </c>
    </row>
    <row r="15" spans="1:7">
      <c r="A15" s="5" t="s">
        <v>462</v>
      </c>
      <c r="B15" s="143">
        <f>100*((B8/B7)^(1/7)-1)</f>
        <v>7.5617800419015113</v>
      </c>
      <c r="C15" s="135" t="s">
        <v>87</v>
      </c>
      <c r="D15" s="143">
        <f t="shared" ref="D15:G15" si="2">100*((D8/D7)^(1/7)-1)</f>
        <v>16.091706609519218</v>
      </c>
      <c r="E15" s="143">
        <f t="shared" si="2"/>
        <v>7.4250321028136446</v>
      </c>
      <c r="F15" s="143">
        <f t="shared" si="2"/>
        <v>10.79340226132588</v>
      </c>
      <c r="G15" s="143">
        <f t="shared" si="2"/>
        <v>6.2657166951173293</v>
      </c>
    </row>
    <row r="16" spans="1:7">
      <c r="A16" s="5" t="s">
        <v>463</v>
      </c>
      <c r="B16" s="143">
        <f>100*((B10/B8)^(1/7)-1)</f>
        <v>-1.3665431373673154</v>
      </c>
      <c r="C16" s="207">
        <f>100*((C10/C8)^(1/7)-1)</f>
        <v>-6.8463173581332804</v>
      </c>
      <c r="D16" s="143">
        <f t="shared" ref="D16:G16" si="3">100*((D10/D8)^(1/7)-1)</f>
        <v>-1.2371101362914971</v>
      </c>
      <c r="E16" s="143">
        <f t="shared" si="3"/>
        <v>-0.99725055456194589</v>
      </c>
      <c r="F16" s="143">
        <f t="shared" si="3"/>
        <v>-1.4032395882941695</v>
      </c>
      <c r="G16" s="143">
        <f t="shared" si="3"/>
        <v>-1.4027801848788712</v>
      </c>
    </row>
    <row r="19" spans="1:2">
      <c r="A19" s="5" t="s">
        <v>153</v>
      </c>
    </row>
    <row r="20" spans="1:2">
      <c r="A20" s="5">
        <v>1</v>
      </c>
      <c r="B20" s="5" t="s">
        <v>493</v>
      </c>
    </row>
    <row r="23" spans="1:2">
      <c r="A23" s="5" t="s">
        <v>729</v>
      </c>
    </row>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6EC8-4279-1642-90AC-7D9182451627}">
  <sheetPr codeName="Sheet104"/>
  <dimension ref="A1:F22"/>
  <sheetViews>
    <sheetView workbookViewId="0"/>
  </sheetViews>
  <sheetFormatPr baseColWidth="10" defaultColWidth="10.83203125" defaultRowHeight="16"/>
  <cols>
    <col min="1" max="1" width="21.1640625" style="5" customWidth="1"/>
    <col min="2" max="16384" width="10.83203125" style="5"/>
  </cols>
  <sheetData>
    <row r="1" spans="1:6">
      <c r="A1" s="19" t="s">
        <v>730</v>
      </c>
    </row>
    <row r="4" spans="1:6" ht="32" customHeight="1">
      <c r="B4" s="137" t="s">
        <v>490</v>
      </c>
      <c r="C4" s="137" t="s">
        <v>104</v>
      </c>
      <c r="D4" s="137" t="s">
        <v>105</v>
      </c>
      <c r="E4" s="137" t="s">
        <v>106</v>
      </c>
      <c r="F4" s="137" t="s">
        <v>492</v>
      </c>
    </row>
    <row r="5" spans="1:6">
      <c r="A5" s="5">
        <v>1999</v>
      </c>
      <c r="B5" s="8">
        <v>72.296918767507009</v>
      </c>
      <c r="C5" s="8">
        <v>94.004282655246257</v>
      </c>
      <c r="D5" s="8">
        <v>76.511775938892427</v>
      </c>
      <c r="E5" s="8">
        <v>68.716949624269418</v>
      </c>
      <c r="F5" s="8">
        <v>72.052936851564411</v>
      </c>
    </row>
    <row r="6" spans="1:6">
      <c r="A6" s="5">
        <v>2005</v>
      </c>
      <c r="B6" s="8">
        <v>54.08207343412527</v>
      </c>
      <c r="C6" s="8">
        <v>48.467432950191572</v>
      </c>
      <c r="D6" s="8">
        <v>61.099691675231242</v>
      </c>
      <c r="E6" s="8">
        <v>47.846582386972358</v>
      </c>
      <c r="F6" s="8">
        <v>55.275129307658752</v>
      </c>
    </row>
    <row r="7" spans="1:6">
      <c r="A7" s="5">
        <v>2012</v>
      </c>
      <c r="B7" s="8">
        <v>67.361111111111114</v>
      </c>
      <c r="C7" s="8">
        <v>104.20289855072464</v>
      </c>
      <c r="D7" s="8">
        <v>70.257695060844668</v>
      </c>
      <c r="E7" s="8">
        <v>68.9779921615918</v>
      </c>
      <c r="F7" s="8">
        <v>64.98922671774001</v>
      </c>
    </row>
    <row r="8" spans="1:6">
      <c r="A8" s="5">
        <v>2016</v>
      </c>
      <c r="B8" s="8">
        <v>60.629143743828465</v>
      </c>
      <c r="C8" s="8">
        <v>66.026410564225685</v>
      </c>
      <c r="D8" s="8">
        <v>52.307215856302264</v>
      </c>
      <c r="E8" s="8">
        <v>62.780507236754744</v>
      </c>
      <c r="F8" s="8">
        <v>60.884325230511315</v>
      </c>
    </row>
    <row r="9" spans="1:6">
      <c r="A9" s="5">
        <v>2019</v>
      </c>
      <c r="B9" s="8">
        <v>51.314007044161471</v>
      </c>
      <c r="C9" s="8">
        <v>69.295478443743434</v>
      </c>
      <c r="D9" s="8">
        <v>53.791887125220455</v>
      </c>
      <c r="E9" s="8">
        <v>53.408065970880038</v>
      </c>
      <c r="F9" s="8">
        <v>49.570616457686569</v>
      </c>
    </row>
    <row r="12" spans="1:6">
      <c r="A12" s="5" t="s">
        <v>418</v>
      </c>
      <c r="B12" s="143">
        <f>B9-B5</f>
        <v>-20.982911723345538</v>
      </c>
      <c r="C12" s="143">
        <f t="shared" ref="C12:F12" si="0">C9-C5</f>
        <v>-24.708804211502823</v>
      </c>
      <c r="D12" s="143">
        <f t="shared" si="0"/>
        <v>-22.719888813671972</v>
      </c>
      <c r="E12" s="143">
        <f t="shared" si="0"/>
        <v>-15.30888365338938</v>
      </c>
      <c r="F12" s="143">
        <f t="shared" si="0"/>
        <v>-22.482320393877842</v>
      </c>
    </row>
    <row r="13" spans="1:6">
      <c r="A13" s="5" t="s">
        <v>449</v>
      </c>
      <c r="B13" s="143">
        <f>B6-B5</f>
        <v>-18.214845333381739</v>
      </c>
      <c r="C13" s="143">
        <f t="shared" ref="C13:F14" si="1">C6-C5</f>
        <v>-45.536849705054685</v>
      </c>
      <c r="D13" s="143">
        <f t="shared" si="1"/>
        <v>-15.412084263661185</v>
      </c>
      <c r="E13" s="143">
        <f t="shared" si="1"/>
        <v>-20.87036723729706</v>
      </c>
      <c r="F13" s="143">
        <f t="shared" si="1"/>
        <v>-16.777807543905659</v>
      </c>
    </row>
    <row r="14" spans="1:6">
      <c r="A14" s="5" t="s">
        <v>450</v>
      </c>
      <c r="B14" s="143">
        <f>B7-B6</f>
        <v>13.279037676985844</v>
      </c>
      <c r="C14" s="143">
        <f t="shared" si="1"/>
        <v>55.735465600533068</v>
      </c>
      <c r="D14" s="143">
        <f t="shared" si="1"/>
        <v>9.1580033856134264</v>
      </c>
      <c r="E14" s="143">
        <f t="shared" si="1"/>
        <v>21.131409774619442</v>
      </c>
      <c r="F14" s="143">
        <f t="shared" si="1"/>
        <v>9.7140974100812585</v>
      </c>
    </row>
    <row r="15" spans="1:6">
      <c r="A15" s="5" t="s">
        <v>451</v>
      </c>
      <c r="B15" s="143">
        <f>B9-B7</f>
        <v>-16.047104066949643</v>
      </c>
      <c r="C15" s="143">
        <f t="shared" ref="C15:F15" si="2">C9-C7</f>
        <v>-34.907420106981206</v>
      </c>
      <c r="D15" s="143">
        <f t="shared" si="2"/>
        <v>-16.465807935624213</v>
      </c>
      <c r="E15" s="143">
        <f t="shared" si="2"/>
        <v>-15.569926190711762</v>
      </c>
      <c r="F15" s="143">
        <f t="shared" si="2"/>
        <v>-15.418610260053441</v>
      </c>
    </row>
    <row r="18" spans="1:2">
      <c r="A18" s="5" t="s">
        <v>153</v>
      </c>
    </row>
    <row r="19" spans="1:2">
      <c r="A19" s="5">
        <v>1</v>
      </c>
      <c r="B19" s="5" t="s">
        <v>493</v>
      </c>
    </row>
    <row r="22" spans="1:2">
      <c r="A22" s="5" t="s">
        <v>731</v>
      </c>
    </row>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AF521-98E4-4248-9C0A-435EF5650F75}">
  <sheetPr codeName="Sheet105"/>
  <dimension ref="A1:G23"/>
  <sheetViews>
    <sheetView workbookViewId="0">
      <selection activeCell="A23" sqref="A23"/>
    </sheetView>
  </sheetViews>
  <sheetFormatPr baseColWidth="10" defaultColWidth="10.83203125" defaultRowHeight="16"/>
  <cols>
    <col min="1" max="1" width="17" style="5" customWidth="1"/>
    <col min="2" max="16384" width="10.83203125" style="5"/>
  </cols>
  <sheetData>
    <row r="1" spans="1:7">
      <c r="A1" s="19" t="s">
        <v>732</v>
      </c>
    </row>
    <row r="2" spans="1:7">
      <c r="A2" s="5" t="s">
        <v>3</v>
      </c>
    </row>
    <row r="5" spans="1:7" ht="34">
      <c r="B5" s="137" t="s">
        <v>490</v>
      </c>
      <c r="C5" s="137" t="s">
        <v>491</v>
      </c>
      <c r="D5" s="137" t="s">
        <v>104</v>
      </c>
      <c r="E5" s="137" t="s">
        <v>105</v>
      </c>
      <c r="F5" s="137" t="s">
        <v>106</v>
      </c>
      <c r="G5" s="137" t="s">
        <v>492</v>
      </c>
    </row>
    <row r="6" spans="1:7">
      <c r="A6" s="5">
        <v>1999</v>
      </c>
      <c r="B6" s="20">
        <v>118700</v>
      </c>
      <c r="C6" s="135">
        <v>800</v>
      </c>
      <c r="D6" s="20">
        <v>42500</v>
      </c>
      <c r="E6" s="20">
        <v>118700</v>
      </c>
      <c r="F6" s="20">
        <v>238200</v>
      </c>
      <c r="G6" s="20">
        <v>621800</v>
      </c>
    </row>
    <row r="7" spans="1:7">
      <c r="A7" s="5">
        <v>2005</v>
      </c>
      <c r="B7" s="20">
        <v>131700</v>
      </c>
      <c r="C7" s="135" t="s">
        <v>87</v>
      </c>
      <c r="D7" s="20">
        <v>24300</v>
      </c>
      <c r="E7" s="20">
        <v>131700</v>
      </c>
      <c r="F7" s="20">
        <v>219500</v>
      </c>
      <c r="G7" s="20">
        <v>703100</v>
      </c>
    </row>
    <row r="8" spans="1:7">
      <c r="A8" s="5">
        <v>2012</v>
      </c>
      <c r="B8" s="20">
        <v>195600</v>
      </c>
      <c r="C8" s="20">
        <v>1500</v>
      </c>
      <c r="D8" s="20">
        <v>67600</v>
      </c>
      <c r="E8" s="20">
        <v>195600</v>
      </c>
      <c r="F8" s="20">
        <v>462600</v>
      </c>
      <c r="G8" s="20">
        <v>1077800</v>
      </c>
    </row>
    <row r="9" spans="1:7">
      <c r="A9" s="5">
        <v>2016</v>
      </c>
      <c r="B9" s="20">
        <v>167800</v>
      </c>
      <c r="C9" s="20">
        <v>2600</v>
      </c>
      <c r="D9" s="20">
        <v>56100</v>
      </c>
      <c r="E9" s="20">
        <v>167800</v>
      </c>
      <c r="F9" s="20">
        <v>438900</v>
      </c>
      <c r="G9" s="20">
        <v>1243700</v>
      </c>
    </row>
    <row r="10" spans="1:7">
      <c r="A10" s="5">
        <v>2019</v>
      </c>
      <c r="B10" s="20">
        <v>185000</v>
      </c>
      <c r="C10" s="20">
        <v>2100</v>
      </c>
      <c r="D10" s="20">
        <v>60000</v>
      </c>
      <c r="E10" s="20">
        <v>185000</v>
      </c>
      <c r="F10" s="20">
        <v>400200</v>
      </c>
      <c r="G10" s="20">
        <v>1082800</v>
      </c>
    </row>
    <row r="13" spans="1:7">
      <c r="A13" s="5" t="s">
        <v>479</v>
      </c>
      <c r="B13" s="143">
        <f>100*((B10/B6)^(1/20)-1)</f>
        <v>2.2435806641316614</v>
      </c>
      <c r="C13" s="143">
        <f t="shared" ref="C13:G13" si="0">100*((C10/C6)^(1/20)-1)</f>
        <v>4.9437225535009288</v>
      </c>
      <c r="D13" s="143">
        <f t="shared" si="0"/>
        <v>1.739152601714955</v>
      </c>
      <c r="E13" s="143">
        <f t="shared" si="0"/>
        <v>2.2435806641316614</v>
      </c>
      <c r="F13" s="143">
        <f t="shared" si="0"/>
        <v>2.6282128774856695</v>
      </c>
      <c r="G13" s="143">
        <f t="shared" si="0"/>
        <v>2.8122530481851982</v>
      </c>
    </row>
    <row r="14" spans="1:7">
      <c r="A14" s="5" t="s">
        <v>461</v>
      </c>
      <c r="B14" s="143">
        <f>100*((B7/B6)^(1/6)-1)</f>
        <v>1.7472100045123229</v>
      </c>
      <c r="C14" s="135" t="s">
        <v>87</v>
      </c>
      <c r="D14" s="143">
        <f t="shared" ref="D14:G14" si="1">100*((D7/D6)^(1/6)-1)</f>
        <v>-8.8962562483020147</v>
      </c>
      <c r="E14" s="143">
        <f t="shared" si="1"/>
        <v>1.7472100045123229</v>
      </c>
      <c r="F14" s="143">
        <f t="shared" si="1"/>
        <v>-1.3533984880392369</v>
      </c>
      <c r="G14" s="143">
        <f t="shared" si="1"/>
        <v>2.069126165740709</v>
      </c>
    </row>
    <row r="15" spans="1:7">
      <c r="A15" s="5" t="s">
        <v>462</v>
      </c>
      <c r="B15" s="143">
        <f>100*((B8/B7)^(1/7)-1)</f>
        <v>5.8133439565289713</v>
      </c>
      <c r="C15" s="135" t="s">
        <v>87</v>
      </c>
      <c r="D15" s="143">
        <f t="shared" ref="D15:G15" si="2">100*((D8/D7)^(1/7)-1)</f>
        <v>15.738327760865168</v>
      </c>
      <c r="E15" s="143">
        <f t="shared" si="2"/>
        <v>5.8133439565289713</v>
      </c>
      <c r="F15" s="143">
        <f t="shared" si="2"/>
        <v>11.237959776014982</v>
      </c>
      <c r="G15" s="143">
        <f t="shared" si="2"/>
        <v>6.2925954116825</v>
      </c>
    </row>
    <row r="16" spans="1:7">
      <c r="A16" s="5" t="s">
        <v>463</v>
      </c>
      <c r="B16" s="143">
        <f>100*((B10/B8)^(1/7)-1)</f>
        <v>-0.79278266312557966</v>
      </c>
      <c r="C16" s="143">
        <f t="shared" ref="C16:G16" si="3">100*((C10/C8)^(1/7)-1)</f>
        <v>4.9241437255623133</v>
      </c>
      <c r="D16" s="143">
        <f t="shared" si="3"/>
        <v>-1.689331188643739</v>
      </c>
      <c r="E16" s="143">
        <f t="shared" si="3"/>
        <v>-0.79278266312557966</v>
      </c>
      <c r="F16" s="143">
        <f t="shared" si="3"/>
        <v>-2.0486991658962062</v>
      </c>
      <c r="G16" s="143">
        <f t="shared" si="3"/>
        <v>6.61411813643209E-2</v>
      </c>
    </row>
    <row r="19" spans="1:2">
      <c r="A19" s="5" t="s">
        <v>153</v>
      </c>
    </row>
    <row r="20" spans="1:2">
      <c r="A20" s="5">
        <v>1</v>
      </c>
      <c r="B20" s="5" t="s">
        <v>493</v>
      </c>
    </row>
    <row r="23" spans="1:2">
      <c r="A23" s="5" t="s">
        <v>731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106</vt:i4>
      </vt:variant>
    </vt:vector>
  </HeadingPairs>
  <TitlesOfParts>
    <vt:vector size="106" baseType="lpstr">
      <vt:lpstr>Contents</vt:lpstr>
      <vt:lpstr>T1</vt:lpstr>
      <vt:lpstr>T1A</vt:lpstr>
      <vt:lpstr>T2</vt:lpstr>
      <vt:lpstr>T2A</vt:lpstr>
      <vt:lpstr>T3</vt:lpstr>
      <vt:lpstr>T4</vt:lpstr>
      <vt:lpstr>T5</vt:lpstr>
      <vt:lpstr>T5A</vt:lpstr>
      <vt:lpstr>T5B</vt:lpstr>
      <vt:lpstr>T5C</vt:lpstr>
      <vt:lpstr>T6</vt:lpstr>
      <vt:lpstr>T6A</vt:lpstr>
      <vt:lpstr>T7</vt:lpstr>
      <vt:lpstr>T7A</vt:lpstr>
      <vt:lpstr>T8</vt:lpstr>
      <vt:lpstr>T8A</vt:lpstr>
      <vt:lpstr>T9</vt:lpstr>
      <vt:lpstr>T9A</vt:lpstr>
      <vt:lpstr>T10</vt:lpstr>
      <vt:lpstr>T10A</vt:lpstr>
      <vt:lpstr>T10B</vt:lpstr>
      <vt:lpstr>T11</vt:lpstr>
      <vt:lpstr>T11A</vt:lpstr>
      <vt:lpstr>T12</vt:lpstr>
      <vt:lpstr>T12A</vt:lpstr>
      <vt:lpstr>T13</vt:lpstr>
      <vt:lpstr>T14</vt:lpstr>
      <vt:lpstr>T15</vt:lpstr>
      <vt:lpstr>T16</vt:lpstr>
      <vt:lpstr>T16A</vt:lpstr>
      <vt:lpstr>T17</vt:lpstr>
      <vt:lpstr>T18</vt:lpstr>
      <vt:lpstr>T18A</vt:lpstr>
      <vt:lpstr>T19</vt:lpstr>
      <vt:lpstr>T19A</vt:lpstr>
      <vt:lpstr>T20</vt:lpstr>
      <vt:lpstr>T20A</vt:lpstr>
      <vt:lpstr>T21</vt:lpstr>
      <vt:lpstr>T21A</vt:lpstr>
      <vt:lpstr>T22</vt:lpstr>
      <vt:lpstr>T23</vt:lpstr>
      <vt:lpstr>T24</vt:lpstr>
      <vt:lpstr>T25</vt:lpstr>
      <vt:lpstr>T26</vt:lpstr>
      <vt:lpstr>T27</vt:lpstr>
      <vt:lpstr>T27A</vt:lpstr>
      <vt:lpstr>T28</vt:lpstr>
      <vt:lpstr>T28A</vt:lpstr>
      <vt:lpstr>T29</vt:lpstr>
      <vt:lpstr>T30</vt:lpstr>
      <vt:lpstr>T30A</vt:lpstr>
      <vt:lpstr>T31</vt:lpstr>
      <vt:lpstr>T31A</vt:lpstr>
      <vt:lpstr>T32</vt:lpstr>
      <vt:lpstr>T32A</vt:lpstr>
      <vt:lpstr>T33</vt:lpstr>
      <vt:lpstr>T33A</vt:lpstr>
      <vt:lpstr>T33B</vt:lpstr>
      <vt:lpstr>T34</vt:lpstr>
      <vt:lpstr>T34A</vt:lpstr>
      <vt:lpstr>T35</vt:lpstr>
      <vt:lpstr>T35A</vt:lpstr>
      <vt:lpstr>T36</vt:lpstr>
      <vt:lpstr>T36A</vt:lpstr>
      <vt:lpstr>T37</vt:lpstr>
      <vt:lpstr>T37A</vt:lpstr>
      <vt:lpstr>T38</vt:lpstr>
      <vt:lpstr>T38A</vt:lpstr>
      <vt:lpstr>T39</vt:lpstr>
      <vt:lpstr>T40</vt:lpstr>
      <vt:lpstr>T40A</vt:lpstr>
      <vt:lpstr>T41</vt:lpstr>
      <vt:lpstr>T42</vt:lpstr>
      <vt:lpstr>T42A</vt:lpstr>
      <vt:lpstr>T43</vt:lpstr>
      <vt:lpstr>T43A</vt:lpstr>
      <vt:lpstr>T44</vt:lpstr>
      <vt:lpstr>T44A</vt:lpstr>
      <vt:lpstr>T45</vt:lpstr>
      <vt:lpstr>T45A</vt:lpstr>
      <vt:lpstr>T46</vt:lpstr>
      <vt:lpstr>T47</vt:lpstr>
      <vt:lpstr>47A</vt:lpstr>
      <vt:lpstr>T48</vt:lpstr>
      <vt:lpstr>T49</vt:lpstr>
      <vt:lpstr>T49A</vt:lpstr>
      <vt:lpstr>T50</vt:lpstr>
      <vt:lpstr>T50A</vt:lpstr>
      <vt:lpstr>T51</vt:lpstr>
      <vt:lpstr>T52</vt:lpstr>
      <vt:lpstr>T52A</vt:lpstr>
      <vt:lpstr>T53</vt:lpstr>
      <vt:lpstr>T53A</vt:lpstr>
      <vt:lpstr>T54</vt:lpstr>
      <vt:lpstr>T54A</vt:lpstr>
      <vt:lpstr>T55</vt:lpstr>
      <vt:lpstr>T55A</vt:lpstr>
      <vt:lpstr>T56</vt:lpstr>
      <vt:lpstr>T56A</vt:lpstr>
      <vt:lpstr>T57</vt:lpstr>
      <vt:lpstr>T57A</vt:lpstr>
      <vt:lpstr>T58</vt:lpstr>
      <vt:lpstr>T58A</vt:lpstr>
      <vt:lpstr>T59</vt:lpstr>
      <vt:lpstr>T59A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2021-05-07T13:22:11Z</dcterms:created>
  <dcterms:modified xsi:type="dcterms:W3CDTF">2021-08-18T22:50:04Z</dcterms:modified>
  <cp:category/>
  <cp:contentStatus/>
</cp:coreProperties>
</file>